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Collected Data Site 1673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j+YZ0SicK6Sy2t8K+6HcGZGuhbtQ=="/>
    </ext>
  </extLst>
</workbook>
</file>

<file path=xl/calcChain.xml><?xml version="1.0" encoding="utf-8"?>
<calcChain xmlns="http://schemas.openxmlformats.org/spreadsheetml/2006/main">
  <c r="L90" i="1" l="1"/>
  <c r="R89" i="1"/>
  <c r="L89" i="1"/>
  <c r="R88" i="1"/>
  <c r="L88" i="1"/>
  <c r="R87" i="1"/>
  <c r="L87" i="1"/>
  <c r="R86" i="1"/>
  <c r="P86" i="1"/>
  <c r="O86" i="1"/>
  <c r="L86" i="1"/>
  <c r="R85" i="1"/>
  <c r="P85" i="1"/>
  <c r="O85" i="1"/>
  <c r="L85" i="1"/>
  <c r="D85" i="1"/>
  <c r="C85" i="1"/>
  <c r="F85" i="1" s="1"/>
  <c r="P84" i="1"/>
  <c r="O84" i="1"/>
  <c r="R84" i="1" s="1"/>
  <c r="L84" i="1"/>
  <c r="F84" i="1"/>
  <c r="D84" i="1"/>
  <c r="C84" i="1"/>
  <c r="R83" i="1"/>
  <c r="P83" i="1"/>
  <c r="O83" i="1"/>
  <c r="L83" i="1"/>
  <c r="D83" i="1"/>
  <c r="C83" i="1"/>
  <c r="F83" i="1" s="1"/>
  <c r="P82" i="1"/>
  <c r="O82" i="1"/>
  <c r="R82" i="1" s="1"/>
  <c r="L82" i="1"/>
  <c r="F82" i="1"/>
  <c r="D82" i="1"/>
  <c r="C82" i="1"/>
  <c r="R81" i="1"/>
  <c r="P81" i="1"/>
  <c r="O81" i="1"/>
  <c r="L81" i="1"/>
  <c r="D81" i="1"/>
  <c r="C81" i="1"/>
  <c r="F81" i="1" s="1"/>
  <c r="P80" i="1"/>
  <c r="O80" i="1"/>
  <c r="R80" i="1" s="1"/>
  <c r="L80" i="1"/>
  <c r="F80" i="1"/>
  <c r="D80" i="1"/>
  <c r="C80" i="1"/>
  <c r="R79" i="1"/>
  <c r="P79" i="1"/>
  <c r="O79" i="1"/>
  <c r="L79" i="1"/>
  <c r="D79" i="1"/>
  <c r="C79" i="1"/>
  <c r="F79" i="1" s="1"/>
  <c r="P78" i="1"/>
  <c r="O78" i="1"/>
  <c r="R78" i="1" s="1"/>
  <c r="L78" i="1"/>
  <c r="F78" i="1"/>
  <c r="D78" i="1"/>
  <c r="C78" i="1"/>
  <c r="R77" i="1"/>
  <c r="P77" i="1"/>
  <c r="O77" i="1"/>
  <c r="L77" i="1"/>
  <c r="D77" i="1"/>
  <c r="C77" i="1"/>
  <c r="F77" i="1" s="1"/>
  <c r="P76" i="1"/>
  <c r="O76" i="1"/>
  <c r="R76" i="1" s="1"/>
  <c r="L76" i="1"/>
  <c r="F76" i="1"/>
  <c r="D76" i="1"/>
  <c r="C76" i="1"/>
  <c r="R75" i="1"/>
  <c r="P75" i="1"/>
  <c r="O75" i="1"/>
  <c r="L75" i="1"/>
  <c r="D75" i="1"/>
  <c r="C75" i="1"/>
  <c r="F75" i="1" s="1"/>
  <c r="P74" i="1"/>
  <c r="O74" i="1"/>
  <c r="R74" i="1" s="1"/>
  <c r="L74" i="1"/>
  <c r="F74" i="1"/>
  <c r="D74" i="1"/>
  <c r="C74" i="1"/>
  <c r="R73" i="1"/>
  <c r="P73" i="1"/>
  <c r="O73" i="1"/>
  <c r="L73" i="1"/>
  <c r="D73" i="1"/>
  <c r="C73" i="1"/>
  <c r="F73" i="1" s="1"/>
  <c r="R72" i="1"/>
  <c r="L72" i="1"/>
  <c r="D72" i="1"/>
  <c r="C72" i="1"/>
  <c r="F72" i="1" s="1"/>
  <c r="R71" i="1"/>
  <c r="L71" i="1"/>
  <c r="D71" i="1"/>
  <c r="C71" i="1"/>
  <c r="F71" i="1" s="1"/>
  <c r="R70" i="1"/>
  <c r="L70" i="1"/>
  <c r="D70" i="1"/>
  <c r="C70" i="1"/>
  <c r="F70" i="1" s="1"/>
  <c r="L69" i="1"/>
  <c r="F69" i="1"/>
  <c r="D69" i="1"/>
  <c r="C69" i="1"/>
  <c r="L68" i="1"/>
  <c r="D68" i="1"/>
  <c r="C68" i="1"/>
  <c r="F68" i="1" s="1"/>
  <c r="L67" i="1"/>
  <c r="F67" i="1"/>
  <c r="D67" i="1"/>
  <c r="C67" i="1"/>
  <c r="L66" i="1"/>
  <c r="D66" i="1"/>
  <c r="C66" i="1"/>
  <c r="F66" i="1" s="1"/>
  <c r="R62" i="1"/>
  <c r="R61" i="1"/>
  <c r="R60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N42" i="1"/>
  <c r="N43" i="1" s="1"/>
  <c r="J42" i="1"/>
  <c r="I42" i="1"/>
  <c r="D42" i="1"/>
  <c r="C42" i="1"/>
  <c r="R41" i="1"/>
  <c r="N41" i="1"/>
  <c r="J41" i="1"/>
  <c r="I41" i="1"/>
  <c r="D41" i="1"/>
  <c r="C41" i="1"/>
  <c r="R40" i="1"/>
  <c r="N40" i="1"/>
  <c r="L40" i="1"/>
  <c r="J40" i="1"/>
  <c r="I40" i="1"/>
  <c r="H40" i="1"/>
  <c r="H41" i="1" s="1"/>
  <c r="D40" i="1"/>
  <c r="C40" i="1"/>
  <c r="B40" i="1"/>
  <c r="F40" i="1" s="1"/>
  <c r="R39" i="1"/>
  <c r="L39" i="1"/>
  <c r="J39" i="1"/>
  <c r="I39" i="1"/>
  <c r="F3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I18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H9" i="1"/>
  <c r="L9" i="1" s="1"/>
  <c r="D9" i="1"/>
  <c r="C9" i="1"/>
  <c r="N8" i="1"/>
  <c r="R8" i="1" s="1"/>
  <c r="F8" i="1"/>
  <c r="D8" i="1"/>
  <c r="C8" i="1"/>
  <c r="B8" i="1"/>
  <c r="B9" i="1" s="1"/>
  <c r="R7" i="1"/>
  <c r="N7" i="1"/>
  <c r="L7" i="1"/>
  <c r="H7" i="1"/>
  <c r="H8" i="1" s="1"/>
  <c r="L8" i="1" s="1"/>
  <c r="F7" i="1"/>
  <c r="D7" i="1"/>
  <c r="C7" i="1"/>
  <c r="B7" i="1"/>
  <c r="R6" i="1"/>
  <c r="L6" i="1"/>
  <c r="F6" i="1"/>
  <c r="D6" i="1"/>
  <c r="C6" i="1"/>
  <c r="B10" i="1" l="1"/>
  <c r="F9" i="1"/>
  <c r="N44" i="1"/>
  <c r="R43" i="1"/>
  <c r="H10" i="1"/>
  <c r="H42" i="1"/>
  <c r="L41" i="1"/>
  <c r="N9" i="1"/>
  <c r="B41" i="1"/>
  <c r="R42" i="1"/>
  <c r="R44" i="1" l="1"/>
  <c r="N45" i="1"/>
  <c r="H43" i="1"/>
  <c r="L42" i="1"/>
  <c r="N10" i="1"/>
  <c r="R9" i="1"/>
  <c r="B42" i="1"/>
  <c r="F41" i="1"/>
  <c r="H11" i="1"/>
  <c r="L10" i="1"/>
  <c r="B11" i="1"/>
  <c r="F10" i="1"/>
  <c r="B12" i="1" l="1"/>
  <c r="F11" i="1"/>
  <c r="B43" i="1"/>
  <c r="F42" i="1"/>
  <c r="H44" i="1"/>
  <c r="L43" i="1"/>
  <c r="R45" i="1"/>
  <c r="N46" i="1"/>
  <c r="H12" i="1"/>
  <c r="L11" i="1"/>
  <c r="N11" i="1"/>
  <c r="R10" i="1"/>
  <c r="N47" i="1" l="1"/>
  <c r="R46" i="1"/>
  <c r="R11" i="1"/>
  <c r="N12" i="1"/>
  <c r="B44" i="1"/>
  <c r="F43" i="1"/>
  <c r="L12" i="1"/>
  <c r="H13" i="1"/>
  <c r="L44" i="1"/>
  <c r="H45" i="1"/>
  <c r="B13" i="1"/>
  <c r="F12" i="1"/>
  <c r="B14" i="1" l="1"/>
  <c r="F13" i="1"/>
  <c r="H14" i="1"/>
  <c r="L13" i="1"/>
  <c r="N13" i="1"/>
  <c r="R12" i="1"/>
  <c r="H46" i="1"/>
  <c r="L45" i="1"/>
  <c r="F44" i="1"/>
  <c r="B45" i="1"/>
  <c r="N48" i="1"/>
  <c r="R47" i="1"/>
  <c r="H47" i="1" l="1"/>
  <c r="L46" i="1"/>
  <c r="R48" i="1"/>
  <c r="N49" i="1"/>
  <c r="H15" i="1"/>
  <c r="L14" i="1"/>
  <c r="F45" i="1"/>
  <c r="B46" i="1"/>
  <c r="N14" i="1"/>
  <c r="R13" i="1"/>
  <c r="B15" i="1"/>
  <c r="F14" i="1"/>
  <c r="R14" i="1" l="1"/>
  <c r="N15" i="1"/>
  <c r="H48" i="1"/>
  <c r="L47" i="1"/>
  <c r="B47" i="1"/>
  <c r="F46" i="1"/>
  <c r="R49" i="1"/>
  <c r="N50" i="1"/>
  <c r="B16" i="1"/>
  <c r="F15" i="1"/>
  <c r="L15" i="1"/>
  <c r="H16" i="1"/>
  <c r="L16" i="1" l="1"/>
  <c r="H17" i="1"/>
  <c r="R15" i="1"/>
  <c r="N16" i="1"/>
  <c r="N51" i="1"/>
  <c r="R50" i="1"/>
  <c r="H49" i="1"/>
  <c r="L48" i="1"/>
  <c r="B17" i="1"/>
  <c r="F16" i="1"/>
  <c r="B48" i="1"/>
  <c r="F47" i="1"/>
  <c r="N17" i="1" l="1"/>
  <c r="R16" i="1"/>
  <c r="F48" i="1"/>
  <c r="B49" i="1"/>
  <c r="H50" i="1"/>
  <c r="L49" i="1"/>
  <c r="H18" i="1"/>
  <c r="L17" i="1"/>
  <c r="B18" i="1"/>
  <c r="F17" i="1"/>
  <c r="N52" i="1"/>
  <c r="R51" i="1"/>
  <c r="H19" i="1" l="1"/>
  <c r="L18" i="1"/>
  <c r="F49" i="1"/>
  <c r="B50" i="1"/>
  <c r="R52" i="1"/>
  <c r="N53" i="1"/>
  <c r="B19" i="1"/>
  <c r="F18" i="1"/>
  <c r="H51" i="1"/>
  <c r="L50" i="1"/>
  <c r="N18" i="1"/>
  <c r="R17" i="1"/>
  <c r="B51" i="1" l="1"/>
  <c r="F50" i="1"/>
  <c r="R53" i="1"/>
  <c r="N54" i="1"/>
  <c r="N19" i="1"/>
  <c r="R18" i="1"/>
  <c r="B20" i="1"/>
  <c r="F19" i="1"/>
  <c r="H52" i="1"/>
  <c r="L51" i="1"/>
  <c r="H20" i="1"/>
  <c r="L19" i="1"/>
  <c r="L20" i="1" l="1"/>
  <c r="H21" i="1"/>
  <c r="N55" i="1"/>
  <c r="R54" i="1"/>
  <c r="F20" i="1"/>
  <c r="B21" i="1"/>
  <c r="H53" i="1"/>
  <c r="L52" i="1"/>
  <c r="R19" i="1"/>
  <c r="N20" i="1"/>
  <c r="B52" i="1"/>
  <c r="F51" i="1"/>
  <c r="F52" i="1" l="1"/>
  <c r="B53" i="1"/>
  <c r="B22" i="1"/>
  <c r="F21" i="1"/>
  <c r="H54" i="1"/>
  <c r="L53" i="1"/>
  <c r="N56" i="1"/>
  <c r="R55" i="1"/>
  <c r="R20" i="1"/>
  <c r="N21" i="1"/>
  <c r="L21" i="1"/>
  <c r="H22" i="1"/>
  <c r="B23" i="1" l="1"/>
  <c r="F22" i="1"/>
  <c r="H23" i="1"/>
  <c r="L22" i="1"/>
  <c r="N22" i="1"/>
  <c r="R21" i="1"/>
  <c r="F53" i="1"/>
  <c r="B54" i="1"/>
  <c r="N57" i="1"/>
  <c r="R56" i="1"/>
  <c r="H55" i="1"/>
  <c r="L54" i="1"/>
  <c r="B55" i="1" l="1"/>
  <c r="F54" i="1"/>
  <c r="H56" i="1"/>
  <c r="L56" i="1" s="1"/>
  <c r="L55" i="1"/>
  <c r="H24" i="1"/>
  <c r="L23" i="1"/>
  <c r="R57" i="1"/>
  <c r="N58" i="1"/>
  <c r="N23" i="1"/>
  <c r="R23" i="1" s="1"/>
  <c r="R22" i="1"/>
  <c r="B24" i="1"/>
  <c r="F23" i="1"/>
  <c r="N59" i="1" l="1"/>
  <c r="R59" i="1" s="1"/>
  <c r="R58" i="1"/>
  <c r="B25" i="1"/>
  <c r="F24" i="1"/>
  <c r="L24" i="1"/>
  <c r="H25" i="1"/>
  <c r="B56" i="1"/>
  <c r="F55" i="1"/>
  <c r="B57" i="1" l="1"/>
  <c r="F56" i="1"/>
  <c r="F25" i="1"/>
  <c r="B26" i="1"/>
  <c r="L25" i="1"/>
  <c r="H26" i="1"/>
  <c r="L26" i="1" l="1"/>
  <c r="H27" i="1"/>
  <c r="F26" i="1"/>
  <c r="B27" i="1"/>
  <c r="B58" i="1"/>
  <c r="F58" i="1" s="1"/>
  <c r="F57" i="1"/>
  <c r="B28" i="1" l="1"/>
  <c r="F28" i="1" s="1"/>
  <c r="F27" i="1"/>
  <c r="L27" i="1"/>
  <c r="H28" i="1"/>
  <c r="L28" i="1" l="1"/>
  <c r="H29" i="1"/>
  <c r="L29" i="1" l="1"/>
  <c r="H30" i="1"/>
  <c r="L30" i="1" l="1"/>
  <c r="H31" i="1"/>
  <c r="L31" i="1" s="1"/>
</calcChain>
</file>

<file path=xl/sharedStrings.xml><?xml version="1.0" encoding="utf-8"?>
<sst xmlns="http://schemas.openxmlformats.org/spreadsheetml/2006/main" count="64" uniqueCount="8">
  <si>
    <t>Site</t>
  </si>
  <si>
    <t>Cross Section</t>
  </si>
  <si>
    <t>Stream Discharge (m^3/s)</t>
  </si>
  <si>
    <t>Area (m^2)</t>
  </si>
  <si>
    <t>Width (m)</t>
  </si>
  <si>
    <t>Depth (m)</t>
  </si>
  <si>
    <t>Velocity (m/s)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</si>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</sst>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0" xfId="0" applyFont="1" applyAlignment="1"/>
    <xf numFmtId="0" fontId="1" fillId="2" borderId="3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1" fillId="0" borderId="3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(176.25)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8589855755210082E-3"/>
                  <c:y val="-0.13162349533894471"/>
                </c:manualLayout>
              </c:layout>
              <c:numFmt formatCode="General" sourceLinked="0"/>
            </c:trendlineLbl>
          </c:trendline>
          <c:xVal>
            <c:numRef>
              <c:f>'Collected Data Site 1673'!$B$6:$B$28</c:f>
              <c:numCache>
                <c:formatCode>General</c:formatCode>
                <c:ptCount val="23"/>
                <c:pt idx="0">
                  <c:v>5750</c:v>
                </c:pt>
                <c:pt idx="1">
                  <c:v>5500</c:v>
                </c:pt>
                <c:pt idx="2">
                  <c:v>5250</c:v>
                </c:pt>
                <c:pt idx="3">
                  <c:v>5000</c:v>
                </c:pt>
                <c:pt idx="4">
                  <c:v>4750</c:v>
                </c:pt>
                <c:pt idx="5">
                  <c:v>4500</c:v>
                </c:pt>
                <c:pt idx="6">
                  <c:v>4250</c:v>
                </c:pt>
                <c:pt idx="7">
                  <c:v>4000</c:v>
                </c:pt>
                <c:pt idx="8">
                  <c:v>3750</c:v>
                </c:pt>
                <c:pt idx="9">
                  <c:v>3500</c:v>
                </c:pt>
                <c:pt idx="10">
                  <c:v>3250</c:v>
                </c:pt>
                <c:pt idx="11">
                  <c:v>3000</c:v>
                </c:pt>
                <c:pt idx="12">
                  <c:v>2750</c:v>
                </c:pt>
                <c:pt idx="13">
                  <c:v>2500</c:v>
                </c:pt>
                <c:pt idx="14">
                  <c:v>2250</c:v>
                </c:pt>
                <c:pt idx="15">
                  <c:v>2000</c:v>
                </c:pt>
                <c:pt idx="16">
                  <c:v>1750</c:v>
                </c:pt>
                <c:pt idx="17">
                  <c:v>1500</c:v>
                </c:pt>
                <c:pt idx="18">
                  <c:v>1250</c:v>
                </c:pt>
                <c:pt idx="19">
                  <c:v>1000</c:v>
                </c:pt>
                <c:pt idx="20">
                  <c:v>750</c:v>
                </c:pt>
                <c:pt idx="21">
                  <c:v>500</c:v>
                </c:pt>
                <c:pt idx="22">
                  <c:v>250</c:v>
                </c:pt>
              </c:numCache>
            </c:numRef>
          </c:xVal>
          <c:yVal>
            <c:numRef>
              <c:f>'Collected Data Site 1673'!$E$6:$E$28</c:f>
              <c:numCache>
                <c:formatCode>General</c:formatCode>
                <c:ptCount val="23"/>
                <c:pt idx="0">
                  <c:v>10.62</c:v>
                </c:pt>
                <c:pt idx="1">
                  <c:v>10.43</c:v>
                </c:pt>
                <c:pt idx="2">
                  <c:v>10.24</c:v>
                </c:pt>
                <c:pt idx="3">
                  <c:v>10.1</c:v>
                </c:pt>
                <c:pt idx="4">
                  <c:v>9.8800000000000008</c:v>
                </c:pt>
                <c:pt idx="5">
                  <c:v>9.66</c:v>
                </c:pt>
                <c:pt idx="6">
                  <c:v>9.4</c:v>
                </c:pt>
                <c:pt idx="7">
                  <c:v>9.17</c:v>
                </c:pt>
                <c:pt idx="8">
                  <c:v>8.94</c:v>
                </c:pt>
                <c:pt idx="9">
                  <c:v>8.73</c:v>
                </c:pt>
                <c:pt idx="10">
                  <c:v>8.49</c:v>
                </c:pt>
                <c:pt idx="11">
                  <c:v>8.24</c:v>
                </c:pt>
                <c:pt idx="12">
                  <c:v>7.24</c:v>
                </c:pt>
                <c:pt idx="13">
                  <c:v>6.85</c:v>
                </c:pt>
                <c:pt idx="14">
                  <c:v>6.54</c:v>
                </c:pt>
                <c:pt idx="15">
                  <c:v>6.1</c:v>
                </c:pt>
                <c:pt idx="16">
                  <c:v>5.71</c:v>
                </c:pt>
                <c:pt idx="17">
                  <c:v>5.25</c:v>
                </c:pt>
                <c:pt idx="18">
                  <c:v>4.76</c:v>
                </c:pt>
                <c:pt idx="19">
                  <c:v>4.2300000000000004</c:v>
                </c:pt>
                <c:pt idx="20">
                  <c:v>3.63</c:v>
                </c:pt>
                <c:pt idx="21">
                  <c:v>2.91</c:v>
                </c:pt>
                <c:pt idx="22">
                  <c:v>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1-4FCA-A98F-E426A002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58474"/>
        <c:axId val="1229975020"/>
      </c:scatterChart>
      <c:valAx>
        <c:axId val="462458474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9975020"/>
        <c:crosses val="autoZero"/>
        <c:crossBetween val="midCat"/>
      </c:valAx>
      <c:valAx>
        <c:axId val="12299750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4584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(176.25)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999977566906699"/>
                  <c:y val="-2.9397049506742691E-2"/>
                </c:manualLayout>
              </c:layout>
              <c:numFmt formatCode="General" sourceLinked="0"/>
            </c:trendlineLbl>
          </c:trendline>
          <c:xVal>
            <c:numRef>
              <c:f>'Collected Data Site 1673'!$B$6:$B$28</c:f>
              <c:numCache>
                <c:formatCode>General</c:formatCode>
                <c:ptCount val="23"/>
                <c:pt idx="0">
                  <c:v>5750</c:v>
                </c:pt>
                <c:pt idx="1">
                  <c:v>5500</c:v>
                </c:pt>
                <c:pt idx="2">
                  <c:v>5250</c:v>
                </c:pt>
                <c:pt idx="3">
                  <c:v>5000</c:v>
                </c:pt>
                <c:pt idx="4">
                  <c:v>4750</c:v>
                </c:pt>
                <c:pt idx="5">
                  <c:v>4500</c:v>
                </c:pt>
                <c:pt idx="6">
                  <c:v>4250</c:v>
                </c:pt>
                <c:pt idx="7">
                  <c:v>4000</c:v>
                </c:pt>
                <c:pt idx="8">
                  <c:v>3750</c:v>
                </c:pt>
                <c:pt idx="9">
                  <c:v>3500</c:v>
                </c:pt>
                <c:pt idx="10">
                  <c:v>3250</c:v>
                </c:pt>
                <c:pt idx="11">
                  <c:v>3000</c:v>
                </c:pt>
                <c:pt idx="12">
                  <c:v>2750</c:v>
                </c:pt>
                <c:pt idx="13">
                  <c:v>2500</c:v>
                </c:pt>
                <c:pt idx="14">
                  <c:v>2250</c:v>
                </c:pt>
                <c:pt idx="15">
                  <c:v>2000</c:v>
                </c:pt>
                <c:pt idx="16">
                  <c:v>1750</c:v>
                </c:pt>
                <c:pt idx="17">
                  <c:v>1500</c:v>
                </c:pt>
                <c:pt idx="18">
                  <c:v>1250</c:v>
                </c:pt>
                <c:pt idx="19">
                  <c:v>1000</c:v>
                </c:pt>
                <c:pt idx="20">
                  <c:v>750</c:v>
                </c:pt>
                <c:pt idx="21">
                  <c:v>500</c:v>
                </c:pt>
                <c:pt idx="22">
                  <c:v>250</c:v>
                </c:pt>
              </c:numCache>
            </c:numRef>
          </c:xVal>
          <c:yVal>
            <c:numRef>
              <c:f>'Collected Data Site 1673'!$D$6:$D$28</c:f>
              <c:numCache>
                <c:formatCode>General</c:formatCode>
                <c:ptCount val="23"/>
                <c:pt idx="0">
                  <c:v>237.57999999999998</c:v>
                </c:pt>
                <c:pt idx="1">
                  <c:v>236.16</c:v>
                </c:pt>
                <c:pt idx="2">
                  <c:v>230.98</c:v>
                </c:pt>
                <c:pt idx="3">
                  <c:v>228.38</c:v>
                </c:pt>
                <c:pt idx="4">
                  <c:v>225.14</c:v>
                </c:pt>
                <c:pt idx="5">
                  <c:v>219.39</c:v>
                </c:pt>
                <c:pt idx="6">
                  <c:v>207.58999999999997</c:v>
                </c:pt>
                <c:pt idx="7">
                  <c:v>206.39</c:v>
                </c:pt>
                <c:pt idx="8">
                  <c:v>200.56</c:v>
                </c:pt>
                <c:pt idx="9">
                  <c:v>196.77999999999997</c:v>
                </c:pt>
                <c:pt idx="10">
                  <c:v>192.42000000000002</c:v>
                </c:pt>
                <c:pt idx="11">
                  <c:v>187.89</c:v>
                </c:pt>
                <c:pt idx="12">
                  <c:v>121.07000000000001</c:v>
                </c:pt>
                <c:pt idx="13">
                  <c:v>118.33</c:v>
                </c:pt>
                <c:pt idx="14">
                  <c:v>115.56</c:v>
                </c:pt>
                <c:pt idx="15">
                  <c:v>112.33</c:v>
                </c:pt>
                <c:pt idx="16">
                  <c:v>109.32</c:v>
                </c:pt>
                <c:pt idx="17">
                  <c:v>105.60000000000001</c:v>
                </c:pt>
                <c:pt idx="18">
                  <c:v>101.87</c:v>
                </c:pt>
                <c:pt idx="19">
                  <c:v>97.77</c:v>
                </c:pt>
                <c:pt idx="20">
                  <c:v>92.67</c:v>
                </c:pt>
                <c:pt idx="21">
                  <c:v>85.27000000000001</c:v>
                </c:pt>
                <c:pt idx="22">
                  <c:v>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8-4CBA-AB3C-94D459FA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65322"/>
        <c:axId val="1694718211"/>
      </c:scatterChart>
      <c:valAx>
        <c:axId val="666365322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4718211"/>
        <c:crosses val="autoZero"/>
        <c:crossBetween val="midCat"/>
      </c:valAx>
      <c:valAx>
        <c:axId val="169471821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63653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(545.67)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169079671492674"/>
                  <c:y val="-6.3670558421576609E-2"/>
                </c:manualLayout>
              </c:layout>
              <c:numFmt formatCode="General" sourceLinked="0"/>
            </c:trendlineLbl>
          </c:trendline>
          <c:xVal>
            <c:numRef>
              <c:f>'Collected Data Site 1673'!$H$6:$H$31</c:f>
              <c:numCache>
                <c:formatCode>General</c:formatCode>
                <c:ptCount val="26"/>
                <c:pt idx="0">
                  <c:v>13000</c:v>
                </c:pt>
                <c:pt idx="1">
                  <c:v>12500</c:v>
                </c:pt>
                <c:pt idx="2">
                  <c:v>12000</c:v>
                </c:pt>
                <c:pt idx="3">
                  <c:v>11500</c:v>
                </c:pt>
                <c:pt idx="4">
                  <c:v>11000</c:v>
                </c:pt>
                <c:pt idx="5">
                  <c:v>10500</c:v>
                </c:pt>
                <c:pt idx="6">
                  <c:v>10000</c:v>
                </c:pt>
                <c:pt idx="7">
                  <c:v>9500</c:v>
                </c:pt>
                <c:pt idx="8">
                  <c:v>9000</c:v>
                </c:pt>
                <c:pt idx="9">
                  <c:v>8500</c:v>
                </c:pt>
                <c:pt idx="10">
                  <c:v>8000</c:v>
                </c:pt>
                <c:pt idx="11">
                  <c:v>7500</c:v>
                </c:pt>
                <c:pt idx="12">
                  <c:v>7000</c:v>
                </c:pt>
                <c:pt idx="13">
                  <c:v>6500</c:v>
                </c:pt>
                <c:pt idx="14">
                  <c:v>6000</c:v>
                </c:pt>
                <c:pt idx="15">
                  <c:v>5500</c:v>
                </c:pt>
                <c:pt idx="16">
                  <c:v>5000</c:v>
                </c:pt>
                <c:pt idx="17">
                  <c:v>4500</c:v>
                </c:pt>
                <c:pt idx="18">
                  <c:v>4000</c:v>
                </c:pt>
                <c:pt idx="19">
                  <c:v>3500</c:v>
                </c:pt>
                <c:pt idx="20">
                  <c:v>3000</c:v>
                </c:pt>
                <c:pt idx="21">
                  <c:v>2500</c:v>
                </c:pt>
                <c:pt idx="22">
                  <c:v>2000</c:v>
                </c:pt>
                <c:pt idx="23">
                  <c:v>1500</c:v>
                </c:pt>
                <c:pt idx="24">
                  <c:v>1000</c:v>
                </c:pt>
                <c:pt idx="25">
                  <c:v>500</c:v>
                </c:pt>
              </c:numCache>
            </c:numRef>
          </c:xVal>
          <c:yVal>
            <c:numRef>
              <c:f>'Collected Data Site 1673'!$J$6:$J$31</c:f>
              <c:numCache>
                <c:formatCode>General</c:formatCode>
                <c:ptCount val="26"/>
                <c:pt idx="0">
                  <c:v>169.24</c:v>
                </c:pt>
                <c:pt idx="1">
                  <c:v>161.80000000000001</c:v>
                </c:pt>
                <c:pt idx="2">
                  <c:v>160.84</c:v>
                </c:pt>
                <c:pt idx="3">
                  <c:v>158.91999999999999</c:v>
                </c:pt>
                <c:pt idx="4">
                  <c:v>157.4</c:v>
                </c:pt>
                <c:pt idx="5">
                  <c:v>156.22999999999999</c:v>
                </c:pt>
                <c:pt idx="6">
                  <c:v>155.26</c:v>
                </c:pt>
                <c:pt idx="7">
                  <c:v>154.28</c:v>
                </c:pt>
                <c:pt idx="8">
                  <c:v>151.75</c:v>
                </c:pt>
                <c:pt idx="9">
                  <c:v>149.99</c:v>
                </c:pt>
                <c:pt idx="10">
                  <c:v>148.63</c:v>
                </c:pt>
                <c:pt idx="11">
                  <c:v>146.87</c:v>
                </c:pt>
                <c:pt idx="12">
                  <c:v>144.72</c:v>
                </c:pt>
                <c:pt idx="13">
                  <c:v>142.77000000000001</c:v>
                </c:pt>
                <c:pt idx="14">
                  <c:v>140.43</c:v>
                </c:pt>
                <c:pt idx="15">
                  <c:v>137.66</c:v>
                </c:pt>
                <c:pt idx="16">
                  <c:v>135.03</c:v>
                </c:pt>
                <c:pt idx="17">
                  <c:v>131.9</c:v>
                </c:pt>
                <c:pt idx="18">
                  <c:v>128.61000000000001</c:v>
                </c:pt>
                <c:pt idx="19">
                  <c:v>124.85</c:v>
                </c:pt>
                <c:pt idx="20">
                  <c:v>120.15</c:v>
                </c:pt>
                <c:pt idx="21">
                  <c:v>105.46</c:v>
                </c:pt>
                <c:pt idx="22">
                  <c:v>99.02</c:v>
                </c:pt>
                <c:pt idx="23">
                  <c:v>89.76</c:v>
                </c:pt>
                <c:pt idx="24">
                  <c:v>80.069999999999993</c:v>
                </c:pt>
                <c:pt idx="25">
                  <c:v>70.31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4-4592-9019-78D11DF1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972531"/>
        <c:axId val="1894280276"/>
      </c:scatterChart>
      <c:valAx>
        <c:axId val="1817972531"/>
        <c:scaling>
          <c:logBase val="10"/>
          <c:orientation val="minMax"/>
          <c:max val="2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4280276"/>
        <c:crosses val="autoZero"/>
        <c:crossBetween val="midCat"/>
      </c:valAx>
      <c:valAx>
        <c:axId val="189428027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79725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(756.65)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681248177311171"/>
                  <c:y val="0.17683048239659699"/>
                </c:manualLayout>
              </c:layout>
              <c:numFmt formatCode="General" sourceLinked="0"/>
            </c:trendlineLbl>
          </c:trendline>
          <c:xVal>
            <c:numRef>
              <c:f>'Collected Data Site 1673'!$N$6:$N$23</c:f>
              <c:numCache>
                <c:formatCode>General</c:formatCode>
                <c:ptCount val="18"/>
                <c:pt idx="0">
                  <c:v>2700</c:v>
                </c:pt>
                <c:pt idx="1">
                  <c:v>2550</c:v>
                </c:pt>
                <c:pt idx="2">
                  <c:v>2400</c:v>
                </c:pt>
                <c:pt idx="3">
                  <c:v>2250</c:v>
                </c:pt>
                <c:pt idx="4">
                  <c:v>2100</c:v>
                </c:pt>
                <c:pt idx="5">
                  <c:v>1950</c:v>
                </c:pt>
                <c:pt idx="6">
                  <c:v>1800</c:v>
                </c:pt>
                <c:pt idx="7">
                  <c:v>1650</c:v>
                </c:pt>
                <c:pt idx="8">
                  <c:v>1500</c:v>
                </c:pt>
                <c:pt idx="9">
                  <c:v>1350</c:v>
                </c:pt>
                <c:pt idx="10">
                  <c:v>1200</c:v>
                </c:pt>
                <c:pt idx="11">
                  <c:v>1050</c:v>
                </c:pt>
                <c:pt idx="12">
                  <c:v>900</c:v>
                </c:pt>
                <c:pt idx="13">
                  <c:v>750</c:v>
                </c:pt>
                <c:pt idx="14">
                  <c:v>600</c:v>
                </c:pt>
                <c:pt idx="15">
                  <c:v>450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'Collected Data Site 1673'!$P$6:$P$23</c:f>
              <c:numCache>
                <c:formatCode>General</c:formatCode>
                <c:ptCount val="18"/>
                <c:pt idx="0">
                  <c:v>248.49</c:v>
                </c:pt>
                <c:pt idx="1">
                  <c:v>246.15</c:v>
                </c:pt>
                <c:pt idx="2">
                  <c:v>242.44</c:v>
                </c:pt>
                <c:pt idx="3">
                  <c:v>239.91</c:v>
                </c:pt>
                <c:pt idx="4">
                  <c:v>236.59</c:v>
                </c:pt>
                <c:pt idx="5">
                  <c:v>233.08</c:v>
                </c:pt>
                <c:pt idx="6">
                  <c:v>229.96</c:v>
                </c:pt>
                <c:pt idx="7">
                  <c:v>226.25</c:v>
                </c:pt>
                <c:pt idx="8">
                  <c:v>222.94</c:v>
                </c:pt>
                <c:pt idx="9">
                  <c:v>218.26</c:v>
                </c:pt>
                <c:pt idx="10">
                  <c:v>214.42</c:v>
                </c:pt>
                <c:pt idx="11">
                  <c:v>209.98</c:v>
                </c:pt>
                <c:pt idx="12">
                  <c:v>205.23</c:v>
                </c:pt>
                <c:pt idx="13">
                  <c:v>200.31</c:v>
                </c:pt>
                <c:pt idx="14">
                  <c:v>194.61</c:v>
                </c:pt>
                <c:pt idx="15">
                  <c:v>188.74</c:v>
                </c:pt>
                <c:pt idx="16">
                  <c:v>180.34</c:v>
                </c:pt>
                <c:pt idx="17">
                  <c:v>170.35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B-46DE-B541-3B5275CB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5738"/>
        <c:axId val="1467844629"/>
      </c:scatterChart>
      <c:valAx>
        <c:axId val="161885738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7844629"/>
        <c:crosses val="autoZero"/>
        <c:crossBetween val="midCat"/>
      </c:valAx>
      <c:valAx>
        <c:axId val="146784462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88573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(1259.42)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8.5951948314153037E-2"/>
                  <c:y val="0.2048674088152774"/>
                </c:manualLayout>
              </c:layout>
              <c:numFmt formatCode="General" sourceLinked="0"/>
            </c:trendlineLbl>
          </c:trendline>
          <c:xVal>
            <c:numRef>
              <c:f>'Collected Data Site 1673'!$B$39:$B$58</c:f>
              <c:numCache>
                <c:formatCode>General</c:formatCode>
                <c:ptCount val="20"/>
                <c:pt idx="0">
                  <c:v>3000</c:v>
                </c:pt>
                <c:pt idx="1">
                  <c:v>2850</c:v>
                </c:pt>
                <c:pt idx="2">
                  <c:v>2700</c:v>
                </c:pt>
                <c:pt idx="3">
                  <c:v>2550</c:v>
                </c:pt>
                <c:pt idx="4">
                  <c:v>2400</c:v>
                </c:pt>
                <c:pt idx="5">
                  <c:v>2250</c:v>
                </c:pt>
                <c:pt idx="6">
                  <c:v>2100</c:v>
                </c:pt>
                <c:pt idx="7">
                  <c:v>1950</c:v>
                </c:pt>
                <c:pt idx="8">
                  <c:v>1800</c:v>
                </c:pt>
                <c:pt idx="9">
                  <c:v>1650</c:v>
                </c:pt>
                <c:pt idx="10">
                  <c:v>1500</c:v>
                </c:pt>
                <c:pt idx="11">
                  <c:v>1350</c:v>
                </c:pt>
                <c:pt idx="12">
                  <c:v>1200</c:v>
                </c:pt>
                <c:pt idx="13">
                  <c:v>1050</c:v>
                </c:pt>
                <c:pt idx="14">
                  <c:v>900</c:v>
                </c:pt>
                <c:pt idx="15">
                  <c:v>750</c:v>
                </c:pt>
                <c:pt idx="16">
                  <c:v>600</c:v>
                </c:pt>
                <c:pt idx="17">
                  <c:v>450</c:v>
                </c:pt>
                <c:pt idx="18">
                  <c:v>300</c:v>
                </c:pt>
                <c:pt idx="19">
                  <c:v>150</c:v>
                </c:pt>
              </c:numCache>
            </c:numRef>
          </c:xVal>
          <c:yVal>
            <c:numRef>
              <c:f>'Collected Data Site 1673'!$D$39:$D$58</c:f>
              <c:numCache>
                <c:formatCode>General</c:formatCode>
                <c:ptCount val="20"/>
                <c:pt idx="0">
                  <c:v>292.39</c:v>
                </c:pt>
                <c:pt idx="1">
                  <c:v>290.87</c:v>
                </c:pt>
                <c:pt idx="2">
                  <c:v>282.88</c:v>
                </c:pt>
                <c:pt idx="3">
                  <c:v>275.46999999999997</c:v>
                </c:pt>
                <c:pt idx="4">
                  <c:v>181.14</c:v>
                </c:pt>
                <c:pt idx="5">
                  <c:v>179.24</c:v>
                </c:pt>
                <c:pt idx="6">
                  <c:v>177.18</c:v>
                </c:pt>
                <c:pt idx="7">
                  <c:v>175.12</c:v>
                </c:pt>
                <c:pt idx="8">
                  <c:v>173.21</c:v>
                </c:pt>
                <c:pt idx="9">
                  <c:v>170.84</c:v>
                </c:pt>
                <c:pt idx="10">
                  <c:v>168.9</c:v>
                </c:pt>
                <c:pt idx="11">
                  <c:v>166.48</c:v>
                </c:pt>
                <c:pt idx="12">
                  <c:v>163.68</c:v>
                </c:pt>
                <c:pt idx="13">
                  <c:v>161.26</c:v>
                </c:pt>
                <c:pt idx="14">
                  <c:v>158.59</c:v>
                </c:pt>
                <c:pt idx="15">
                  <c:v>155.28</c:v>
                </c:pt>
                <c:pt idx="16">
                  <c:v>152.1</c:v>
                </c:pt>
                <c:pt idx="17">
                  <c:v>147.38999999999999</c:v>
                </c:pt>
                <c:pt idx="18">
                  <c:v>143.02000000000001</c:v>
                </c:pt>
                <c:pt idx="19">
                  <c:v>136.61000000000001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6-4481-B222-5B5F4EF9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03291"/>
        <c:axId val="1175744400"/>
      </c:scatterChart>
      <c:valAx>
        <c:axId val="785603291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5744400"/>
        <c:crosses val="autoZero"/>
        <c:crossBetween val="midCat"/>
      </c:valAx>
      <c:valAx>
        <c:axId val="11757444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56032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(1681.1)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940750148166962"/>
                  <c:y val="-3.1983346909222554E-2"/>
                </c:manualLayout>
              </c:layout>
              <c:numFmt formatCode="General" sourceLinked="0"/>
            </c:trendlineLbl>
          </c:trendline>
          <c:xVal>
            <c:numRef>
              <c:f>'Collected Data Site 1673'!$H$39:$H$56</c:f>
              <c:numCache>
                <c:formatCode>General</c:formatCode>
                <c:ptCount val="18"/>
                <c:pt idx="0">
                  <c:v>2700</c:v>
                </c:pt>
                <c:pt idx="1">
                  <c:v>2550</c:v>
                </c:pt>
                <c:pt idx="2">
                  <c:v>2400</c:v>
                </c:pt>
                <c:pt idx="3">
                  <c:v>2250</c:v>
                </c:pt>
                <c:pt idx="4">
                  <c:v>2100</c:v>
                </c:pt>
                <c:pt idx="5">
                  <c:v>1950</c:v>
                </c:pt>
                <c:pt idx="6">
                  <c:v>1800</c:v>
                </c:pt>
                <c:pt idx="7">
                  <c:v>1650</c:v>
                </c:pt>
                <c:pt idx="8">
                  <c:v>1500</c:v>
                </c:pt>
                <c:pt idx="9">
                  <c:v>1350</c:v>
                </c:pt>
                <c:pt idx="10">
                  <c:v>1200</c:v>
                </c:pt>
                <c:pt idx="11">
                  <c:v>1050</c:v>
                </c:pt>
                <c:pt idx="12">
                  <c:v>900</c:v>
                </c:pt>
                <c:pt idx="13">
                  <c:v>750</c:v>
                </c:pt>
                <c:pt idx="14">
                  <c:v>600</c:v>
                </c:pt>
                <c:pt idx="15">
                  <c:v>450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'Collected Data Site 1673'!$J$39:$J$56</c:f>
              <c:numCache>
                <c:formatCode>General</c:formatCode>
                <c:ptCount val="18"/>
                <c:pt idx="0">
                  <c:v>239.64</c:v>
                </c:pt>
                <c:pt idx="1">
                  <c:v>187.04000000000002</c:v>
                </c:pt>
                <c:pt idx="2">
                  <c:v>175.55</c:v>
                </c:pt>
                <c:pt idx="3">
                  <c:v>170.45</c:v>
                </c:pt>
                <c:pt idx="4">
                  <c:v>165.43</c:v>
                </c:pt>
                <c:pt idx="5">
                  <c:v>159.88</c:v>
                </c:pt>
                <c:pt idx="6">
                  <c:v>155.79</c:v>
                </c:pt>
                <c:pt idx="7">
                  <c:v>156.76</c:v>
                </c:pt>
                <c:pt idx="8">
                  <c:v>143.65</c:v>
                </c:pt>
                <c:pt idx="9">
                  <c:v>136.41</c:v>
                </c:pt>
                <c:pt idx="10">
                  <c:v>128.54999999999998</c:v>
                </c:pt>
                <c:pt idx="11">
                  <c:v>119.03999999999999</c:v>
                </c:pt>
                <c:pt idx="12">
                  <c:v>107.92</c:v>
                </c:pt>
                <c:pt idx="13">
                  <c:v>95.66</c:v>
                </c:pt>
                <c:pt idx="14">
                  <c:v>82.24</c:v>
                </c:pt>
                <c:pt idx="15">
                  <c:v>64.259999999999991</c:v>
                </c:pt>
                <c:pt idx="16">
                  <c:v>47.92</c:v>
                </c:pt>
                <c:pt idx="17">
                  <c:v>33.89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7-4478-8B97-C19FB08A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31084"/>
        <c:axId val="876286815"/>
      </c:scatterChart>
      <c:valAx>
        <c:axId val="1372231084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6286815"/>
        <c:crosses val="autoZero"/>
        <c:crossBetween val="midCat"/>
      </c:valAx>
      <c:valAx>
        <c:axId val="87628681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22310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(1884.39)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1.9171097202593267E-2"/>
                  <c:y val="0.14132898904878269"/>
                </c:manualLayout>
              </c:layout>
              <c:numFmt formatCode="General" sourceLinked="0"/>
            </c:trendlineLbl>
          </c:trendline>
          <c:xVal>
            <c:numRef>
              <c:f>'Collected Data Site 1673'!$N$39:$N$62</c:f>
              <c:numCache>
                <c:formatCode>General</c:formatCode>
                <c:ptCount val="24"/>
                <c:pt idx="0">
                  <c:v>18000</c:v>
                </c:pt>
                <c:pt idx="1">
                  <c:v>17000</c:v>
                </c:pt>
                <c:pt idx="2">
                  <c:v>16000</c:v>
                </c:pt>
                <c:pt idx="3">
                  <c:v>15000</c:v>
                </c:pt>
                <c:pt idx="4">
                  <c:v>14000</c:v>
                </c:pt>
                <c:pt idx="5">
                  <c:v>13000</c:v>
                </c:pt>
                <c:pt idx="6">
                  <c:v>12000</c:v>
                </c:pt>
                <c:pt idx="7">
                  <c:v>11000</c:v>
                </c:pt>
                <c:pt idx="8">
                  <c:v>10000</c:v>
                </c:pt>
                <c:pt idx="9">
                  <c:v>9000</c:v>
                </c:pt>
                <c:pt idx="10">
                  <c:v>8000</c:v>
                </c:pt>
                <c:pt idx="11">
                  <c:v>7000</c:v>
                </c:pt>
                <c:pt idx="12">
                  <c:v>6000</c:v>
                </c:pt>
                <c:pt idx="13">
                  <c:v>5000</c:v>
                </c:pt>
                <c:pt idx="14">
                  <c:v>4000</c:v>
                </c:pt>
                <c:pt idx="15">
                  <c:v>3000</c:v>
                </c:pt>
                <c:pt idx="16">
                  <c:v>2000</c:v>
                </c:pt>
                <c:pt idx="17">
                  <c:v>1000</c:v>
                </c:pt>
                <c:pt idx="18">
                  <c:v>900</c:v>
                </c:pt>
                <c:pt idx="19">
                  <c:v>800</c:v>
                </c:pt>
                <c:pt idx="20">
                  <c:v>700</c:v>
                </c:pt>
                <c:pt idx="21">
                  <c:v>500</c:v>
                </c:pt>
                <c:pt idx="22">
                  <c:v>300</c:v>
                </c:pt>
                <c:pt idx="23">
                  <c:v>100</c:v>
                </c:pt>
              </c:numCache>
            </c:numRef>
          </c:xVal>
          <c:yVal>
            <c:numRef>
              <c:f>'Collected Data Site 1673'!$P$39:$P$62</c:f>
              <c:numCache>
                <c:formatCode>General</c:formatCode>
                <c:ptCount val="24"/>
                <c:pt idx="0">
                  <c:v>260.86</c:v>
                </c:pt>
                <c:pt idx="1">
                  <c:v>259.89999999999998</c:v>
                </c:pt>
                <c:pt idx="2">
                  <c:v>258.93</c:v>
                </c:pt>
                <c:pt idx="3">
                  <c:v>257.39</c:v>
                </c:pt>
                <c:pt idx="4">
                  <c:v>255.66</c:v>
                </c:pt>
                <c:pt idx="5">
                  <c:v>253.92</c:v>
                </c:pt>
                <c:pt idx="6">
                  <c:v>252.76</c:v>
                </c:pt>
                <c:pt idx="7">
                  <c:v>251.41</c:v>
                </c:pt>
                <c:pt idx="8">
                  <c:v>249.29</c:v>
                </c:pt>
                <c:pt idx="9">
                  <c:v>247.75</c:v>
                </c:pt>
                <c:pt idx="10">
                  <c:v>245.24</c:v>
                </c:pt>
                <c:pt idx="11">
                  <c:v>242.35</c:v>
                </c:pt>
                <c:pt idx="12">
                  <c:v>240.04</c:v>
                </c:pt>
                <c:pt idx="13">
                  <c:v>240.62</c:v>
                </c:pt>
                <c:pt idx="14">
                  <c:v>233.29</c:v>
                </c:pt>
                <c:pt idx="15">
                  <c:v>230.4</c:v>
                </c:pt>
                <c:pt idx="16">
                  <c:v>226.35</c:v>
                </c:pt>
                <c:pt idx="17">
                  <c:v>218.83</c:v>
                </c:pt>
                <c:pt idx="18">
                  <c:v>218.25</c:v>
                </c:pt>
                <c:pt idx="19">
                  <c:v>217.48</c:v>
                </c:pt>
                <c:pt idx="20">
                  <c:v>216.18</c:v>
                </c:pt>
                <c:pt idx="21">
                  <c:v>212.89</c:v>
                </c:pt>
                <c:pt idx="22">
                  <c:v>201.77</c:v>
                </c:pt>
                <c:pt idx="23">
                  <c:v>186.26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5-46F6-8CBC-1189C28AE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12411"/>
        <c:axId val="1695633128"/>
      </c:scatterChart>
      <c:valAx>
        <c:axId val="1007112411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5633128"/>
        <c:crosses val="autoZero"/>
        <c:crossBetween val="midCat"/>
      </c:valAx>
      <c:valAx>
        <c:axId val="169563312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7112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(2085.82)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1.3650088610718532E-2"/>
                  <c:y val="0.17201013666395149"/>
                </c:manualLayout>
              </c:layout>
              <c:numFmt formatCode="General" sourceLinked="0"/>
            </c:trendlineLbl>
          </c:trendline>
          <c:xVal>
            <c:numRef>
              <c:f>'Collected Data Site 1673'!$B$66:$B$85</c:f>
              <c:numCache>
                <c:formatCode>General</c:formatCode>
                <c:ptCount val="20"/>
                <c:pt idx="0">
                  <c:v>500</c:v>
                </c:pt>
                <c:pt idx="1">
                  <c:v>475</c:v>
                </c:pt>
                <c:pt idx="2">
                  <c:v>450</c:v>
                </c:pt>
                <c:pt idx="3">
                  <c:v>425</c:v>
                </c:pt>
                <c:pt idx="4">
                  <c:v>400</c:v>
                </c:pt>
                <c:pt idx="5">
                  <c:v>375</c:v>
                </c:pt>
                <c:pt idx="6">
                  <c:v>350</c:v>
                </c:pt>
                <c:pt idx="7">
                  <c:v>325</c:v>
                </c:pt>
                <c:pt idx="8">
                  <c:v>300</c:v>
                </c:pt>
                <c:pt idx="9">
                  <c:v>275</c:v>
                </c:pt>
                <c:pt idx="10">
                  <c:v>250</c:v>
                </c:pt>
                <c:pt idx="11">
                  <c:v>225</c:v>
                </c:pt>
                <c:pt idx="12">
                  <c:v>200</c:v>
                </c:pt>
                <c:pt idx="13">
                  <c:v>175</c:v>
                </c:pt>
                <c:pt idx="14">
                  <c:v>150</c:v>
                </c:pt>
                <c:pt idx="15">
                  <c:v>125</c:v>
                </c:pt>
                <c:pt idx="16">
                  <c:v>100</c:v>
                </c:pt>
                <c:pt idx="17">
                  <c:v>75</c:v>
                </c:pt>
                <c:pt idx="18">
                  <c:v>50</c:v>
                </c:pt>
                <c:pt idx="19">
                  <c:v>25</c:v>
                </c:pt>
              </c:numCache>
            </c:numRef>
          </c:xVal>
          <c:yVal>
            <c:numRef>
              <c:f>'Collected Data Site 1673'!$D$66:$D$85</c:f>
              <c:numCache>
                <c:formatCode>General</c:formatCode>
                <c:ptCount val="20"/>
                <c:pt idx="0">
                  <c:v>304.53999999999996</c:v>
                </c:pt>
                <c:pt idx="1">
                  <c:v>303.08000000000004</c:v>
                </c:pt>
                <c:pt idx="2">
                  <c:v>299.38</c:v>
                </c:pt>
                <c:pt idx="3">
                  <c:v>296.03000000000003</c:v>
                </c:pt>
                <c:pt idx="4">
                  <c:v>290.93</c:v>
                </c:pt>
                <c:pt idx="5">
                  <c:v>285.83</c:v>
                </c:pt>
                <c:pt idx="6">
                  <c:v>282.94</c:v>
                </c:pt>
                <c:pt idx="7">
                  <c:v>281.66999999999996</c:v>
                </c:pt>
                <c:pt idx="8">
                  <c:v>279.32</c:v>
                </c:pt>
                <c:pt idx="9">
                  <c:v>276.63</c:v>
                </c:pt>
                <c:pt idx="10">
                  <c:v>274.98</c:v>
                </c:pt>
                <c:pt idx="11">
                  <c:v>271.90999999999997</c:v>
                </c:pt>
                <c:pt idx="12">
                  <c:v>265.10000000000002</c:v>
                </c:pt>
                <c:pt idx="13">
                  <c:v>261.81</c:v>
                </c:pt>
                <c:pt idx="14">
                  <c:v>249.54000000000002</c:v>
                </c:pt>
                <c:pt idx="15">
                  <c:v>237.46000000000004</c:v>
                </c:pt>
                <c:pt idx="16">
                  <c:v>222.46999999999997</c:v>
                </c:pt>
                <c:pt idx="17">
                  <c:v>205.14999999999998</c:v>
                </c:pt>
                <c:pt idx="18">
                  <c:v>185.48999999999998</c:v>
                </c:pt>
                <c:pt idx="19">
                  <c:v>160.43000000000004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8-4B6A-B642-7B75E3D1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27177"/>
        <c:axId val="57659115"/>
      </c:scatterChart>
      <c:valAx>
        <c:axId val="1323927177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659115"/>
        <c:crosses val="autoZero"/>
        <c:crossBetween val="midCat"/>
      </c:valAx>
      <c:valAx>
        <c:axId val="5765911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39271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(2971.99)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6276013885361107E-2"/>
                  <c:y val="0.19848131052583945"/>
                </c:manualLayout>
              </c:layout>
              <c:numFmt formatCode="General" sourceLinked="0"/>
            </c:trendlineLbl>
          </c:trendline>
          <c:xVal>
            <c:numRef>
              <c:f>'Collected Data Site 1673'!$H$66:$H$90</c:f>
              <c:numCache>
                <c:formatCode>General</c:formatCode>
                <c:ptCount val="25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1700</c:v>
                </c:pt>
                <c:pt idx="9">
                  <c:v>1600</c:v>
                </c:pt>
                <c:pt idx="10">
                  <c:v>1500</c:v>
                </c:pt>
                <c:pt idx="11">
                  <c:v>1400</c:v>
                </c:pt>
                <c:pt idx="12">
                  <c:v>1300</c:v>
                </c:pt>
                <c:pt idx="13">
                  <c:v>1200</c:v>
                </c:pt>
                <c:pt idx="14">
                  <c:v>1100</c:v>
                </c:pt>
                <c:pt idx="15">
                  <c:v>1000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600</c:v>
                </c:pt>
                <c:pt idx="20">
                  <c:v>500</c:v>
                </c:pt>
                <c:pt idx="21">
                  <c:v>400</c:v>
                </c:pt>
                <c:pt idx="22">
                  <c:v>300</c:v>
                </c:pt>
                <c:pt idx="23">
                  <c:v>200</c:v>
                </c:pt>
                <c:pt idx="24">
                  <c:v>100</c:v>
                </c:pt>
              </c:numCache>
            </c:numRef>
          </c:xVal>
          <c:yVal>
            <c:numRef>
              <c:f>'Collected Data Site 1673'!$J$66:$J$90</c:f>
              <c:numCache>
                <c:formatCode>General</c:formatCode>
                <c:ptCount val="25"/>
                <c:pt idx="0">
                  <c:v>269.75</c:v>
                </c:pt>
                <c:pt idx="1">
                  <c:v>267.08999999999997</c:v>
                </c:pt>
                <c:pt idx="2">
                  <c:v>264.73</c:v>
                </c:pt>
                <c:pt idx="3">
                  <c:v>263.55</c:v>
                </c:pt>
                <c:pt idx="4">
                  <c:v>259.7</c:v>
                </c:pt>
                <c:pt idx="5">
                  <c:v>259.41000000000003</c:v>
                </c:pt>
                <c:pt idx="6">
                  <c:v>257.33999999999997</c:v>
                </c:pt>
                <c:pt idx="7">
                  <c:v>255.86</c:v>
                </c:pt>
                <c:pt idx="8">
                  <c:v>253.2</c:v>
                </c:pt>
                <c:pt idx="9">
                  <c:v>250.25</c:v>
                </c:pt>
                <c:pt idx="10">
                  <c:v>248.77</c:v>
                </c:pt>
                <c:pt idx="11">
                  <c:v>245.82</c:v>
                </c:pt>
                <c:pt idx="12">
                  <c:v>244.45</c:v>
                </c:pt>
                <c:pt idx="13">
                  <c:v>240.95</c:v>
                </c:pt>
                <c:pt idx="14">
                  <c:v>238.32</c:v>
                </c:pt>
                <c:pt idx="15">
                  <c:v>237.44</c:v>
                </c:pt>
                <c:pt idx="16">
                  <c:v>234.23</c:v>
                </c:pt>
                <c:pt idx="17">
                  <c:v>229.56</c:v>
                </c:pt>
                <c:pt idx="18">
                  <c:v>226.64</c:v>
                </c:pt>
                <c:pt idx="19">
                  <c:v>224.3</c:v>
                </c:pt>
                <c:pt idx="20">
                  <c:v>219.33</c:v>
                </c:pt>
                <c:pt idx="21">
                  <c:v>214.95</c:v>
                </c:pt>
                <c:pt idx="22">
                  <c:v>208.53</c:v>
                </c:pt>
                <c:pt idx="23">
                  <c:v>200.35</c:v>
                </c:pt>
                <c:pt idx="24">
                  <c:v>186.92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9-421E-ACBC-F2E0417F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61558"/>
        <c:axId val="1674356712"/>
      </c:scatterChart>
      <c:valAx>
        <c:axId val="1408761558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4356712"/>
        <c:crosses val="autoZero"/>
        <c:crossBetween val="midCat"/>
      </c:valAx>
      <c:valAx>
        <c:axId val="16743567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876155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(4466.44)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9.8687664041994753E-3"/>
                  <c:y val="0.17871039315961793"/>
                </c:manualLayout>
              </c:layout>
              <c:numFmt formatCode="General" sourceLinked="0"/>
            </c:trendlineLbl>
          </c:trendline>
          <c:xVal>
            <c:numRef>
              <c:f>'Collected Data Site 1673'!$N$70:$N$89</c:f>
              <c:numCache>
                <c:formatCode>General</c:formatCode>
                <c:ptCount val="20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</c:numCache>
            </c:numRef>
          </c:xVal>
          <c:yVal>
            <c:numRef>
              <c:f>'Collected Data Site 1673'!$P$70:$P$89</c:f>
              <c:numCache>
                <c:formatCode>General</c:formatCode>
                <c:ptCount val="20"/>
                <c:pt idx="0">
                  <c:v>285.27999999999997</c:v>
                </c:pt>
                <c:pt idx="1">
                  <c:v>284.58</c:v>
                </c:pt>
                <c:pt idx="2">
                  <c:v>285.05</c:v>
                </c:pt>
                <c:pt idx="3">
                  <c:v>275.71000000000004</c:v>
                </c:pt>
                <c:pt idx="4">
                  <c:v>272.67</c:v>
                </c:pt>
                <c:pt idx="5">
                  <c:v>270.09000000000003</c:v>
                </c:pt>
                <c:pt idx="6">
                  <c:v>263.26</c:v>
                </c:pt>
                <c:pt idx="7">
                  <c:v>261.22000000000003</c:v>
                </c:pt>
                <c:pt idx="8">
                  <c:v>250.26999999999998</c:v>
                </c:pt>
                <c:pt idx="9">
                  <c:v>245.20000000000002</c:v>
                </c:pt>
                <c:pt idx="10">
                  <c:v>240.20000000000002</c:v>
                </c:pt>
                <c:pt idx="11">
                  <c:v>236.81</c:v>
                </c:pt>
                <c:pt idx="12">
                  <c:v>233.48</c:v>
                </c:pt>
                <c:pt idx="13">
                  <c:v>227.73999999999998</c:v>
                </c:pt>
                <c:pt idx="14">
                  <c:v>221.43</c:v>
                </c:pt>
                <c:pt idx="15">
                  <c:v>215.56</c:v>
                </c:pt>
                <c:pt idx="16">
                  <c:v>208.96</c:v>
                </c:pt>
                <c:pt idx="17">
                  <c:v>195.53</c:v>
                </c:pt>
                <c:pt idx="18">
                  <c:v>190.79</c:v>
                </c:pt>
                <c:pt idx="19">
                  <c:v>184.14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4-49C1-8B41-85BECB6C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99125"/>
        <c:axId val="905140592"/>
      </c:scatterChart>
      <c:valAx>
        <c:axId val="614199125"/>
        <c:scaling>
          <c:logBase val="10"/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140592"/>
        <c:crosses val="autoZero"/>
        <c:crossBetween val="midCat"/>
      </c:valAx>
      <c:valAx>
        <c:axId val="9051405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41991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(176.25)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6879221347331583"/>
          <c:y val="0.16250000000000003"/>
          <c:w val="0.76867300962379703"/>
          <c:h val="0.6362037037037037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24604616730601"/>
                  <c:y val="-4.7853018372703414E-2"/>
                </c:manualLayout>
              </c:layout>
              <c:numFmt formatCode="General" sourceLinked="0"/>
            </c:trendlineLbl>
          </c:trendline>
          <c:xVal>
            <c:numRef>
              <c:f>'Collected Data Site 1673'!$B$6:$B$28</c:f>
              <c:numCache>
                <c:formatCode>General</c:formatCode>
                <c:ptCount val="23"/>
                <c:pt idx="0">
                  <c:v>5750</c:v>
                </c:pt>
                <c:pt idx="1">
                  <c:v>5500</c:v>
                </c:pt>
                <c:pt idx="2">
                  <c:v>5250</c:v>
                </c:pt>
                <c:pt idx="3">
                  <c:v>5000</c:v>
                </c:pt>
                <c:pt idx="4">
                  <c:v>4750</c:v>
                </c:pt>
                <c:pt idx="5">
                  <c:v>4500</c:v>
                </c:pt>
                <c:pt idx="6">
                  <c:v>4250</c:v>
                </c:pt>
                <c:pt idx="7">
                  <c:v>4000</c:v>
                </c:pt>
                <c:pt idx="8">
                  <c:v>3750</c:v>
                </c:pt>
                <c:pt idx="9">
                  <c:v>3500</c:v>
                </c:pt>
                <c:pt idx="10">
                  <c:v>3250</c:v>
                </c:pt>
                <c:pt idx="11">
                  <c:v>3000</c:v>
                </c:pt>
                <c:pt idx="12">
                  <c:v>2750</c:v>
                </c:pt>
                <c:pt idx="13">
                  <c:v>2500</c:v>
                </c:pt>
                <c:pt idx="14">
                  <c:v>2250</c:v>
                </c:pt>
                <c:pt idx="15">
                  <c:v>2000</c:v>
                </c:pt>
                <c:pt idx="16">
                  <c:v>1750</c:v>
                </c:pt>
                <c:pt idx="17">
                  <c:v>1500</c:v>
                </c:pt>
                <c:pt idx="18">
                  <c:v>1250</c:v>
                </c:pt>
                <c:pt idx="19">
                  <c:v>1000</c:v>
                </c:pt>
                <c:pt idx="20">
                  <c:v>750</c:v>
                </c:pt>
                <c:pt idx="21">
                  <c:v>500</c:v>
                </c:pt>
                <c:pt idx="22">
                  <c:v>250</c:v>
                </c:pt>
              </c:numCache>
            </c:numRef>
          </c:xVal>
          <c:yVal>
            <c:numRef>
              <c:f>'Collected Data Site 1673'!$C$6:$C$28</c:f>
              <c:numCache>
                <c:formatCode>General</c:formatCode>
                <c:ptCount val="23"/>
                <c:pt idx="0">
                  <c:v>1307.92</c:v>
                </c:pt>
                <c:pt idx="1">
                  <c:v>1267.3600000000001</c:v>
                </c:pt>
                <c:pt idx="2">
                  <c:v>1223.0700000000002</c:v>
                </c:pt>
                <c:pt idx="3">
                  <c:v>1182.1100000000001</c:v>
                </c:pt>
                <c:pt idx="4">
                  <c:v>1140.6199999999999</c:v>
                </c:pt>
                <c:pt idx="5">
                  <c:v>1089.44</c:v>
                </c:pt>
                <c:pt idx="6">
                  <c:v>1035.8800000000001</c:v>
                </c:pt>
                <c:pt idx="7">
                  <c:v>989.1</c:v>
                </c:pt>
                <c:pt idx="8">
                  <c:v>940.8</c:v>
                </c:pt>
                <c:pt idx="9">
                  <c:v>899.49</c:v>
                </c:pt>
                <c:pt idx="10">
                  <c:v>851.5</c:v>
                </c:pt>
                <c:pt idx="11">
                  <c:v>802.24</c:v>
                </c:pt>
                <c:pt idx="12">
                  <c:v>642.78</c:v>
                </c:pt>
                <c:pt idx="13">
                  <c:v>600.11</c:v>
                </c:pt>
                <c:pt idx="14">
                  <c:v>561.53</c:v>
                </c:pt>
                <c:pt idx="15">
                  <c:v>514.33000000000004</c:v>
                </c:pt>
                <c:pt idx="16">
                  <c:v>470.98999999999995</c:v>
                </c:pt>
                <c:pt idx="17">
                  <c:v>422.15</c:v>
                </c:pt>
                <c:pt idx="18">
                  <c:v>370.91999999999996</c:v>
                </c:pt>
                <c:pt idx="19">
                  <c:v>318.05</c:v>
                </c:pt>
                <c:pt idx="20">
                  <c:v>261.64999999999998</c:v>
                </c:pt>
                <c:pt idx="21">
                  <c:v>198.55</c:v>
                </c:pt>
                <c:pt idx="22">
                  <c:v>123.57000000000001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A-498D-B06E-42405576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69601"/>
        <c:axId val="2138686936"/>
      </c:scatterChart>
      <c:valAx>
        <c:axId val="714269601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686936"/>
        <c:crosses val="autoZero"/>
        <c:crossBetween val="midCat"/>
      </c:valAx>
      <c:valAx>
        <c:axId val="213868693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42696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(545.67)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462207546637315"/>
                  <c:y val="-6.7584758801701506E-2"/>
                </c:manualLayout>
              </c:layout>
              <c:numFmt formatCode="General" sourceLinked="0"/>
            </c:trendlineLbl>
          </c:trendline>
          <c:xVal>
            <c:numRef>
              <c:f>'Collected Data Site 1673'!$H$6:$H$31</c:f>
              <c:numCache>
                <c:formatCode>General</c:formatCode>
                <c:ptCount val="26"/>
                <c:pt idx="0">
                  <c:v>13000</c:v>
                </c:pt>
                <c:pt idx="1">
                  <c:v>12500</c:v>
                </c:pt>
                <c:pt idx="2">
                  <c:v>12000</c:v>
                </c:pt>
                <c:pt idx="3">
                  <c:v>11500</c:v>
                </c:pt>
                <c:pt idx="4">
                  <c:v>11000</c:v>
                </c:pt>
                <c:pt idx="5">
                  <c:v>10500</c:v>
                </c:pt>
                <c:pt idx="6">
                  <c:v>10000</c:v>
                </c:pt>
                <c:pt idx="7">
                  <c:v>9500</c:v>
                </c:pt>
                <c:pt idx="8">
                  <c:v>9000</c:v>
                </c:pt>
                <c:pt idx="9">
                  <c:v>8500</c:v>
                </c:pt>
                <c:pt idx="10">
                  <c:v>8000</c:v>
                </c:pt>
                <c:pt idx="11">
                  <c:v>7500</c:v>
                </c:pt>
                <c:pt idx="12">
                  <c:v>7000</c:v>
                </c:pt>
                <c:pt idx="13">
                  <c:v>6500</c:v>
                </c:pt>
                <c:pt idx="14">
                  <c:v>6000</c:v>
                </c:pt>
                <c:pt idx="15">
                  <c:v>5500</c:v>
                </c:pt>
                <c:pt idx="16">
                  <c:v>5000</c:v>
                </c:pt>
                <c:pt idx="17">
                  <c:v>4500</c:v>
                </c:pt>
                <c:pt idx="18">
                  <c:v>4000</c:v>
                </c:pt>
                <c:pt idx="19">
                  <c:v>3500</c:v>
                </c:pt>
                <c:pt idx="20">
                  <c:v>3000</c:v>
                </c:pt>
                <c:pt idx="21">
                  <c:v>2500</c:v>
                </c:pt>
                <c:pt idx="22">
                  <c:v>2000</c:v>
                </c:pt>
                <c:pt idx="23">
                  <c:v>1500</c:v>
                </c:pt>
                <c:pt idx="24">
                  <c:v>1000</c:v>
                </c:pt>
                <c:pt idx="25">
                  <c:v>500</c:v>
                </c:pt>
              </c:numCache>
            </c:numRef>
          </c:xVal>
          <c:yVal>
            <c:numRef>
              <c:f>'Collected Data Site 1673'!$K$6:$K$31</c:f>
              <c:numCache>
                <c:formatCode>General</c:formatCode>
                <c:ptCount val="26"/>
                <c:pt idx="0">
                  <c:v>14.45</c:v>
                </c:pt>
                <c:pt idx="1">
                  <c:v>13.77</c:v>
                </c:pt>
                <c:pt idx="2">
                  <c:v>13.63</c:v>
                </c:pt>
                <c:pt idx="3">
                  <c:v>13.58</c:v>
                </c:pt>
                <c:pt idx="4">
                  <c:v>13.39</c:v>
                </c:pt>
                <c:pt idx="5">
                  <c:v>13.19</c:v>
                </c:pt>
                <c:pt idx="6">
                  <c:v>13.03</c:v>
                </c:pt>
                <c:pt idx="7">
                  <c:v>12.9</c:v>
                </c:pt>
                <c:pt idx="8">
                  <c:v>12.68</c:v>
                </c:pt>
                <c:pt idx="9">
                  <c:v>12.5</c:v>
                </c:pt>
                <c:pt idx="10">
                  <c:v>12.28</c:v>
                </c:pt>
                <c:pt idx="11">
                  <c:v>12.1</c:v>
                </c:pt>
                <c:pt idx="12">
                  <c:v>11.92</c:v>
                </c:pt>
                <c:pt idx="13">
                  <c:v>11.77</c:v>
                </c:pt>
                <c:pt idx="14">
                  <c:v>11.46</c:v>
                </c:pt>
                <c:pt idx="15">
                  <c:v>11.16</c:v>
                </c:pt>
                <c:pt idx="16">
                  <c:v>10.82</c:v>
                </c:pt>
                <c:pt idx="17">
                  <c:v>10.45</c:v>
                </c:pt>
                <c:pt idx="18">
                  <c:v>9.99</c:v>
                </c:pt>
                <c:pt idx="19">
                  <c:v>9.6</c:v>
                </c:pt>
                <c:pt idx="20">
                  <c:v>9.09</c:v>
                </c:pt>
                <c:pt idx="21">
                  <c:v>7.93</c:v>
                </c:pt>
                <c:pt idx="22">
                  <c:v>7.18</c:v>
                </c:pt>
                <c:pt idx="23">
                  <c:v>6.29</c:v>
                </c:pt>
                <c:pt idx="24">
                  <c:v>5.25</c:v>
                </c:pt>
                <c:pt idx="2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7-49C0-81B4-AB61CC41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20061"/>
        <c:axId val="1118233056"/>
      </c:scatterChart>
      <c:valAx>
        <c:axId val="1390420061"/>
        <c:scaling>
          <c:logBase val="10"/>
          <c:orientation val="minMax"/>
          <c:max val="2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233056"/>
        <c:crosses val="autoZero"/>
        <c:crossBetween val="midCat"/>
      </c:valAx>
      <c:valAx>
        <c:axId val="111823305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04200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(545.67)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2784218101769536"/>
                  <c:y val="-2.6751018191691556E-2"/>
                </c:manualLayout>
              </c:layout>
              <c:numFmt formatCode="General" sourceLinked="0"/>
            </c:trendlineLbl>
          </c:trendline>
          <c:xVal>
            <c:numRef>
              <c:f>'Collected Data Site 1673'!$H$6:$H$31</c:f>
              <c:numCache>
                <c:formatCode>General</c:formatCode>
                <c:ptCount val="26"/>
                <c:pt idx="0">
                  <c:v>13000</c:v>
                </c:pt>
                <c:pt idx="1">
                  <c:v>12500</c:v>
                </c:pt>
                <c:pt idx="2">
                  <c:v>12000</c:v>
                </c:pt>
                <c:pt idx="3">
                  <c:v>11500</c:v>
                </c:pt>
                <c:pt idx="4">
                  <c:v>11000</c:v>
                </c:pt>
                <c:pt idx="5">
                  <c:v>10500</c:v>
                </c:pt>
                <c:pt idx="6">
                  <c:v>10000</c:v>
                </c:pt>
                <c:pt idx="7">
                  <c:v>9500</c:v>
                </c:pt>
                <c:pt idx="8">
                  <c:v>9000</c:v>
                </c:pt>
                <c:pt idx="9">
                  <c:v>8500</c:v>
                </c:pt>
                <c:pt idx="10">
                  <c:v>8000</c:v>
                </c:pt>
                <c:pt idx="11">
                  <c:v>7500</c:v>
                </c:pt>
                <c:pt idx="12">
                  <c:v>7000</c:v>
                </c:pt>
                <c:pt idx="13">
                  <c:v>6500</c:v>
                </c:pt>
                <c:pt idx="14">
                  <c:v>6000</c:v>
                </c:pt>
                <c:pt idx="15">
                  <c:v>5500</c:v>
                </c:pt>
                <c:pt idx="16">
                  <c:v>5000</c:v>
                </c:pt>
                <c:pt idx="17">
                  <c:v>4500</c:v>
                </c:pt>
                <c:pt idx="18">
                  <c:v>4000</c:v>
                </c:pt>
                <c:pt idx="19">
                  <c:v>3500</c:v>
                </c:pt>
                <c:pt idx="20">
                  <c:v>3000</c:v>
                </c:pt>
                <c:pt idx="21">
                  <c:v>2500</c:v>
                </c:pt>
                <c:pt idx="22">
                  <c:v>2000</c:v>
                </c:pt>
                <c:pt idx="23">
                  <c:v>1500</c:v>
                </c:pt>
                <c:pt idx="24">
                  <c:v>1000</c:v>
                </c:pt>
                <c:pt idx="25">
                  <c:v>500</c:v>
                </c:pt>
              </c:numCache>
            </c:numRef>
          </c:xVal>
          <c:yVal>
            <c:numRef>
              <c:f>'Collected Data Site 1673'!$I$6:$I$31</c:f>
              <c:numCache>
                <c:formatCode>General</c:formatCode>
                <c:ptCount val="26"/>
                <c:pt idx="0">
                  <c:v>1477.32</c:v>
                </c:pt>
                <c:pt idx="1">
                  <c:v>1361.45</c:v>
                </c:pt>
                <c:pt idx="2">
                  <c:v>1343.25</c:v>
                </c:pt>
                <c:pt idx="3">
                  <c:v>1327.24</c:v>
                </c:pt>
                <c:pt idx="4">
                  <c:v>1299.45</c:v>
                </c:pt>
                <c:pt idx="5">
                  <c:v>1270.78</c:v>
                </c:pt>
                <c:pt idx="6">
                  <c:v>1244.75</c:v>
                </c:pt>
                <c:pt idx="7">
                  <c:v>1220.45</c:v>
                </c:pt>
                <c:pt idx="8">
                  <c:v>1192.1600000000001</c:v>
                </c:pt>
                <c:pt idx="9">
                  <c:v>1161.57</c:v>
                </c:pt>
                <c:pt idx="10">
                  <c:v>1132.32</c:v>
                </c:pt>
                <c:pt idx="11">
                  <c:v>1113.1300000000001</c:v>
                </c:pt>
                <c:pt idx="12">
                  <c:v>1078.55</c:v>
                </c:pt>
                <c:pt idx="13">
                  <c:v>1049.92</c:v>
                </c:pt>
                <c:pt idx="14">
                  <c:v>1012.15</c:v>
                </c:pt>
                <c:pt idx="15">
                  <c:v>971.89</c:v>
                </c:pt>
                <c:pt idx="16">
                  <c:v>927.13</c:v>
                </c:pt>
                <c:pt idx="17">
                  <c:v>878.5</c:v>
                </c:pt>
                <c:pt idx="18">
                  <c:v>823.06</c:v>
                </c:pt>
                <c:pt idx="19">
                  <c:v>769.08</c:v>
                </c:pt>
                <c:pt idx="20">
                  <c:v>710.13</c:v>
                </c:pt>
                <c:pt idx="21">
                  <c:v>577.28</c:v>
                </c:pt>
                <c:pt idx="22">
                  <c:v>498.7</c:v>
                </c:pt>
                <c:pt idx="23">
                  <c:v>415.5</c:v>
                </c:pt>
                <c:pt idx="24">
                  <c:v>328.73</c:v>
                </c:pt>
                <c:pt idx="25">
                  <c:v>226.67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0-4B0C-801A-D98B293B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05329"/>
        <c:axId val="29300896"/>
      </c:scatterChart>
      <c:valAx>
        <c:axId val="1159705329"/>
        <c:scaling>
          <c:logBase val="10"/>
          <c:orientation val="minMax"/>
          <c:max val="2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300896"/>
        <c:crosses val="autoZero"/>
        <c:crossBetween val="midCat"/>
      </c:valAx>
      <c:valAx>
        <c:axId val="2930089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970532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(756.65)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499764452520358"/>
                  <c:y val="-4.6810752104262852E-2"/>
                </c:manualLayout>
              </c:layout>
              <c:numFmt formatCode="General" sourceLinked="0"/>
            </c:trendlineLbl>
          </c:trendline>
          <c:xVal>
            <c:numRef>
              <c:f>'Collected Data Site 1673'!$N$6:$N$23</c:f>
              <c:numCache>
                <c:formatCode>General</c:formatCode>
                <c:ptCount val="18"/>
                <c:pt idx="0">
                  <c:v>2700</c:v>
                </c:pt>
                <c:pt idx="1">
                  <c:v>2550</c:v>
                </c:pt>
                <c:pt idx="2">
                  <c:v>2400</c:v>
                </c:pt>
                <c:pt idx="3">
                  <c:v>2250</c:v>
                </c:pt>
                <c:pt idx="4">
                  <c:v>2100</c:v>
                </c:pt>
                <c:pt idx="5">
                  <c:v>1950</c:v>
                </c:pt>
                <c:pt idx="6">
                  <c:v>1800</c:v>
                </c:pt>
                <c:pt idx="7">
                  <c:v>1650</c:v>
                </c:pt>
                <c:pt idx="8">
                  <c:v>1500</c:v>
                </c:pt>
                <c:pt idx="9">
                  <c:v>1350</c:v>
                </c:pt>
                <c:pt idx="10">
                  <c:v>1200</c:v>
                </c:pt>
                <c:pt idx="11">
                  <c:v>1050</c:v>
                </c:pt>
                <c:pt idx="12">
                  <c:v>900</c:v>
                </c:pt>
                <c:pt idx="13">
                  <c:v>750</c:v>
                </c:pt>
                <c:pt idx="14">
                  <c:v>600</c:v>
                </c:pt>
                <c:pt idx="15">
                  <c:v>450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'Collected Data Site 1673'!$O$6:$O$23</c:f>
              <c:numCache>
                <c:formatCode>General</c:formatCode>
                <c:ptCount val="18"/>
                <c:pt idx="0">
                  <c:v>1806.62</c:v>
                </c:pt>
                <c:pt idx="1">
                  <c:v>1750.26</c:v>
                </c:pt>
                <c:pt idx="2">
                  <c:v>1682.39</c:v>
                </c:pt>
                <c:pt idx="3">
                  <c:v>1619.43</c:v>
                </c:pt>
                <c:pt idx="4">
                  <c:v>1556.08</c:v>
                </c:pt>
                <c:pt idx="5">
                  <c:v>1485.92</c:v>
                </c:pt>
                <c:pt idx="6">
                  <c:v>1424.27</c:v>
                </c:pt>
                <c:pt idx="7">
                  <c:v>1350.22</c:v>
                </c:pt>
                <c:pt idx="8">
                  <c:v>1278.72</c:v>
                </c:pt>
                <c:pt idx="9">
                  <c:v>1201.02</c:v>
                </c:pt>
                <c:pt idx="10">
                  <c:v>1121.5899999999999</c:v>
                </c:pt>
                <c:pt idx="11">
                  <c:v>1042.03</c:v>
                </c:pt>
                <c:pt idx="12">
                  <c:v>955.26</c:v>
                </c:pt>
                <c:pt idx="13">
                  <c:v>864.27</c:v>
                </c:pt>
                <c:pt idx="14">
                  <c:v>766.51</c:v>
                </c:pt>
                <c:pt idx="15">
                  <c:v>656.18</c:v>
                </c:pt>
                <c:pt idx="16">
                  <c:v>531.63</c:v>
                </c:pt>
                <c:pt idx="17">
                  <c:v>377.4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7-43AB-BF45-FCDE2FAC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25609"/>
        <c:axId val="1896506165"/>
      </c:scatterChart>
      <c:valAx>
        <c:axId val="840925609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6506165"/>
        <c:crosses val="autoZero"/>
        <c:crossBetween val="midCat"/>
      </c:valAx>
      <c:valAx>
        <c:axId val="189650616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09256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(1259.42)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8.7922246898624851E-2"/>
                  <c:y val="0.18047026880260658"/>
                </c:manualLayout>
              </c:layout>
              <c:numFmt formatCode="General" sourceLinked="0"/>
            </c:trendlineLbl>
          </c:trendline>
          <c:xVal>
            <c:numRef>
              <c:f>'Collected Data Site 1673'!$B$39:$B$58</c:f>
              <c:numCache>
                <c:formatCode>General</c:formatCode>
                <c:ptCount val="20"/>
                <c:pt idx="0">
                  <c:v>3000</c:v>
                </c:pt>
                <c:pt idx="1">
                  <c:v>2850</c:v>
                </c:pt>
                <c:pt idx="2">
                  <c:v>2700</c:v>
                </c:pt>
                <c:pt idx="3">
                  <c:v>2550</c:v>
                </c:pt>
                <c:pt idx="4">
                  <c:v>2400</c:v>
                </c:pt>
                <c:pt idx="5">
                  <c:v>2250</c:v>
                </c:pt>
                <c:pt idx="6">
                  <c:v>2100</c:v>
                </c:pt>
                <c:pt idx="7">
                  <c:v>1950</c:v>
                </c:pt>
                <c:pt idx="8">
                  <c:v>1800</c:v>
                </c:pt>
                <c:pt idx="9">
                  <c:v>1650</c:v>
                </c:pt>
                <c:pt idx="10">
                  <c:v>1500</c:v>
                </c:pt>
                <c:pt idx="11">
                  <c:v>1350</c:v>
                </c:pt>
                <c:pt idx="12">
                  <c:v>1200</c:v>
                </c:pt>
                <c:pt idx="13">
                  <c:v>1050</c:v>
                </c:pt>
                <c:pt idx="14">
                  <c:v>900</c:v>
                </c:pt>
                <c:pt idx="15">
                  <c:v>750</c:v>
                </c:pt>
                <c:pt idx="16">
                  <c:v>600</c:v>
                </c:pt>
                <c:pt idx="17">
                  <c:v>450</c:v>
                </c:pt>
                <c:pt idx="18">
                  <c:v>300</c:v>
                </c:pt>
                <c:pt idx="19">
                  <c:v>150</c:v>
                </c:pt>
              </c:numCache>
            </c:numRef>
          </c:xVal>
          <c:yVal>
            <c:numRef>
              <c:f>'Collected Data Site 1673'!$C$39:$C$58</c:f>
              <c:numCache>
                <c:formatCode>General</c:formatCode>
                <c:ptCount val="20"/>
                <c:pt idx="0">
                  <c:v>2066.0700000000002</c:v>
                </c:pt>
                <c:pt idx="1">
                  <c:v>1995.06</c:v>
                </c:pt>
                <c:pt idx="2">
                  <c:v>1834.51</c:v>
                </c:pt>
                <c:pt idx="3">
                  <c:v>1762.36</c:v>
                </c:pt>
                <c:pt idx="4">
                  <c:v>1653.4</c:v>
                </c:pt>
                <c:pt idx="5">
                  <c:v>1609.97</c:v>
                </c:pt>
                <c:pt idx="6">
                  <c:v>1553.87</c:v>
                </c:pt>
                <c:pt idx="7">
                  <c:v>1503.38</c:v>
                </c:pt>
                <c:pt idx="8">
                  <c:v>1451.88</c:v>
                </c:pt>
                <c:pt idx="9">
                  <c:v>1399.34</c:v>
                </c:pt>
                <c:pt idx="10">
                  <c:v>1347.58</c:v>
                </c:pt>
                <c:pt idx="11">
                  <c:v>1287.6600000000001</c:v>
                </c:pt>
                <c:pt idx="12">
                  <c:v>1226.71</c:v>
                </c:pt>
                <c:pt idx="13">
                  <c:v>1167.24</c:v>
                </c:pt>
                <c:pt idx="14">
                  <c:v>1101</c:v>
                </c:pt>
                <c:pt idx="15">
                  <c:v>1033.08</c:v>
                </c:pt>
                <c:pt idx="16">
                  <c:v>950.25</c:v>
                </c:pt>
                <c:pt idx="17">
                  <c:v>864.04</c:v>
                </c:pt>
                <c:pt idx="18">
                  <c:v>764.57</c:v>
                </c:pt>
                <c:pt idx="19">
                  <c:v>640.16999999999996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9-4B38-AE77-B2E92808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7928"/>
        <c:axId val="1563511189"/>
      </c:scatterChart>
      <c:valAx>
        <c:axId val="454347928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511189"/>
        <c:crosses val="autoZero"/>
        <c:crossBetween val="midCat"/>
      </c:valAx>
      <c:valAx>
        <c:axId val="156351118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43479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(1681.1)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0328067056134112"/>
                  <c:y val="0.19264367816091954"/>
                </c:manualLayout>
              </c:layout>
              <c:numFmt formatCode="General" sourceLinked="0"/>
            </c:trendlineLbl>
          </c:trendline>
          <c:xVal>
            <c:numRef>
              <c:f>'Collected Data Site 1673'!$H$39:$H$56</c:f>
              <c:numCache>
                <c:formatCode>General</c:formatCode>
                <c:ptCount val="18"/>
                <c:pt idx="0">
                  <c:v>2700</c:v>
                </c:pt>
                <c:pt idx="1">
                  <c:v>2550</c:v>
                </c:pt>
                <c:pt idx="2">
                  <c:v>2400</c:v>
                </c:pt>
                <c:pt idx="3">
                  <c:v>2250</c:v>
                </c:pt>
                <c:pt idx="4">
                  <c:v>2100</c:v>
                </c:pt>
                <c:pt idx="5">
                  <c:v>1950</c:v>
                </c:pt>
                <c:pt idx="6">
                  <c:v>1800</c:v>
                </c:pt>
                <c:pt idx="7">
                  <c:v>1650</c:v>
                </c:pt>
                <c:pt idx="8">
                  <c:v>1500</c:v>
                </c:pt>
                <c:pt idx="9">
                  <c:v>1350</c:v>
                </c:pt>
                <c:pt idx="10">
                  <c:v>1200</c:v>
                </c:pt>
                <c:pt idx="11">
                  <c:v>1050</c:v>
                </c:pt>
                <c:pt idx="12">
                  <c:v>900</c:v>
                </c:pt>
                <c:pt idx="13">
                  <c:v>750</c:v>
                </c:pt>
                <c:pt idx="14">
                  <c:v>600</c:v>
                </c:pt>
                <c:pt idx="15">
                  <c:v>450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'Collected Data Site 1673'!$I$39:$I$56</c:f>
              <c:numCache>
                <c:formatCode>General</c:formatCode>
                <c:ptCount val="18"/>
                <c:pt idx="0">
                  <c:v>557.11</c:v>
                </c:pt>
                <c:pt idx="1">
                  <c:v>504.88</c:v>
                </c:pt>
                <c:pt idx="2">
                  <c:v>468.75</c:v>
                </c:pt>
                <c:pt idx="3">
                  <c:v>440.52</c:v>
                </c:pt>
                <c:pt idx="4">
                  <c:v>416.26</c:v>
                </c:pt>
                <c:pt idx="5">
                  <c:v>391.5</c:v>
                </c:pt>
                <c:pt idx="6">
                  <c:v>370.40999999999997</c:v>
                </c:pt>
                <c:pt idx="7">
                  <c:v>344.82</c:v>
                </c:pt>
                <c:pt idx="8">
                  <c:v>320.37</c:v>
                </c:pt>
                <c:pt idx="9">
                  <c:v>290.84999999999997</c:v>
                </c:pt>
                <c:pt idx="10">
                  <c:v>264.66999999999996</c:v>
                </c:pt>
                <c:pt idx="11">
                  <c:v>235.83</c:v>
                </c:pt>
                <c:pt idx="12">
                  <c:v>205.61</c:v>
                </c:pt>
                <c:pt idx="13">
                  <c:v>175.49</c:v>
                </c:pt>
                <c:pt idx="14">
                  <c:v>144.25</c:v>
                </c:pt>
                <c:pt idx="15">
                  <c:v>110.32</c:v>
                </c:pt>
                <c:pt idx="16">
                  <c:v>75.739999999999995</c:v>
                </c:pt>
                <c:pt idx="17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0-429A-8B26-01247F84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2096"/>
        <c:axId val="1319033855"/>
      </c:scatterChart>
      <c:valAx>
        <c:axId val="303062096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9033855"/>
        <c:crosses val="autoZero"/>
        <c:crossBetween val="midCat"/>
      </c:valAx>
      <c:valAx>
        <c:axId val="131903385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30620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(1884.39)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0657738295533572E-2"/>
                  <c:y val="0.13287356321839081"/>
                </c:manualLayout>
              </c:layout>
              <c:numFmt formatCode="General" sourceLinked="0"/>
            </c:trendlineLbl>
          </c:trendline>
          <c:xVal>
            <c:numRef>
              <c:f>'Collected Data Site 1673'!$N$39:$N$62</c:f>
              <c:numCache>
                <c:formatCode>General</c:formatCode>
                <c:ptCount val="24"/>
                <c:pt idx="0">
                  <c:v>18000</c:v>
                </c:pt>
                <c:pt idx="1">
                  <c:v>17000</c:v>
                </c:pt>
                <c:pt idx="2">
                  <c:v>16000</c:v>
                </c:pt>
                <c:pt idx="3">
                  <c:v>15000</c:v>
                </c:pt>
                <c:pt idx="4">
                  <c:v>14000</c:v>
                </c:pt>
                <c:pt idx="5">
                  <c:v>13000</c:v>
                </c:pt>
                <c:pt idx="6">
                  <c:v>12000</c:v>
                </c:pt>
                <c:pt idx="7">
                  <c:v>11000</c:v>
                </c:pt>
                <c:pt idx="8">
                  <c:v>10000</c:v>
                </c:pt>
                <c:pt idx="9">
                  <c:v>9000</c:v>
                </c:pt>
                <c:pt idx="10">
                  <c:v>8000</c:v>
                </c:pt>
                <c:pt idx="11">
                  <c:v>7000</c:v>
                </c:pt>
                <c:pt idx="12">
                  <c:v>6000</c:v>
                </c:pt>
                <c:pt idx="13">
                  <c:v>5000</c:v>
                </c:pt>
                <c:pt idx="14">
                  <c:v>4000</c:v>
                </c:pt>
                <c:pt idx="15">
                  <c:v>3000</c:v>
                </c:pt>
                <c:pt idx="16">
                  <c:v>2000</c:v>
                </c:pt>
                <c:pt idx="17">
                  <c:v>1000</c:v>
                </c:pt>
                <c:pt idx="18">
                  <c:v>900</c:v>
                </c:pt>
                <c:pt idx="19">
                  <c:v>800</c:v>
                </c:pt>
                <c:pt idx="20">
                  <c:v>700</c:v>
                </c:pt>
                <c:pt idx="21">
                  <c:v>500</c:v>
                </c:pt>
                <c:pt idx="22">
                  <c:v>300</c:v>
                </c:pt>
                <c:pt idx="23">
                  <c:v>100</c:v>
                </c:pt>
              </c:numCache>
            </c:numRef>
          </c:xVal>
          <c:yVal>
            <c:numRef>
              <c:f>'Collected Data Site 1673'!$O$39:$O$62</c:f>
              <c:numCache>
                <c:formatCode>General</c:formatCode>
                <c:ptCount val="24"/>
                <c:pt idx="0">
                  <c:v>4974.76</c:v>
                </c:pt>
                <c:pt idx="1">
                  <c:v>4907.28</c:v>
                </c:pt>
                <c:pt idx="2">
                  <c:v>4832.78</c:v>
                </c:pt>
                <c:pt idx="3">
                  <c:v>4749.76</c:v>
                </c:pt>
                <c:pt idx="4">
                  <c:v>4670.21</c:v>
                </c:pt>
                <c:pt idx="5">
                  <c:v>4586.3999999999996</c:v>
                </c:pt>
                <c:pt idx="6">
                  <c:v>4517.3100000000004</c:v>
                </c:pt>
                <c:pt idx="7">
                  <c:v>4404.46</c:v>
                </c:pt>
                <c:pt idx="8">
                  <c:v>4310.04</c:v>
                </c:pt>
                <c:pt idx="9">
                  <c:v>4200.3</c:v>
                </c:pt>
                <c:pt idx="10">
                  <c:v>4071.39</c:v>
                </c:pt>
                <c:pt idx="11">
                  <c:v>3926.72</c:v>
                </c:pt>
                <c:pt idx="12">
                  <c:v>3789</c:v>
                </c:pt>
                <c:pt idx="13">
                  <c:v>3788.23</c:v>
                </c:pt>
                <c:pt idx="14">
                  <c:v>3454.92</c:v>
                </c:pt>
                <c:pt idx="15">
                  <c:v>3256.61</c:v>
                </c:pt>
                <c:pt idx="16">
                  <c:v>3024.9</c:v>
                </c:pt>
                <c:pt idx="17">
                  <c:v>2679.93</c:v>
                </c:pt>
                <c:pt idx="18">
                  <c:v>2651.39</c:v>
                </c:pt>
                <c:pt idx="19">
                  <c:v>2604.4499999999998</c:v>
                </c:pt>
                <c:pt idx="20">
                  <c:v>2549.56</c:v>
                </c:pt>
                <c:pt idx="21">
                  <c:v>2419.9299999999998</c:v>
                </c:pt>
                <c:pt idx="22">
                  <c:v>2251.89</c:v>
                </c:pt>
                <c:pt idx="23">
                  <c:v>1967.37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D-4308-B8EE-AC76ADB1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1020"/>
        <c:axId val="1764761951"/>
      </c:scatterChart>
      <c:valAx>
        <c:axId val="212451020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4761951"/>
        <c:crosses val="autoZero"/>
        <c:crossBetween val="midCat"/>
      </c:valAx>
      <c:valAx>
        <c:axId val="176476195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510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(2085.82)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1.079031787693205E-4"/>
                  <c:y val="0.22370748484025704"/>
                </c:manualLayout>
              </c:layout>
              <c:numFmt formatCode="General" sourceLinked="0"/>
            </c:trendlineLbl>
          </c:trendline>
          <c:xVal>
            <c:numRef>
              <c:f>'Collected Data Site 1673'!$B$66:$B$85</c:f>
              <c:numCache>
                <c:formatCode>General</c:formatCode>
                <c:ptCount val="20"/>
                <c:pt idx="0">
                  <c:v>500</c:v>
                </c:pt>
                <c:pt idx="1">
                  <c:v>475</c:v>
                </c:pt>
                <c:pt idx="2">
                  <c:v>450</c:v>
                </c:pt>
                <c:pt idx="3">
                  <c:v>425</c:v>
                </c:pt>
                <c:pt idx="4">
                  <c:v>400</c:v>
                </c:pt>
                <c:pt idx="5">
                  <c:v>375</c:v>
                </c:pt>
                <c:pt idx="6">
                  <c:v>350</c:v>
                </c:pt>
                <c:pt idx="7">
                  <c:v>325</c:v>
                </c:pt>
                <c:pt idx="8">
                  <c:v>300</c:v>
                </c:pt>
                <c:pt idx="9">
                  <c:v>275</c:v>
                </c:pt>
                <c:pt idx="10">
                  <c:v>250</c:v>
                </c:pt>
                <c:pt idx="11">
                  <c:v>225</c:v>
                </c:pt>
                <c:pt idx="12">
                  <c:v>200</c:v>
                </c:pt>
                <c:pt idx="13">
                  <c:v>175</c:v>
                </c:pt>
                <c:pt idx="14">
                  <c:v>150</c:v>
                </c:pt>
                <c:pt idx="15">
                  <c:v>125</c:v>
                </c:pt>
                <c:pt idx="16">
                  <c:v>100</c:v>
                </c:pt>
                <c:pt idx="17">
                  <c:v>75</c:v>
                </c:pt>
                <c:pt idx="18">
                  <c:v>50</c:v>
                </c:pt>
                <c:pt idx="19">
                  <c:v>25</c:v>
                </c:pt>
              </c:numCache>
            </c:numRef>
          </c:xVal>
          <c:yVal>
            <c:numRef>
              <c:f>'Collected Data Site 1673'!$C$66:$C$85</c:f>
              <c:numCache>
                <c:formatCode>General</c:formatCode>
                <c:ptCount val="20"/>
                <c:pt idx="0">
                  <c:v>1489.1999999999998</c:v>
                </c:pt>
                <c:pt idx="1">
                  <c:v>1456.1200000000001</c:v>
                </c:pt>
                <c:pt idx="2">
                  <c:v>1433.3829999999998</c:v>
                </c:pt>
                <c:pt idx="3">
                  <c:v>1408.19</c:v>
                </c:pt>
                <c:pt idx="4">
                  <c:v>1374.08</c:v>
                </c:pt>
                <c:pt idx="5">
                  <c:v>1344.9199999999998</c:v>
                </c:pt>
                <c:pt idx="6">
                  <c:v>1303.29</c:v>
                </c:pt>
                <c:pt idx="7">
                  <c:v>1273.6300000000001</c:v>
                </c:pt>
                <c:pt idx="8">
                  <c:v>1230.8800000000001</c:v>
                </c:pt>
                <c:pt idx="9">
                  <c:v>1191.3999999999999</c:v>
                </c:pt>
                <c:pt idx="10">
                  <c:v>1158.48</c:v>
                </c:pt>
                <c:pt idx="11">
                  <c:v>1111.06</c:v>
                </c:pt>
                <c:pt idx="12">
                  <c:v>1065.32</c:v>
                </c:pt>
                <c:pt idx="13">
                  <c:v>1011.77</c:v>
                </c:pt>
                <c:pt idx="14">
                  <c:v>965.43</c:v>
                </c:pt>
                <c:pt idx="15">
                  <c:v>909.15000000000009</c:v>
                </c:pt>
                <c:pt idx="16">
                  <c:v>850.62</c:v>
                </c:pt>
                <c:pt idx="17">
                  <c:v>792.22</c:v>
                </c:pt>
                <c:pt idx="18">
                  <c:v>725.68999999999994</c:v>
                </c:pt>
                <c:pt idx="19">
                  <c:v>655.66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7-47AD-99BB-12EE089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407375"/>
        <c:axId val="1734609275"/>
      </c:scatterChart>
      <c:valAx>
        <c:axId val="1890407375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4609275"/>
        <c:crosses val="autoZero"/>
        <c:crossBetween val="midCat"/>
      </c:valAx>
      <c:valAx>
        <c:axId val="173460927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04073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(2971.99)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5.6217198656619533E-2"/>
                  <c:y val="0.13747126436781609"/>
                </c:manualLayout>
              </c:layout>
              <c:numFmt formatCode="General" sourceLinked="0"/>
            </c:trendlineLbl>
          </c:trendline>
          <c:xVal>
            <c:numRef>
              <c:f>'Collected Data Site 1673'!$H$66:$H$90</c:f>
              <c:numCache>
                <c:formatCode>General</c:formatCode>
                <c:ptCount val="25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1700</c:v>
                </c:pt>
                <c:pt idx="9">
                  <c:v>1600</c:v>
                </c:pt>
                <c:pt idx="10">
                  <c:v>1500</c:v>
                </c:pt>
                <c:pt idx="11">
                  <c:v>1400</c:v>
                </c:pt>
                <c:pt idx="12">
                  <c:v>1300</c:v>
                </c:pt>
                <c:pt idx="13">
                  <c:v>1200</c:v>
                </c:pt>
                <c:pt idx="14">
                  <c:v>1100</c:v>
                </c:pt>
                <c:pt idx="15">
                  <c:v>1000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600</c:v>
                </c:pt>
                <c:pt idx="20">
                  <c:v>500</c:v>
                </c:pt>
                <c:pt idx="21">
                  <c:v>400</c:v>
                </c:pt>
                <c:pt idx="22">
                  <c:v>300</c:v>
                </c:pt>
                <c:pt idx="23">
                  <c:v>200</c:v>
                </c:pt>
                <c:pt idx="24">
                  <c:v>100</c:v>
                </c:pt>
              </c:numCache>
            </c:numRef>
          </c:xVal>
          <c:yVal>
            <c:numRef>
              <c:f>'Collected Data Site 1673'!$I$66:$I$90</c:f>
              <c:numCache>
                <c:formatCode>General</c:formatCode>
                <c:ptCount val="25"/>
                <c:pt idx="0">
                  <c:v>4282.17</c:v>
                </c:pt>
                <c:pt idx="1">
                  <c:v>4256.95</c:v>
                </c:pt>
                <c:pt idx="2">
                  <c:v>4233.2299999999996</c:v>
                </c:pt>
                <c:pt idx="3">
                  <c:v>4177.12</c:v>
                </c:pt>
                <c:pt idx="4">
                  <c:v>4153.13</c:v>
                </c:pt>
                <c:pt idx="5">
                  <c:v>4139.1000000000004</c:v>
                </c:pt>
                <c:pt idx="6">
                  <c:v>4094.96</c:v>
                </c:pt>
                <c:pt idx="7">
                  <c:v>4013.16</c:v>
                </c:pt>
                <c:pt idx="8">
                  <c:v>4025.26</c:v>
                </c:pt>
                <c:pt idx="9">
                  <c:v>3951.54</c:v>
                </c:pt>
                <c:pt idx="10">
                  <c:v>3921.92</c:v>
                </c:pt>
                <c:pt idx="11">
                  <c:v>3903.8</c:v>
                </c:pt>
                <c:pt idx="12">
                  <c:v>3887.3</c:v>
                </c:pt>
                <c:pt idx="13">
                  <c:v>3825.68</c:v>
                </c:pt>
                <c:pt idx="14">
                  <c:v>3784.03</c:v>
                </c:pt>
                <c:pt idx="15">
                  <c:v>3758.1</c:v>
                </c:pt>
                <c:pt idx="16">
                  <c:v>3695.48</c:v>
                </c:pt>
                <c:pt idx="17">
                  <c:v>3611.21</c:v>
                </c:pt>
                <c:pt idx="18">
                  <c:v>3550.78</c:v>
                </c:pt>
                <c:pt idx="19">
                  <c:v>3527.25</c:v>
                </c:pt>
                <c:pt idx="20">
                  <c:v>3441.13</c:v>
                </c:pt>
                <c:pt idx="21">
                  <c:v>3383.29</c:v>
                </c:pt>
                <c:pt idx="22">
                  <c:v>3259.56</c:v>
                </c:pt>
                <c:pt idx="23">
                  <c:v>3135.99</c:v>
                </c:pt>
                <c:pt idx="24">
                  <c:v>2972.57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A-4B18-88EF-F65EC334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88586"/>
        <c:axId val="1492921425"/>
      </c:scatterChart>
      <c:valAx>
        <c:axId val="633388586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2921425"/>
        <c:crosses val="autoZero"/>
        <c:crossBetween val="midCat"/>
      </c:valAx>
      <c:valAx>
        <c:axId val="149292142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33885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(4466.44)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650290508558226"/>
                  <c:y val="0.17425287356321839"/>
                </c:manualLayout>
              </c:layout>
              <c:numFmt formatCode="General" sourceLinked="0"/>
            </c:trendlineLbl>
          </c:trendline>
          <c:xVal>
            <c:numRef>
              <c:f>'Collected Data Site 1673'!$N$70:$N$89</c:f>
              <c:numCache>
                <c:formatCode>General</c:formatCode>
                <c:ptCount val="20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</c:numCache>
            </c:numRef>
          </c:xVal>
          <c:yVal>
            <c:numRef>
              <c:f>'Collected Data Site 1673'!$O$70:$O$89</c:f>
              <c:numCache>
                <c:formatCode>General</c:formatCode>
                <c:ptCount val="20"/>
                <c:pt idx="0">
                  <c:v>3156.66</c:v>
                </c:pt>
                <c:pt idx="1">
                  <c:v>3105.8</c:v>
                </c:pt>
                <c:pt idx="2">
                  <c:v>3094.14</c:v>
                </c:pt>
                <c:pt idx="3">
                  <c:v>3055.21</c:v>
                </c:pt>
                <c:pt idx="4">
                  <c:v>3030.27</c:v>
                </c:pt>
                <c:pt idx="5">
                  <c:v>3006.5800000000004</c:v>
                </c:pt>
                <c:pt idx="6">
                  <c:v>2964.06</c:v>
                </c:pt>
                <c:pt idx="7">
                  <c:v>2932.92</c:v>
                </c:pt>
                <c:pt idx="8">
                  <c:v>2894.62</c:v>
                </c:pt>
                <c:pt idx="9">
                  <c:v>2851.4</c:v>
                </c:pt>
                <c:pt idx="10">
                  <c:v>2823.37</c:v>
                </c:pt>
                <c:pt idx="11">
                  <c:v>2771.12</c:v>
                </c:pt>
                <c:pt idx="12">
                  <c:v>2716.58</c:v>
                </c:pt>
                <c:pt idx="13">
                  <c:v>2662.3199999999997</c:v>
                </c:pt>
                <c:pt idx="14">
                  <c:v>2617.41</c:v>
                </c:pt>
                <c:pt idx="15">
                  <c:v>2545.25</c:v>
                </c:pt>
                <c:pt idx="16">
                  <c:v>2462.12</c:v>
                </c:pt>
                <c:pt idx="17">
                  <c:v>2387.34</c:v>
                </c:pt>
                <c:pt idx="18">
                  <c:v>2305.62</c:v>
                </c:pt>
                <c:pt idx="19">
                  <c:v>2191.6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6-4D59-BF23-E389294A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95049"/>
        <c:axId val="782324513"/>
      </c:scatterChart>
      <c:valAx>
        <c:axId val="1056695049"/>
        <c:scaling>
          <c:logBase val="10"/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324513"/>
        <c:crosses val="autoZero"/>
        <c:crossBetween val="midCat"/>
      </c:valAx>
      <c:valAx>
        <c:axId val="78232451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66950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(176.25)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2.4016869686161024E-3"/>
                  <c:y val="0.18820164720789212"/>
                </c:manualLayout>
              </c:layout>
              <c:numFmt formatCode="General" sourceLinked="0"/>
            </c:trendlineLbl>
          </c:trendline>
          <c:xVal>
            <c:numRef>
              <c:f>'Collected Data Site 1673'!$B$6:$B$28</c:f>
              <c:numCache>
                <c:formatCode>General</c:formatCode>
                <c:ptCount val="23"/>
                <c:pt idx="0">
                  <c:v>5750</c:v>
                </c:pt>
                <c:pt idx="1">
                  <c:v>5500</c:v>
                </c:pt>
                <c:pt idx="2">
                  <c:v>5250</c:v>
                </c:pt>
                <c:pt idx="3">
                  <c:v>5000</c:v>
                </c:pt>
                <c:pt idx="4">
                  <c:v>4750</c:v>
                </c:pt>
                <c:pt idx="5">
                  <c:v>4500</c:v>
                </c:pt>
                <c:pt idx="6">
                  <c:v>4250</c:v>
                </c:pt>
                <c:pt idx="7">
                  <c:v>4000</c:v>
                </c:pt>
                <c:pt idx="8">
                  <c:v>3750</c:v>
                </c:pt>
                <c:pt idx="9">
                  <c:v>3500</c:v>
                </c:pt>
                <c:pt idx="10">
                  <c:v>3250</c:v>
                </c:pt>
                <c:pt idx="11">
                  <c:v>3000</c:v>
                </c:pt>
                <c:pt idx="12">
                  <c:v>2750</c:v>
                </c:pt>
                <c:pt idx="13">
                  <c:v>2500</c:v>
                </c:pt>
                <c:pt idx="14">
                  <c:v>2250</c:v>
                </c:pt>
                <c:pt idx="15">
                  <c:v>2000</c:v>
                </c:pt>
                <c:pt idx="16">
                  <c:v>1750</c:v>
                </c:pt>
                <c:pt idx="17">
                  <c:v>1500</c:v>
                </c:pt>
                <c:pt idx="18">
                  <c:v>1250</c:v>
                </c:pt>
                <c:pt idx="19">
                  <c:v>1000</c:v>
                </c:pt>
                <c:pt idx="20">
                  <c:v>750</c:v>
                </c:pt>
                <c:pt idx="21">
                  <c:v>500</c:v>
                </c:pt>
                <c:pt idx="22">
                  <c:v>250</c:v>
                </c:pt>
              </c:numCache>
            </c:numRef>
          </c:xVal>
          <c:yVal>
            <c:numRef>
              <c:f>'Collected Data Site 1673'!$F$6:$F$28</c:f>
              <c:numCache>
                <c:formatCode>General</c:formatCode>
                <c:ptCount val="23"/>
                <c:pt idx="0">
                  <c:v>4.3962933512753075</c:v>
                </c:pt>
                <c:pt idx="1">
                  <c:v>4.3397298320919075</c:v>
                </c:pt>
                <c:pt idx="2">
                  <c:v>4.2924771272290219</c:v>
                </c:pt>
                <c:pt idx="3">
                  <c:v>4.2297248141035944</c:v>
                </c:pt>
                <c:pt idx="4">
                  <c:v>4.1644018165559089</c:v>
                </c:pt>
                <c:pt idx="5">
                  <c:v>4.1305624908209717</c:v>
                </c:pt>
                <c:pt idx="6">
                  <c:v>4.1027918291694014</c:v>
                </c:pt>
                <c:pt idx="7">
                  <c:v>4.0440804772014962</c:v>
                </c:pt>
                <c:pt idx="8">
                  <c:v>3.9859693877551021</c:v>
                </c:pt>
                <c:pt idx="9">
                  <c:v>3.8910938420660597</c:v>
                </c:pt>
                <c:pt idx="10">
                  <c:v>3.8167938931297711</c:v>
                </c:pt>
                <c:pt idx="11">
                  <c:v>3.7395293179098523</c:v>
                </c:pt>
                <c:pt idx="12">
                  <c:v>4.2782911727185038</c:v>
                </c:pt>
                <c:pt idx="13">
                  <c:v>4.1659029177984035</c:v>
                </c:pt>
                <c:pt idx="14">
                  <c:v>4.0069096931597601</c:v>
                </c:pt>
                <c:pt idx="15">
                  <c:v>3.8885540411797872</c:v>
                </c:pt>
                <c:pt idx="16">
                  <c:v>3.7155778254315384</c:v>
                </c:pt>
                <c:pt idx="17">
                  <c:v>3.5532393698922187</c:v>
                </c:pt>
                <c:pt idx="18">
                  <c:v>3.3699989216003456</c:v>
                </c:pt>
                <c:pt idx="19">
                  <c:v>3.1441597233139444</c:v>
                </c:pt>
                <c:pt idx="20">
                  <c:v>2.8664246130326774</c:v>
                </c:pt>
                <c:pt idx="21">
                  <c:v>2.5182573659027949</c:v>
                </c:pt>
                <c:pt idx="22">
                  <c:v>2.0231447762401875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3-463A-8C06-92440400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95318"/>
        <c:axId val="1194542933"/>
      </c:scatterChart>
      <c:valAx>
        <c:axId val="1763595318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4542933"/>
        <c:crosses val="autoZero"/>
        <c:crossBetween val="midCat"/>
      </c:valAx>
      <c:valAx>
        <c:axId val="119454293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5953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Velocity(545.67)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406970902830695"/>
                  <c:y val="0.12367816091954023"/>
                </c:manualLayout>
              </c:layout>
              <c:numFmt formatCode="General" sourceLinked="0"/>
            </c:trendlineLbl>
          </c:trendline>
          <c:xVal>
            <c:numRef>
              <c:f>'Collected Data Site 1673'!$H$6:$H$31</c:f>
              <c:numCache>
                <c:formatCode>General</c:formatCode>
                <c:ptCount val="26"/>
                <c:pt idx="0">
                  <c:v>13000</c:v>
                </c:pt>
                <c:pt idx="1">
                  <c:v>12500</c:v>
                </c:pt>
                <c:pt idx="2">
                  <c:v>12000</c:v>
                </c:pt>
                <c:pt idx="3">
                  <c:v>11500</c:v>
                </c:pt>
                <c:pt idx="4">
                  <c:v>11000</c:v>
                </c:pt>
                <c:pt idx="5">
                  <c:v>10500</c:v>
                </c:pt>
                <c:pt idx="6">
                  <c:v>10000</c:v>
                </c:pt>
                <c:pt idx="7">
                  <c:v>9500</c:v>
                </c:pt>
                <c:pt idx="8">
                  <c:v>9000</c:v>
                </c:pt>
                <c:pt idx="9">
                  <c:v>8500</c:v>
                </c:pt>
                <c:pt idx="10">
                  <c:v>8000</c:v>
                </c:pt>
                <c:pt idx="11">
                  <c:v>7500</c:v>
                </c:pt>
                <c:pt idx="12">
                  <c:v>7000</c:v>
                </c:pt>
                <c:pt idx="13">
                  <c:v>6500</c:v>
                </c:pt>
                <c:pt idx="14">
                  <c:v>6000</c:v>
                </c:pt>
                <c:pt idx="15">
                  <c:v>5500</c:v>
                </c:pt>
                <c:pt idx="16">
                  <c:v>5000</c:v>
                </c:pt>
                <c:pt idx="17">
                  <c:v>4500</c:v>
                </c:pt>
                <c:pt idx="18">
                  <c:v>4000</c:v>
                </c:pt>
                <c:pt idx="19">
                  <c:v>3500</c:v>
                </c:pt>
                <c:pt idx="20">
                  <c:v>3000</c:v>
                </c:pt>
                <c:pt idx="21">
                  <c:v>2500</c:v>
                </c:pt>
                <c:pt idx="22">
                  <c:v>2000</c:v>
                </c:pt>
                <c:pt idx="23">
                  <c:v>1500</c:v>
                </c:pt>
                <c:pt idx="24">
                  <c:v>1000</c:v>
                </c:pt>
                <c:pt idx="25">
                  <c:v>500</c:v>
                </c:pt>
              </c:numCache>
            </c:numRef>
          </c:xVal>
          <c:yVal>
            <c:numRef>
              <c:f>'Collected Data Site 1673'!$L$6:$L$31</c:f>
              <c:numCache>
                <c:formatCode>General</c:formatCode>
                <c:ptCount val="26"/>
                <c:pt idx="0">
                  <c:v>8.7997184090109126</c:v>
                </c:pt>
                <c:pt idx="1">
                  <c:v>9.1813874912776807</c:v>
                </c:pt>
                <c:pt idx="2">
                  <c:v>8.9335566722501394</c:v>
                </c:pt>
                <c:pt idx="3">
                  <c:v>8.6645972092462546</c:v>
                </c:pt>
                <c:pt idx="4">
                  <c:v>8.4651198584016303</c:v>
                </c:pt>
                <c:pt idx="5">
                  <c:v>8.2626418420182883</c:v>
                </c:pt>
                <c:pt idx="6">
                  <c:v>8.0337417152038562</c:v>
                </c:pt>
                <c:pt idx="7">
                  <c:v>7.7840140931623578</c:v>
                </c:pt>
                <c:pt idx="8">
                  <c:v>7.5493222386256873</c:v>
                </c:pt>
                <c:pt idx="9">
                  <c:v>7.3176821026713847</c:v>
                </c:pt>
                <c:pt idx="10">
                  <c:v>7.0651405962978666</c:v>
                </c:pt>
                <c:pt idx="11">
                  <c:v>6.7377574946322527</c:v>
                </c:pt>
                <c:pt idx="12">
                  <c:v>6.4901951694404527</c:v>
                </c:pt>
                <c:pt idx="13">
                  <c:v>6.1909478817433703</c:v>
                </c:pt>
                <c:pt idx="14">
                  <c:v>5.9279751025045693</c:v>
                </c:pt>
                <c:pt idx="15">
                  <c:v>5.6590766444762268</c:v>
                </c:pt>
                <c:pt idx="16">
                  <c:v>5.3929869597575317</c:v>
                </c:pt>
                <c:pt idx="17">
                  <c:v>5.122367672168469</c:v>
                </c:pt>
                <c:pt idx="18">
                  <c:v>4.8599130075571653</c:v>
                </c:pt>
                <c:pt idx="19">
                  <c:v>4.5508919748270662</c:v>
                </c:pt>
                <c:pt idx="20">
                  <c:v>4.224578598284821</c:v>
                </c:pt>
                <c:pt idx="21">
                  <c:v>4.3306541019955658</c:v>
                </c:pt>
                <c:pt idx="22">
                  <c:v>4.0104271104872673</c:v>
                </c:pt>
                <c:pt idx="23">
                  <c:v>3.6101083032490973</c:v>
                </c:pt>
                <c:pt idx="24">
                  <c:v>3.0420101603139353</c:v>
                </c:pt>
                <c:pt idx="25">
                  <c:v>2.2058499139718535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2-467F-8827-8784671A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61443"/>
        <c:axId val="272827939"/>
      </c:scatterChart>
      <c:valAx>
        <c:axId val="1421461443"/>
        <c:scaling>
          <c:logBase val="10"/>
          <c:orientation val="minMax"/>
          <c:max val="2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827939"/>
        <c:crosses val="autoZero"/>
        <c:crossBetween val="midCat"/>
      </c:valAx>
      <c:valAx>
        <c:axId val="27282793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146144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(756.65)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8702290418825854"/>
                  <c:y val="3.1724137931034485E-2"/>
                </c:manualLayout>
              </c:layout>
              <c:numFmt formatCode="General" sourceLinked="0"/>
            </c:trendlineLbl>
          </c:trendline>
          <c:xVal>
            <c:numRef>
              <c:f>'Collected Data Site 1673'!$N$6:$N$23</c:f>
              <c:numCache>
                <c:formatCode>General</c:formatCode>
                <c:ptCount val="18"/>
                <c:pt idx="0">
                  <c:v>2700</c:v>
                </c:pt>
                <c:pt idx="1">
                  <c:v>2550</c:v>
                </c:pt>
                <c:pt idx="2">
                  <c:v>2400</c:v>
                </c:pt>
                <c:pt idx="3">
                  <c:v>2250</c:v>
                </c:pt>
                <c:pt idx="4">
                  <c:v>2100</c:v>
                </c:pt>
                <c:pt idx="5">
                  <c:v>1950</c:v>
                </c:pt>
                <c:pt idx="6">
                  <c:v>1800</c:v>
                </c:pt>
                <c:pt idx="7">
                  <c:v>1650</c:v>
                </c:pt>
                <c:pt idx="8">
                  <c:v>1500</c:v>
                </c:pt>
                <c:pt idx="9">
                  <c:v>1350</c:v>
                </c:pt>
                <c:pt idx="10">
                  <c:v>1200</c:v>
                </c:pt>
                <c:pt idx="11">
                  <c:v>1050</c:v>
                </c:pt>
                <c:pt idx="12">
                  <c:v>900</c:v>
                </c:pt>
                <c:pt idx="13">
                  <c:v>750</c:v>
                </c:pt>
                <c:pt idx="14">
                  <c:v>600</c:v>
                </c:pt>
                <c:pt idx="15">
                  <c:v>450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'Collected Data Site 1673'!$Q$6:$Q$23</c:f>
              <c:numCache>
                <c:formatCode>General</c:formatCode>
                <c:ptCount val="18"/>
                <c:pt idx="0">
                  <c:v>9.48</c:v>
                </c:pt>
                <c:pt idx="1">
                  <c:v>9.18</c:v>
                </c:pt>
                <c:pt idx="2">
                  <c:v>8.92</c:v>
                </c:pt>
                <c:pt idx="3">
                  <c:v>8.6999999999999993</c:v>
                </c:pt>
                <c:pt idx="4">
                  <c:v>8.4700000000000006</c:v>
                </c:pt>
                <c:pt idx="5">
                  <c:v>8.1199999999999992</c:v>
                </c:pt>
                <c:pt idx="6">
                  <c:v>7.85</c:v>
                </c:pt>
                <c:pt idx="7">
                  <c:v>7.5</c:v>
                </c:pt>
                <c:pt idx="8">
                  <c:v>7.19</c:v>
                </c:pt>
                <c:pt idx="9">
                  <c:v>6.86</c:v>
                </c:pt>
                <c:pt idx="10">
                  <c:v>6.52</c:v>
                </c:pt>
                <c:pt idx="11">
                  <c:v>6.1</c:v>
                </c:pt>
                <c:pt idx="12">
                  <c:v>5.71</c:v>
                </c:pt>
                <c:pt idx="13">
                  <c:v>5.25</c:v>
                </c:pt>
                <c:pt idx="14">
                  <c:v>4.75</c:v>
                </c:pt>
                <c:pt idx="15">
                  <c:v>4.17</c:v>
                </c:pt>
                <c:pt idx="16">
                  <c:v>3.49</c:v>
                </c:pt>
                <c:pt idx="17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4-402D-A1FB-2A43697E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40435"/>
        <c:axId val="698393275"/>
      </c:scatterChart>
      <c:valAx>
        <c:axId val="1789440435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8393275"/>
        <c:crosses val="autoZero"/>
        <c:crossBetween val="midCat"/>
      </c:valAx>
      <c:valAx>
        <c:axId val="69839327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94404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(756.65)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2695448325369585"/>
                  <c:y val="-0.14637632364919903"/>
                </c:manualLayout>
              </c:layout>
              <c:numFmt formatCode="General" sourceLinked="0"/>
            </c:trendlineLbl>
          </c:trendline>
          <c:xVal>
            <c:numRef>
              <c:f>'Collected Data Site 1673'!$N$6:$N$23</c:f>
              <c:numCache>
                <c:formatCode>General</c:formatCode>
                <c:ptCount val="18"/>
                <c:pt idx="0">
                  <c:v>2700</c:v>
                </c:pt>
                <c:pt idx="1">
                  <c:v>2550</c:v>
                </c:pt>
                <c:pt idx="2">
                  <c:v>2400</c:v>
                </c:pt>
                <c:pt idx="3">
                  <c:v>2250</c:v>
                </c:pt>
                <c:pt idx="4">
                  <c:v>2100</c:v>
                </c:pt>
                <c:pt idx="5">
                  <c:v>1950</c:v>
                </c:pt>
                <c:pt idx="6">
                  <c:v>1800</c:v>
                </c:pt>
                <c:pt idx="7">
                  <c:v>1650</c:v>
                </c:pt>
                <c:pt idx="8">
                  <c:v>1500</c:v>
                </c:pt>
                <c:pt idx="9">
                  <c:v>1350</c:v>
                </c:pt>
                <c:pt idx="10">
                  <c:v>1200</c:v>
                </c:pt>
                <c:pt idx="11">
                  <c:v>1050</c:v>
                </c:pt>
                <c:pt idx="12">
                  <c:v>900</c:v>
                </c:pt>
                <c:pt idx="13">
                  <c:v>750</c:v>
                </c:pt>
                <c:pt idx="14">
                  <c:v>600</c:v>
                </c:pt>
                <c:pt idx="15">
                  <c:v>450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'Collected Data Site 1673'!$R$6:$R$23</c:f>
              <c:numCache>
                <c:formatCode>General</c:formatCode>
                <c:ptCount val="18"/>
                <c:pt idx="0">
                  <c:v>1.4945035480621272</c:v>
                </c:pt>
                <c:pt idx="1">
                  <c:v>1.456926399506359</c:v>
                </c:pt>
                <c:pt idx="2">
                  <c:v>1.4265420027460933</c:v>
                </c:pt>
                <c:pt idx="3">
                  <c:v>1.3893777440210444</c:v>
                </c:pt>
                <c:pt idx="4">
                  <c:v>1.3495450105393039</c:v>
                </c:pt>
                <c:pt idx="5">
                  <c:v>1.3123182943900076</c:v>
                </c:pt>
                <c:pt idx="6">
                  <c:v>1.2638053178119317</c:v>
                </c:pt>
                <c:pt idx="7">
                  <c:v>1.2220230777206678</c:v>
                </c:pt>
                <c:pt idx="8">
                  <c:v>1.1730480480480481</c:v>
                </c:pt>
                <c:pt idx="9">
                  <c:v>1.1240445621221962</c:v>
                </c:pt>
                <c:pt idx="10">
                  <c:v>1.069909681791029</c:v>
                </c:pt>
                <c:pt idx="11">
                  <c:v>1.0076485321919715</c:v>
                </c:pt>
                <c:pt idx="12">
                  <c:v>0.94215187488223107</c:v>
                </c:pt>
                <c:pt idx="13">
                  <c:v>0.86778437293901212</c:v>
                </c:pt>
                <c:pt idx="14">
                  <c:v>0.78276865272468721</c:v>
                </c:pt>
                <c:pt idx="15">
                  <c:v>0.68578743637416573</c:v>
                </c:pt>
                <c:pt idx="16">
                  <c:v>0.56430224027989395</c:v>
                </c:pt>
                <c:pt idx="17">
                  <c:v>0.39745627980922099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4-45F8-8A4D-5C24E85A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10045"/>
        <c:axId val="1507118636"/>
      </c:scatterChart>
      <c:valAx>
        <c:axId val="1718710045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7118636"/>
        <c:crosses val="autoZero"/>
        <c:crossBetween val="midCat"/>
      </c:valAx>
      <c:valAx>
        <c:axId val="150711863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87100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(1259.42)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9.0481638513134569E-3"/>
                  <c:y val="-0.12525586025884697"/>
                </c:manualLayout>
              </c:layout>
              <c:numFmt formatCode="General" sourceLinked="0"/>
            </c:trendlineLbl>
          </c:trendline>
          <c:xVal>
            <c:numRef>
              <c:f>'Collected Data Site 1673'!$B$39:$B$58</c:f>
              <c:numCache>
                <c:formatCode>General</c:formatCode>
                <c:ptCount val="20"/>
                <c:pt idx="0">
                  <c:v>3000</c:v>
                </c:pt>
                <c:pt idx="1">
                  <c:v>2850</c:v>
                </c:pt>
                <c:pt idx="2">
                  <c:v>2700</c:v>
                </c:pt>
                <c:pt idx="3">
                  <c:v>2550</c:v>
                </c:pt>
                <c:pt idx="4">
                  <c:v>2400</c:v>
                </c:pt>
                <c:pt idx="5">
                  <c:v>2250</c:v>
                </c:pt>
                <c:pt idx="6">
                  <c:v>2100</c:v>
                </c:pt>
                <c:pt idx="7">
                  <c:v>1950</c:v>
                </c:pt>
                <c:pt idx="8">
                  <c:v>1800</c:v>
                </c:pt>
                <c:pt idx="9">
                  <c:v>1650</c:v>
                </c:pt>
                <c:pt idx="10">
                  <c:v>1500</c:v>
                </c:pt>
                <c:pt idx="11">
                  <c:v>1350</c:v>
                </c:pt>
                <c:pt idx="12">
                  <c:v>1200</c:v>
                </c:pt>
                <c:pt idx="13">
                  <c:v>1050</c:v>
                </c:pt>
                <c:pt idx="14">
                  <c:v>900</c:v>
                </c:pt>
                <c:pt idx="15">
                  <c:v>750</c:v>
                </c:pt>
                <c:pt idx="16">
                  <c:v>600</c:v>
                </c:pt>
                <c:pt idx="17">
                  <c:v>450</c:v>
                </c:pt>
                <c:pt idx="18">
                  <c:v>300</c:v>
                </c:pt>
                <c:pt idx="19">
                  <c:v>150</c:v>
                </c:pt>
              </c:numCache>
            </c:numRef>
          </c:xVal>
          <c:yVal>
            <c:numRef>
              <c:f>'Collected Data Site 1673'!$F$39:$F$58</c:f>
              <c:numCache>
                <c:formatCode>General</c:formatCode>
                <c:ptCount val="20"/>
                <c:pt idx="0">
                  <c:v>1.452032118950471</c:v>
                </c:pt>
                <c:pt idx="1">
                  <c:v>1.428528465309314</c:v>
                </c:pt>
                <c:pt idx="2">
                  <c:v>1.4717826558590577</c:v>
                </c:pt>
                <c:pt idx="3">
                  <c:v>1.4469234435643117</c:v>
                </c:pt>
                <c:pt idx="4">
                  <c:v>1.451554372807548</c:v>
                </c:pt>
                <c:pt idx="5">
                  <c:v>1.3975415690975608</c:v>
                </c:pt>
                <c:pt idx="6">
                  <c:v>1.351464408219478</c:v>
                </c:pt>
                <c:pt idx="7">
                  <c:v>1.2970772525908285</c:v>
                </c:pt>
                <c:pt idx="8">
                  <c:v>1.2397718819737167</c:v>
                </c:pt>
                <c:pt idx="9">
                  <c:v>1.1791273028713538</c:v>
                </c:pt>
                <c:pt idx="10">
                  <c:v>1.1131064575015954</c:v>
                </c:pt>
                <c:pt idx="11">
                  <c:v>1.048413401053073</c:v>
                </c:pt>
                <c:pt idx="12">
                  <c:v>0.97822631265743332</c:v>
                </c:pt>
                <c:pt idx="13">
                  <c:v>0.89955793153079056</c:v>
                </c:pt>
                <c:pt idx="14">
                  <c:v>0.81743869209809261</c:v>
                </c:pt>
                <c:pt idx="15">
                  <c:v>0.72598443489371589</c:v>
                </c:pt>
                <c:pt idx="16">
                  <c:v>0.63141278610891871</c:v>
                </c:pt>
                <c:pt idx="17">
                  <c:v>0.52080922179528732</c:v>
                </c:pt>
                <c:pt idx="18">
                  <c:v>0.39237741475600663</c:v>
                </c:pt>
                <c:pt idx="19">
                  <c:v>0.23431276067294626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9-4D2D-8F24-9EED30EC0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92392"/>
        <c:axId val="320933611"/>
      </c:scatterChart>
      <c:valAx>
        <c:axId val="2108892392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933611"/>
        <c:crosses val="autoZero"/>
        <c:crossBetween val="midCat"/>
      </c:valAx>
      <c:valAx>
        <c:axId val="32093361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8923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(1681.1)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145485846527249"/>
                  <c:y val="-8.6843334238392619E-2"/>
                </c:manualLayout>
              </c:layout>
              <c:numFmt formatCode="General" sourceLinked="0"/>
            </c:trendlineLbl>
          </c:trendline>
          <c:xVal>
            <c:numRef>
              <c:f>'Collected Data Site 1673'!$H$39:$H$56</c:f>
              <c:numCache>
                <c:formatCode>General</c:formatCode>
                <c:ptCount val="18"/>
                <c:pt idx="0">
                  <c:v>2700</c:v>
                </c:pt>
                <c:pt idx="1">
                  <c:v>2550</c:v>
                </c:pt>
                <c:pt idx="2">
                  <c:v>2400</c:v>
                </c:pt>
                <c:pt idx="3">
                  <c:v>2250</c:v>
                </c:pt>
                <c:pt idx="4">
                  <c:v>2100</c:v>
                </c:pt>
                <c:pt idx="5">
                  <c:v>1950</c:v>
                </c:pt>
                <c:pt idx="6">
                  <c:v>1800</c:v>
                </c:pt>
                <c:pt idx="7">
                  <c:v>1650</c:v>
                </c:pt>
                <c:pt idx="8">
                  <c:v>1500</c:v>
                </c:pt>
                <c:pt idx="9">
                  <c:v>1350</c:v>
                </c:pt>
                <c:pt idx="10">
                  <c:v>1200</c:v>
                </c:pt>
                <c:pt idx="11">
                  <c:v>1050</c:v>
                </c:pt>
                <c:pt idx="12">
                  <c:v>900</c:v>
                </c:pt>
                <c:pt idx="13">
                  <c:v>750</c:v>
                </c:pt>
                <c:pt idx="14">
                  <c:v>600</c:v>
                </c:pt>
                <c:pt idx="15">
                  <c:v>450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'Collected Data Site 1673'!$L$39:$L$56</c:f>
              <c:numCache>
                <c:formatCode>General</c:formatCode>
                <c:ptCount val="18"/>
                <c:pt idx="0">
                  <c:v>4.84643966182621</c:v>
                </c:pt>
                <c:pt idx="1">
                  <c:v>5.050705118047853</c:v>
                </c:pt>
                <c:pt idx="2">
                  <c:v>5.12</c:v>
                </c:pt>
                <c:pt idx="3">
                  <c:v>5.1076001089621359</c:v>
                </c:pt>
                <c:pt idx="4">
                  <c:v>5.0449238456733774</c:v>
                </c:pt>
                <c:pt idx="5">
                  <c:v>4.9808429118773949</c:v>
                </c:pt>
                <c:pt idx="6">
                  <c:v>4.8594800356361869</c:v>
                </c:pt>
                <c:pt idx="7">
                  <c:v>4.7851052723159908</c:v>
                </c:pt>
                <c:pt idx="8">
                  <c:v>4.6820863376720663</c:v>
                </c:pt>
                <c:pt idx="9">
                  <c:v>4.6415678184631259</c:v>
                </c:pt>
                <c:pt idx="10">
                  <c:v>4.5339479351645453</c:v>
                </c:pt>
                <c:pt idx="11">
                  <c:v>4.4523597506678536</c:v>
                </c:pt>
                <c:pt idx="12">
                  <c:v>4.3772190068576426</c:v>
                </c:pt>
                <c:pt idx="13">
                  <c:v>4.273747791896974</c:v>
                </c:pt>
                <c:pt idx="14">
                  <c:v>4.1594454072790299</c:v>
                </c:pt>
                <c:pt idx="15">
                  <c:v>4.0790427846265409</c:v>
                </c:pt>
                <c:pt idx="16">
                  <c:v>3.960918933192501</c:v>
                </c:pt>
                <c:pt idx="17">
                  <c:v>3.5294117647058822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A-400C-B016-F49A3307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488470"/>
        <c:axId val="1598866893"/>
      </c:scatterChart>
      <c:valAx>
        <c:axId val="1760488470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8866893"/>
        <c:crosses val="autoZero"/>
        <c:crossBetween val="midCat"/>
      </c:valAx>
      <c:valAx>
        <c:axId val="159886689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04884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(1884.39)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881642999753235"/>
                  <c:y val="3.4156937279391799E-3"/>
                </c:manualLayout>
              </c:layout>
              <c:numFmt formatCode="General" sourceLinked="0"/>
            </c:trendlineLbl>
          </c:trendline>
          <c:xVal>
            <c:numRef>
              <c:f>'Collected Data Site 1673'!$N$39:$N$62</c:f>
              <c:numCache>
                <c:formatCode>General</c:formatCode>
                <c:ptCount val="24"/>
                <c:pt idx="0">
                  <c:v>18000</c:v>
                </c:pt>
                <c:pt idx="1">
                  <c:v>17000</c:v>
                </c:pt>
                <c:pt idx="2">
                  <c:v>16000</c:v>
                </c:pt>
                <c:pt idx="3">
                  <c:v>15000</c:v>
                </c:pt>
                <c:pt idx="4">
                  <c:v>14000</c:v>
                </c:pt>
                <c:pt idx="5">
                  <c:v>13000</c:v>
                </c:pt>
                <c:pt idx="6">
                  <c:v>12000</c:v>
                </c:pt>
                <c:pt idx="7">
                  <c:v>11000</c:v>
                </c:pt>
                <c:pt idx="8">
                  <c:v>10000</c:v>
                </c:pt>
                <c:pt idx="9">
                  <c:v>9000</c:v>
                </c:pt>
                <c:pt idx="10">
                  <c:v>8000</c:v>
                </c:pt>
                <c:pt idx="11">
                  <c:v>7000</c:v>
                </c:pt>
                <c:pt idx="12">
                  <c:v>6000</c:v>
                </c:pt>
                <c:pt idx="13">
                  <c:v>5000</c:v>
                </c:pt>
                <c:pt idx="14">
                  <c:v>4000</c:v>
                </c:pt>
                <c:pt idx="15">
                  <c:v>3000</c:v>
                </c:pt>
                <c:pt idx="16">
                  <c:v>2000</c:v>
                </c:pt>
                <c:pt idx="17">
                  <c:v>1000</c:v>
                </c:pt>
                <c:pt idx="18">
                  <c:v>900</c:v>
                </c:pt>
                <c:pt idx="19">
                  <c:v>800</c:v>
                </c:pt>
                <c:pt idx="20">
                  <c:v>700</c:v>
                </c:pt>
                <c:pt idx="21">
                  <c:v>500</c:v>
                </c:pt>
                <c:pt idx="22">
                  <c:v>300</c:v>
                </c:pt>
                <c:pt idx="23">
                  <c:v>100</c:v>
                </c:pt>
              </c:numCache>
            </c:numRef>
          </c:xVal>
          <c:yVal>
            <c:numRef>
              <c:f>'Collected Data Site 1673'!$R$39:$R$62</c:f>
              <c:numCache>
                <c:formatCode>General</c:formatCode>
                <c:ptCount val="24"/>
                <c:pt idx="0">
                  <c:v>3.6182650017287266</c:v>
                </c:pt>
                <c:pt idx="1">
                  <c:v>3.4642408829331117</c:v>
                </c:pt>
                <c:pt idx="2">
                  <c:v>3.3107238483854013</c:v>
                </c:pt>
                <c:pt idx="3">
                  <c:v>3.1580543016910325</c:v>
                </c:pt>
                <c:pt idx="4">
                  <c:v>2.9977238710893084</c:v>
                </c:pt>
                <c:pt idx="5">
                  <c:v>2.8344671201814062</c:v>
                </c:pt>
                <c:pt idx="6">
                  <c:v>2.6564481959396189</c:v>
                </c:pt>
                <c:pt idx="7">
                  <c:v>2.4974684751365661</c:v>
                </c:pt>
                <c:pt idx="8">
                  <c:v>2.3201640820038794</c:v>
                </c:pt>
                <c:pt idx="9">
                  <c:v>2.1427040925648169</c:v>
                </c:pt>
                <c:pt idx="10">
                  <c:v>1.964930895836557</c:v>
                </c:pt>
                <c:pt idx="11">
                  <c:v>1.7826583000570451</c:v>
                </c:pt>
                <c:pt idx="12">
                  <c:v>1.5835312747426762</c:v>
                </c:pt>
                <c:pt idx="13">
                  <c:v>1.3198776209469858</c:v>
                </c:pt>
                <c:pt idx="14">
                  <c:v>1.1577692102856216</c:v>
                </c:pt>
                <c:pt idx="15">
                  <c:v>0.92120333721262293</c:v>
                </c:pt>
                <c:pt idx="16">
                  <c:v>0.66117888194651064</c:v>
                </c:pt>
                <c:pt idx="17">
                  <c:v>0.3731440746586665</c:v>
                </c:pt>
                <c:pt idx="18">
                  <c:v>0.33944459321337112</c:v>
                </c:pt>
                <c:pt idx="19">
                  <c:v>0.30716658027606597</c:v>
                </c:pt>
                <c:pt idx="20">
                  <c:v>0.274557178493544</c:v>
                </c:pt>
                <c:pt idx="21">
                  <c:v>0.20661754678854349</c:v>
                </c:pt>
                <c:pt idx="22">
                  <c:v>0.13322142733437248</c:v>
                </c:pt>
                <c:pt idx="23">
                  <c:v>5.0829279698277399E-2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C-4889-A099-1DD3C711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93616"/>
        <c:axId val="1172338025"/>
      </c:scatterChart>
      <c:valAx>
        <c:axId val="1606293616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2338025"/>
        <c:crosses val="autoZero"/>
        <c:crossBetween val="midCat"/>
      </c:valAx>
      <c:valAx>
        <c:axId val="117233802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62936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(2085.82)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power"/>
            <c:dispRSqr val="1"/>
            <c:dispEq val="1"/>
            <c:trendlineLbl>
              <c:layout>
                <c:manualLayout>
                  <c:x val="2.1125019628956635E-2"/>
                  <c:y val="0.2948085799619875"/>
                </c:manualLayout>
              </c:layout>
              <c:numFmt formatCode="General" sourceLinked="0"/>
            </c:trendlineLbl>
          </c:trendline>
          <c:xVal>
            <c:numRef>
              <c:f>'Collected Data Site 1673'!$B$66:$B$85</c:f>
              <c:numCache>
                <c:formatCode>General</c:formatCode>
                <c:ptCount val="20"/>
                <c:pt idx="0">
                  <c:v>500</c:v>
                </c:pt>
                <c:pt idx="1">
                  <c:v>475</c:v>
                </c:pt>
                <c:pt idx="2">
                  <c:v>450</c:v>
                </c:pt>
                <c:pt idx="3">
                  <c:v>425</c:v>
                </c:pt>
                <c:pt idx="4">
                  <c:v>400</c:v>
                </c:pt>
                <c:pt idx="5">
                  <c:v>375</c:v>
                </c:pt>
                <c:pt idx="6">
                  <c:v>350</c:v>
                </c:pt>
                <c:pt idx="7">
                  <c:v>325</c:v>
                </c:pt>
                <c:pt idx="8">
                  <c:v>300</c:v>
                </c:pt>
                <c:pt idx="9">
                  <c:v>275</c:v>
                </c:pt>
                <c:pt idx="10">
                  <c:v>250</c:v>
                </c:pt>
                <c:pt idx="11">
                  <c:v>225</c:v>
                </c:pt>
                <c:pt idx="12">
                  <c:v>200</c:v>
                </c:pt>
                <c:pt idx="13">
                  <c:v>175</c:v>
                </c:pt>
                <c:pt idx="14">
                  <c:v>150</c:v>
                </c:pt>
                <c:pt idx="15">
                  <c:v>125</c:v>
                </c:pt>
                <c:pt idx="16">
                  <c:v>100</c:v>
                </c:pt>
                <c:pt idx="17">
                  <c:v>75</c:v>
                </c:pt>
                <c:pt idx="18">
                  <c:v>50</c:v>
                </c:pt>
                <c:pt idx="19">
                  <c:v>25</c:v>
                </c:pt>
              </c:numCache>
            </c:numRef>
          </c:xVal>
          <c:yVal>
            <c:numRef>
              <c:f>'Collected Data Site 1673'!$F$66:$F$85</c:f>
              <c:numCache>
                <c:formatCode>General</c:formatCode>
                <c:ptCount val="20"/>
                <c:pt idx="0">
                  <c:v>0.33575073865162508</c:v>
                </c:pt>
                <c:pt idx="1">
                  <c:v>0.32620937834793834</c:v>
                </c:pt>
                <c:pt idx="2">
                  <c:v>0.31394260989561062</c:v>
                </c:pt>
                <c:pt idx="3">
                  <c:v>0.30180586426547551</c:v>
                </c:pt>
                <c:pt idx="4">
                  <c:v>0.29110386585933862</c:v>
                </c:pt>
                <c:pt idx="5">
                  <c:v>0.27882699342711836</c:v>
                </c:pt>
                <c:pt idx="6">
                  <c:v>0.26855112829838335</c:v>
                </c:pt>
                <c:pt idx="7">
                  <c:v>0.25517615005927935</c:v>
                </c:pt>
                <c:pt idx="8">
                  <c:v>0.24372806447419729</c:v>
                </c:pt>
                <c:pt idx="9">
                  <c:v>0.23082088299479606</c:v>
                </c:pt>
                <c:pt idx="10">
                  <c:v>0.21580001381120087</c:v>
                </c:pt>
                <c:pt idx="11">
                  <c:v>0.20250931542850972</c:v>
                </c:pt>
                <c:pt idx="12">
                  <c:v>0.18773701798520634</c:v>
                </c:pt>
                <c:pt idx="13">
                  <c:v>0.17296421123377842</c:v>
                </c:pt>
                <c:pt idx="14">
                  <c:v>0.15537118175320841</c:v>
                </c:pt>
                <c:pt idx="15">
                  <c:v>0.13749106308089973</c:v>
                </c:pt>
                <c:pt idx="16">
                  <c:v>0.1175613082222379</c:v>
                </c:pt>
                <c:pt idx="17">
                  <c:v>9.4670672288000801E-2</c:v>
                </c:pt>
                <c:pt idx="18">
                  <c:v>6.889994350204634E-2</c:v>
                </c:pt>
                <c:pt idx="19">
                  <c:v>3.8129518347924232E-2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5-4EC9-B27F-41D6692B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24049"/>
        <c:axId val="261251704"/>
      </c:scatterChart>
      <c:valAx>
        <c:axId val="1023224049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251704"/>
        <c:crosses val="autoZero"/>
        <c:crossBetween val="midCat"/>
      </c:valAx>
      <c:valAx>
        <c:axId val="26125170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2240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(2971.99)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5454339175345017"/>
                  <c:y val="0.3627586206896552"/>
                </c:manualLayout>
              </c:layout>
              <c:numFmt formatCode="General" sourceLinked="0"/>
            </c:trendlineLbl>
          </c:trendline>
          <c:xVal>
            <c:numRef>
              <c:f>'Collected Data Site 1673'!$H$66:$H$90</c:f>
              <c:numCache>
                <c:formatCode>General</c:formatCode>
                <c:ptCount val="25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1700</c:v>
                </c:pt>
                <c:pt idx="9">
                  <c:v>1600</c:v>
                </c:pt>
                <c:pt idx="10">
                  <c:v>1500</c:v>
                </c:pt>
                <c:pt idx="11">
                  <c:v>1400</c:v>
                </c:pt>
                <c:pt idx="12">
                  <c:v>1300</c:v>
                </c:pt>
                <c:pt idx="13">
                  <c:v>1200</c:v>
                </c:pt>
                <c:pt idx="14">
                  <c:v>1100</c:v>
                </c:pt>
                <c:pt idx="15">
                  <c:v>1000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600</c:v>
                </c:pt>
                <c:pt idx="20">
                  <c:v>500</c:v>
                </c:pt>
                <c:pt idx="21">
                  <c:v>400</c:v>
                </c:pt>
                <c:pt idx="22">
                  <c:v>300</c:v>
                </c:pt>
                <c:pt idx="23">
                  <c:v>200</c:v>
                </c:pt>
                <c:pt idx="24">
                  <c:v>100</c:v>
                </c:pt>
              </c:numCache>
            </c:numRef>
          </c:xVal>
          <c:yVal>
            <c:numRef>
              <c:f>'Collected Data Site 1673'!$L$66:$L$90</c:f>
              <c:numCache>
                <c:formatCode>General</c:formatCode>
                <c:ptCount val="25"/>
                <c:pt idx="0">
                  <c:v>0.58381614928879511</c:v>
                </c:pt>
                <c:pt idx="1">
                  <c:v>0.5637839298089008</c:v>
                </c:pt>
                <c:pt idx="2">
                  <c:v>0.5433203487644187</c:v>
                </c:pt>
                <c:pt idx="3">
                  <c:v>0.52667866855632595</c:v>
                </c:pt>
                <c:pt idx="4">
                  <c:v>0.50564273210807265</c:v>
                </c:pt>
                <c:pt idx="5">
                  <c:v>0.48319683022879367</c:v>
                </c:pt>
                <c:pt idx="6">
                  <c:v>0.46398499619043898</c:v>
                </c:pt>
                <c:pt idx="7">
                  <c:v>0.44852435487246961</c:v>
                </c:pt>
                <c:pt idx="8">
                  <c:v>0.42233296731142833</c:v>
                </c:pt>
                <c:pt idx="9">
                  <c:v>0.4049054292756748</c:v>
                </c:pt>
                <c:pt idx="10">
                  <c:v>0.38246573107049608</c:v>
                </c:pt>
                <c:pt idx="11">
                  <c:v>0.35862492955581737</c:v>
                </c:pt>
                <c:pt idx="12">
                  <c:v>0.3344223497028786</c:v>
                </c:pt>
                <c:pt idx="13">
                  <c:v>0.31366972668911147</c:v>
                </c:pt>
                <c:pt idx="14">
                  <c:v>0.29069536975129689</c:v>
                </c:pt>
                <c:pt idx="15">
                  <c:v>0.26609190814507333</c:v>
                </c:pt>
                <c:pt idx="16">
                  <c:v>0.24354075789883858</c:v>
                </c:pt>
                <c:pt idx="17">
                  <c:v>0.22153239495903035</c:v>
                </c:pt>
                <c:pt idx="18">
                  <c:v>0.19713978337154089</c:v>
                </c:pt>
                <c:pt idx="19">
                  <c:v>0.17010418881564959</c:v>
                </c:pt>
                <c:pt idx="20">
                  <c:v>0.14530110748504124</c:v>
                </c:pt>
                <c:pt idx="21">
                  <c:v>0.11822811523694392</c:v>
                </c:pt>
                <c:pt idx="22">
                  <c:v>9.2036962043956852E-2</c:v>
                </c:pt>
                <c:pt idx="23">
                  <c:v>6.3775713570515216E-2</c:v>
                </c:pt>
                <c:pt idx="24">
                  <c:v>3.3640923510632213E-2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E-449D-AA35-C1A2FCBC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51290"/>
        <c:axId val="1633111951"/>
      </c:scatterChart>
      <c:valAx>
        <c:axId val="1199251290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3111951"/>
        <c:crosses val="autoZero"/>
        <c:crossBetween val="midCat"/>
      </c:valAx>
      <c:valAx>
        <c:axId val="163311195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925129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(4466.44)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004015523700562"/>
                  <c:y val="6.1592300962379748E-2"/>
                </c:manualLayout>
              </c:layout>
              <c:numFmt formatCode="General" sourceLinked="0"/>
            </c:trendlineLbl>
          </c:trendline>
          <c:xVal>
            <c:numRef>
              <c:f>'Collected Data Site 1673'!$N$70:$N$89</c:f>
              <c:numCache>
                <c:formatCode>General</c:formatCode>
                <c:ptCount val="20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</c:numCache>
            </c:numRef>
          </c:xVal>
          <c:yVal>
            <c:numRef>
              <c:f>'Collected Data Site 1673'!$R$70:$R$89</c:f>
              <c:numCache>
                <c:formatCode>General</c:formatCode>
                <c:ptCount val="20"/>
                <c:pt idx="0">
                  <c:v>0.31679053176458666</c:v>
                </c:pt>
                <c:pt idx="1">
                  <c:v>0.3058793225577951</c:v>
                </c:pt>
                <c:pt idx="2">
                  <c:v>0.29087242335511648</c:v>
                </c:pt>
                <c:pt idx="3">
                  <c:v>0.27821328157475261</c:v>
                </c:pt>
                <c:pt idx="4">
                  <c:v>0.26400287763136621</c:v>
                </c:pt>
                <c:pt idx="5">
                  <c:v>0.24945286671234423</c:v>
                </c:pt>
                <c:pt idx="6">
                  <c:v>0.23616256081185941</c:v>
                </c:pt>
                <c:pt idx="7">
                  <c:v>0.22162213766485278</c:v>
                </c:pt>
                <c:pt idx="8">
                  <c:v>0.20728109389142618</c:v>
                </c:pt>
                <c:pt idx="9">
                  <c:v>0.19288770428561408</c:v>
                </c:pt>
                <c:pt idx="10">
                  <c:v>0.17709333172768713</c:v>
                </c:pt>
                <c:pt idx="11">
                  <c:v>0.16238921446923987</c:v>
                </c:pt>
                <c:pt idx="12">
                  <c:v>0.14724396115704305</c:v>
                </c:pt>
                <c:pt idx="13">
                  <c:v>0.13146428678746358</c:v>
                </c:pt>
                <c:pt idx="14">
                  <c:v>0.11461712150561051</c:v>
                </c:pt>
                <c:pt idx="15">
                  <c:v>9.8222178567920634E-2</c:v>
                </c:pt>
                <c:pt idx="16">
                  <c:v>8.1230809221321462E-2</c:v>
                </c:pt>
                <c:pt idx="17">
                  <c:v>6.2831435823971452E-2</c:v>
                </c:pt>
                <c:pt idx="18">
                  <c:v>4.3372281642248073E-2</c:v>
                </c:pt>
                <c:pt idx="19">
                  <c:v>2.2814382186530389E-2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E-4C8C-A044-C3D9B4D3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662"/>
        <c:axId val="746665499"/>
      </c:scatterChart>
      <c:valAx>
        <c:axId val="12123662"/>
        <c:scaling>
          <c:logBase val="10"/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665499"/>
        <c:crosses val="autoZero"/>
        <c:crossBetween val="midCat"/>
      </c:valAx>
      <c:valAx>
        <c:axId val="74666549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2366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(1259.42)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5.5491845570585729E-2"/>
                  <c:y val="-0.12992089781880714"/>
                </c:manualLayout>
              </c:layout>
              <c:numFmt formatCode="General" sourceLinked="0"/>
            </c:trendlineLbl>
          </c:trendline>
          <c:xVal>
            <c:numRef>
              <c:f>'Collected Data Site 1673'!$B$39:$B$58</c:f>
              <c:numCache>
                <c:formatCode>General</c:formatCode>
                <c:ptCount val="20"/>
                <c:pt idx="0">
                  <c:v>3000</c:v>
                </c:pt>
                <c:pt idx="1">
                  <c:v>2850</c:v>
                </c:pt>
                <c:pt idx="2">
                  <c:v>2700</c:v>
                </c:pt>
                <c:pt idx="3">
                  <c:v>2550</c:v>
                </c:pt>
                <c:pt idx="4">
                  <c:v>2400</c:v>
                </c:pt>
                <c:pt idx="5">
                  <c:v>2250</c:v>
                </c:pt>
                <c:pt idx="6">
                  <c:v>2100</c:v>
                </c:pt>
                <c:pt idx="7">
                  <c:v>1950</c:v>
                </c:pt>
                <c:pt idx="8">
                  <c:v>1800</c:v>
                </c:pt>
                <c:pt idx="9">
                  <c:v>1650</c:v>
                </c:pt>
                <c:pt idx="10">
                  <c:v>1500</c:v>
                </c:pt>
                <c:pt idx="11">
                  <c:v>1350</c:v>
                </c:pt>
                <c:pt idx="12">
                  <c:v>1200</c:v>
                </c:pt>
                <c:pt idx="13">
                  <c:v>1050</c:v>
                </c:pt>
                <c:pt idx="14">
                  <c:v>900</c:v>
                </c:pt>
                <c:pt idx="15">
                  <c:v>750</c:v>
                </c:pt>
                <c:pt idx="16">
                  <c:v>600</c:v>
                </c:pt>
                <c:pt idx="17">
                  <c:v>450</c:v>
                </c:pt>
                <c:pt idx="18">
                  <c:v>300</c:v>
                </c:pt>
                <c:pt idx="19">
                  <c:v>150</c:v>
                </c:pt>
              </c:numCache>
            </c:numRef>
          </c:xVal>
          <c:yVal>
            <c:numRef>
              <c:f>'Collected Data Site 1673'!$E$39:$E$58</c:f>
              <c:numCache>
                <c:formatCode>General</c:formatCode>
                <c:ptCount val="20"/>
                <c:pt idx="0">
                  <c:v>13.35</c:v>
                </c:pt>
                <c:pt idx="1">
                  <c:v>13.16</c:v>
                </c:pt>
                <c:pt idx="2">
                  <c:v>12.58</c:v>
                </c:pt>
                <c:pt idx="3">
                  <c:v>12.25</c:v>
                </c:pt>
                <c:pt idx="4">
                  <c:v>11.97</c:v>
                </c:pt>
                <c:pt idx="5">
                  <c:v>11.73</c:v>
                </c:pt>
                <c:pt idx="6">
                  <c:v>11.43</c:v>
                </c:pt>
                <c:pt idx="7">
                  <c:v>11.15</c:v>
                </c:pt>
                <c:pt idx="8">
                  <c:v>10.87</c:v>
                </c:pt>
                <c:pt idx="9">
                  <c:v>10.52</c:v>
                </c:pt>
                <c:pt idx="10">
                  <c:v>10.220000000000001</c:v>
                </c:pt>
                <c:pt idx="11">
                  <c:v>9.9</c:v>
                </c:pt>
                <c:pt idx="12">
                  <c:v>9.48</c:v>
                </c:pt>
                <c:pt idx="13">
                  <c:v>9.17</c:v>
                </c:pt>
                <c:pt idx="14">
                  <c:v>8.75</c:v>
                </c:pt>
                <c:pt idx="15">
                  <c:v>8.2899999999999991</c:v>
                </c:pt>
                <c:pt idx="16">
                  <c:v>7.72</c:v>
                </c:pt>
                <c:pt idx="17">
                  <c:v>7.2</c:v>
                </c:pt>
                <c:pt idx="18">
                  <c:v>6.52</c:v>
                </c:pt>
                <c:pt idx="19">
                  <c:v>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D-4F3E-872E-9AB637F9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5432"/>
        <c:axId val="676817769"/>
      </c:scatterChart>
      <c:valAx>
        <c:axId val="609535432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817769"/>
        <c:crosses val="autoZero"/>
        <c:crossBetween val="midCat"/>
      </c:valAx>
      <c:valAx>
        <c:axId val="67681776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5354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(1681.1)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544052154770976"/>
                  <c:y val="-2.7513802154041089E-5"/>
                </c:manualLayout>
              </c:layout>
              <c:numFmt formatCode="General" sourceLinked="0"/>
            </c:trendlineLbl>
          </c:trendline>
          <c:xVal>
            <c:numRef>
              <c:f>'Collected Data Site 1673'!$H$39:$H$56</c:f>
              <c:numCache>
                <c:formatCode>General</c:formatCode>
                <c:ptCount val="18"/>
                <c:pt idx="0">
                  <c:v>2700</c:v>
                </c:pt>
                <c:pt idx="1">
                  <c:v>2550</c:v>
                </c:pt>
                <c:pt idx="2">
                  <c:v>2400</c:v>
                </c:pt>
                <c:pt idx="3">
                  <c:v>2250</c:v>
                </c:pt>
                <c:pt idx="4">
                  <c:v>2100</c:v>
                </c:pt>
                <c:pt idx="5">
                  <c:v>1950</c:v>
                </c:pt>
                <c:pt idx="6">
                  <c:v>1800</c:v>
                </c:pt>
                <c:pt idx="7">
                  <c:v>1650</c:v>
                </c:pt>
                <c:pt idx="8">
                  <c:v>1500</c:v>
                </c:pt>
                <c:pt idx="9">
                  <c:v>1350</c:v>
                </c:pt>
                <c:pt idx="10">
                  <c:v>1200</c:v>
                </c:pt>
                <c:pt idx="11">
                  <c:v>1050</c:v>
                </c:pt>
                <c:pt idx="12">
                  <c:v>900</c:v>
                </c:pt>
                <c:pt idx="13">
                  <c:v>750</c:v>
                </c:pt>
                <c:pt idx="14">
                  <c:v>600</c:v>
                </c:pt>
                <c:pt idx="15">
                  <c:v>450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'Collected Data Site 1673'!$K$39:$K$56</c:f>
              <c:numCache>
                <c:formatCode>General</c:formatCode>
                <c:ptCount val="18"/>
                <c:pt idx="0">
                  <c:v>6.54</c:v>
                </c:pt>
                <c:pt idx="1">
                  <c:v>6.3</c:v>
                </c:pt>
                <c:pt idx="2">
                  <c:v>6.05</c:v>
                </c:pt>
                <c:pt idx="3">
                  <c:v>5.91</c:v>
                </c:pt>
                <c:pt idx="4">
                  <c:v>5.78</c:v>
                </c:pt>
                <c:pt idx="5">
                  <c:v>5.65</c:v>
                </c:pt>
                <c:pt idx="6">
                  <c:v>5.5</c:v>
                </c:pt>
                <c:pt idx="7">
                  <c:v>5.32</c:v>
                </c:pt>
                <c:pt idx="8">
                  <c:v>5.14</c:v>
                </c:pt>
                <c:pt idx="9">
                  <c:v>4.92</c:v>
                </c:pt>
                <c:pt idx="10">
                  <c:v>4.74</c:v>
                </c:pt>
                <c:pt idx="11">
                  <c:v>4.54</c:v>
                </c:pt>
                <c:pt idx="12">
                  <c:v>4.2699999999999996</c:v>
                </c:pt>
                <c:pt idx="13">
                  <c:v>3.94</c:v>
                </c:pt>
                <c:pt idx="14">
                  <c:v>3.58</c:v>
                </c:pt>
                <c:pt idx="15">
                  <c:v>3.13</c:v>
                </c:pt>
                <c:pt idx="16">
                  <c:v>2.5099999999999998</c:v>
                </c:pt>
                <c:pt idx="17">
                  <c:v>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F-41F5-A0E3-325E9470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42083"/>
        <c:axId val="2135080721"/>
      </c:scatterChart>
      <c:valAx>
        <c:axId val="1250642083"/>
        <c:scaling>
          <c:logBase val="10"/>
          <c:orientation val="minMax"/>
          <c:min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080721"/>
        <c:crosses val="autoZero"/>
        <c:crossBetween val="midCat"/>
      </c:valAx>
      <c:valAx>
        <c:axId val="213508072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06420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(1884.39)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571864414384099"/>
                  <c:y val="-6.0918364585870063E-2"/>
                </c:manualLayout>
              </c:layout>
              <c:numFmt formatCode="General" sourceLinked="0"/>
            </c:trendlineLbl>
          </c:trendline>
          <c:xVal>
            <c:numRef>
              <c:f>'Collected Data Site 1673'!$N$39:$N$62</c:f>
              <c:numCache>
                <c:formatCode>General</c:formatCode>
                <c:ptCount val="24"/>
                <c:pt idx="0">
                  <c:v>18000</c:v>
                </c:pt>
                <c:pt idx="1">
                  <c:v>17000</c:v>
                </c:pt>
                <c:pt idx="2">
                  <c:v>16000</c:v>
                </c:pt>
                <c:pt idx="3">
                  <c:v>15000</c:v>
                </c:pt>
                <c:pt idx="4">
                  <c:v>14000</c:v>
                </c:pt>
                <c:pt idx="5">
                  <c:v>13000</c:v>
                </c:pt>
                <c:pt idx="6">
                  <c:v>12000</c:v>
                </c:pt>
                <c:pt idx="7">
                  <c:v>11000</c:v>
                </c:pt>
                <c:pt idx="8">
                  <c:v>10000</c:v>
                </c:pt>
                <c:pt idx="9">
                  <c:v>9000</c:v>
                </c:pt>
                <c:pt idx="10">
                  <c:v>8000</c:v>
                </c:pt>
                <c:pt idx="11">
                  <c:v>7000</c:v>
                </c:pt>
                <c:pt idx="12">
                  <c:v>6000</c:v>
                </c:pt>
                <c:pt idx="13">
                  <c:v>5000</c:v>
                </c:pt>
                <c:pt idx="14">
                  <c:v>4000</c:v>
                </c:pt>
                <c:pt idx="15">
                  <c:v>3000</c:v>
                </c:pt>
                <c:pt idx="16">
                  <c:v>2000</c:v>
                </c:pt>
                <c:pt idx="17">
                  <c:v>1000</c:v>
                </c:pt>
                <c:pt idx="18">
                  <c:v>900</c:v>
                </c:pt>
                <c:pt idx="19">
                  <c:v>800</c:v>
                </c:pt>
                <c:pt idx="20">
                  <c:v>700</c:v>
                </c:pt>
                <c:pt idx="21">
                  <c:v>500</c:v>
                </c:pt>
                <c:pt idx="22">
                  <c:v>300</c:v>
                </c:pt>
                <c:pt idx="23">
                  <c:v>100</c:v>
                </c:pt>
              </c:numCache>
            </c:numRef>
          </c:xVal>
          <c:yVal>
            <c:numRef>
              <c:f>'Collected Data Site 1673'!$Q$39:$Q$62</c:f>
              <c:numCache>
                <c:formatCode>General</c:formatCode>
                <c:ptCount val="24"/>
                <c:pt idx="0">
                  <c:v>31.08</c:v>
                </c:pt>
                <c:pt idx="1">
                  <c:v>30.66</c:v>
                </c:pt>
                <c:pt idx="2">
                  <c:v>30.45</c:v>
                </c:pt>
                <c:pt idx="3">
                  <c:v>30.14</c:v>
                </c:pt>
                <c:pt idx="4">
                  <c:v>29.82</c:v>
                </c:pt>
                <c:pt idx="5">
                  <c:v>29.56</c:v>
                </c:pt>
                <c:pt idx="6">
                  <c:v>29.4</c:v>
                </c:pt>
                <c:pt idx="7">
                  <c:v>28.72</c:v>
                </c:pt>
                <c:pt idx="8">
                  <c:v>28.51</c:v>
                </c:pt>
                <c:pt idx="9">
                  <c:v>27.99</c:v>
                </c:pt>
                <c:pt idx="10">
                  <c:v>27.57</c:v>
                </c:pt>
                <c:pt idx="11">
                  <c:v>26.94</c:v>
                </c:pt>
                <c:pt idx="12">
                  <c:v>26.36</c:v>
                </c:pt>
                <c:pt idx="13">
                  <c:v>26.21</c:v>
                </c:pt>
                <c:pt idx="14">
                  <c:v>24.95</c:v>
                </c:pt>
                <c:pt idx="15">
                  <c:v>24.01</c:v>
                </c:pt>
                <c:pt idx="16">
                  <c:v>22.91</c:v>
                </c:pt>
                <c:pt idx="17">
                  <c:v>21.59</c:v>
                </c:pt>
                <c:pt idx="18">
                  <c:v>21.39</c:v>
                </c:pt>
                <c:pt idx="19">
                  <c:v>21.12</c:v>
                </c:pt>
                <c:pt idx="20">
                  <c:v>20.91</c:v>
                </c:pt>
                <c:pt idx="21">
                  <c:v>20.23</c:v>
                </c:pt>
                <c:pt idx="22">
                  <c:v>19.38</c:v>
                </c:pt>
                <c:pt idx="23">
                  <c:v>18.059999999999999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B-4173-8BA6-E150829B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67433"/>
        <c:axId val="136702932"/>
      </c:scatterChart>
      <c:valAx>
        <c:axId val="824967433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02932"/>
        <c:crosses val="autoZero"/>
        <c:crossBetween val="midCat"/>
      </c:valAx>
      <c:valAx>
        <c:axId val="13670293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49674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(2085.82)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8929717118693497E-3"/>
                  <c:y val="-0.16769445198660513"/>
                </c:manualLayout>
              </c:layout>
              <c:numFmt formatCode="General" sourceLinked="0"/>
            </c:trendlineLbl>
          </c:trendline>
          <c:xVal>
            <c:numRef>
              <c:f>'Collected Data Site 1673'!$B$66:$B$85</c:f>
              <c:numCache>
                <c:formatCode>General</c:formatCode>
                <c:ptCount val="20"/>
                <c:pt idx="0">
                  <c:v>500</c:v>
                </c:pt>
                <c:pt idx="1">
                  <c:v>475</c:v>
                </c:pt>
                <c:pt idx="2">
                  <c:v>450</c:v>
                </c:pt>
                <c:pt idx="3">
                  <c:v>425</c:v>
                </c:pt>
                <c:pt idx="4">
                  <c:v>400</c:v>
                </c:pt>
                <c:pt idx="5">
                  <c:v>375</c:v>
                </c:pt>
                <c:pt idx="6">
                  <c:v>350</c:v>
                </c:pt>
                <c:pt idx="7">
                  <c:v>325</c:v>
                </c:pt>
                <c:pt idx="8">
                  <c:v>300</c:v>
                </c:pt>
                <c:pt idx="9">
                  <c:v>275</c:v>
                </c:pt>
                <c:pt idx="10">
                  <c:v>250</c:v>
                </c:pt>
                <c:pt idx="11">
                  <c:v>225</c:v>
                </c:pt>
                <c:pt idx="12">
                  <c:v>200</c:v>
                </c:pt>
                <c:pt idx="13">
                  <c:v>175</c:v>
                </c:pt>
                <c:pt idx="14">
                  <c:v>150</c:v>
                </c:pt>
                <c:pt idx="15">
                  <c:v>125</c:v>
                </c:pt>
                <c:pt idx="16">
                  <c:v>100</c:v>
                </c:pt>
                <c:pt idx="17">
                  <c:v>75</c:v>
                </c:pt>
                <c:pt idx="18">
                  <c:v>50</c:v>
                </c:pt>
                <c:pt idx="19">
                  <c:v>25</c:v>
                </c:pt>
              </c:numCache>
            </c:numRef>
          </c:xVal>
          <c:yVal>
            <c:numRef>
              <c:f>'Collected Data Site 1673'!$E$66:$E$85</c:f>
              <c:numCache>
                <c:formatCode>General</c:formatCode>
                <c:ptCount val="20"/>
                <c:pt idx="0">
                  <c:v>10.48</c:v>
                </c:pt>
                <c:pt idx="1">
                  <c:v>10.39</c:v>
                </c:pt>
                <c:pt idx="2">
                  <c:v>10.33</c:v>
                </c:pt>
                <c:pt idx="3">
                  <c:v>10.26</c:v>
                </c:pt>
                <c:pt idx="4">
                  <c:v>10.18</c:v>
                </c:pt>
                <c:pt idx="5">
                  <c:v>10.11</c:v>
                </c:pt>
                <c:pt idx="6">
                  <c:v>9.86</c:v>
                </c:pt>
                <c:pt idx="7">
                  <c:v>9.74</c:v>
                </c:pt>
                <c:pt idx="8">
                  <c:v>9.6199999999999992</c:v>
                </c:pt>
                <c:pt idx="9">
                  <c:v>9.4499999999999993</c:v>
                </c:pt>
                <c:pt idx="10">
                  <c:v>9.43</c:v>
                </c:pt>
                <c:pt idx="11">
                  <c:v>9.2200000000000006</c:v>
                </c:pt>
                <c:pt idx="12">
                  <c:v>9.01</c:v>
                </c:pt>
                <c:pt idx="13">
                  <c:v>8.82</c:v>
                </c:pt>
                <c:pt idx="14">
                  <c:v>8.6300000000000008</c:v>
                </c:pt>
                <c:pt idx="15">
                  <c:v>8.41</c:v>
                </c:pt>
                <c:pt idx="16">
                  <c:v>8.15</c:v>
                </c:pt>
                <c:pt idx="17">
                  <c:v>7.87</c:v>
                </c:pt>
                <c:pt idx="18">
                  <c:v>7.53</c:v>
                </c:pt>
                <c:pt idx="19">
                  <c:v>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A4D-BDF2-C40EF0CFD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79359"/>
        <c:axId val="1101872452"/>
      </c:scatterChart>
      <c:valAx>
        <c:axId val="1421379359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1872452"/>
        <c:crosses val="autoZero"/>
        <c:crossBetween val="midCat"/>
      </c:valAx>
      <c:valAx>
        <c:axId val="110187245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137935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(2971.99)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1067174667682673"/>
                  <c:y val="0.15672585754366911"/>
                </c:manualLayout>
              </c:layout>
              <c:numFmt formatCode="General" sourceLinked="0"/>
            </c:trendlineLbl>
          </c:trendline>
          <c:xVal>
            <c:numRef>
              <c:f>'Collected Data Site 1673'!$H$66:$H$90</c:f>
              <c:numCache>
                <c:formatCode>General</c:formatCode>
                <c:ptCount val="25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1700</c:v>
                </c:pt>
                <c:pt idx="9">
                  <c:v>1600</c:v>
                </c:pt>
                <c:pt idx="10">
                  <c:v>1500</c:v>
                </c:pt>
                <c:pt idx="11">
                  <c:v>1400</c:v>
                </c:pt>
                <c:pt idx="12">
                  <c:v>1300</c:v>
                </c:pt>
                <c:pt idx="13">
                  <c:v>1200</c:v>
                </c:pt>
                <c:pt idx="14">
                  <c:v>1100</c:v>
                </c:pt>
                <c:pt idx="15">
                  <c:v>1000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600</c:v>
                </c:pt>
                <c:pt idx="20">
                  <c:v>500</c:v>
                </c:pt>
                <c:pt idx="21">
                  <c:v>400</c:v>
                </c:pt>
                <c:pt idx="22">
                  <c:v>300</c:v>
                </c:pt>
                <c:pt idx="23">
                  <c:v>200</c:v>
                </c:pt>
                <c:pt idx="24">
                  <c:v>100</c:v>
                </c:pt>
              </c:numCache>
            </c:numRef>
          </c:xVal>
          <c:yVal>
            <c:numRef>
              <c:f>'Collected Data Site 1673'!$K$66:$K$90</c:f>
              <c:numCache>
                <c:formatCode>General</c:formatCode>
                <c:ptCount val="25"/>
                <c:pt idx="0">
                  <c:v>47.22</c:v>
                </c:pt>
                <c:pt idx="1">
                  <c:v>47.06</c:v>
                </c:pt>
                <c:pt idx="2">
                  <c:v>47.06</c:v>
                </c:pt>
                <c:pt idx="3">
                  <c:v>46.89</c:v>
                </c:pt>
                <c:pt idx="4">
                  <c:v>46.65</c:v>
                </c:pt>
                <c:pt idx="5">
                  <c:v>46.73</c:v>
                </c:pt>
                <c:pt idx="6">
                  <c:v>46.49</c:v>
                </c:pt>
                <c:pt idx="7">
                  <c:v>46.25</c:v>
                </c:pt>
                <c:pt idx="8">
                  <c:v>46.25</c:v>
                </c:pt>
                <c:pt idx="9">
                  <c:v>46.01</c:v>
                </c:pt>
                <c:pt idx="10">
                  <c:v>45.93</c:v>
                </c:pt>
                <c:pt idx="11">
                  <c:v>45.68</c:v>
                </c:pt>
                <c:pt idx="12">
                  <c:v>45.57</c:v>
                </c:pt>
                <c:pt idx="13">
                  <c:v>45.49</c:v>
                </c:pt>
                <c:pt idx="14">
                  <c:v>45.18</c:v>
                </c:pt>
                <c:pt idx="15">
                  <c:v>45.02</c:v>
                </c:pt>
                <c:pt idx="16">
                  <c:v>44.78</c:v>
                </c:pt>
                <c:pt idx="17">
                  <c:v>44.54</c:v>
                </c:pt>
                <c:pt idx="18">
                  <c:v>44.38</c:v>
                </c:pt>
                <c:pt idx="19">
                  <c:v>44.14</c:v>
                </c:pt>
                <c:pt idx="20">
                  <c:v>43.75</c:v>
                </c:pt>
                <c:pt idx="21">
                  <c:v>43.59</c:v>
                </c:pt>
                <c:pt idx="22">
                  <c:v>42.87</c:v>
                </c:pt>
                <c:pt idx="23">
                  <c:v>42.4</c:v>
                </c:pt>
                <c:pt idx="24">
                  <c:v>41.52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C-4B66-A330-C7CFFC95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49966"/>
        <c:axId val="961251641"/>
      </c:scatterChart>
      <c:valAx>
        <c:axId val="1053749966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1251641"/>
        <c:crosses val="autoZero"/>
        <c:crossBetween val="midCat"/>
      </c:valAx>
      <c:valAx>
        <c:axId val="96125164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7499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(4466.44)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864571415752519"/>
                  <c:y val="-9.7060547843890649E-2"/>
                </c:manualLayout>
              </c:layout>
              <c:numFmt formatCode="General" sourceLinked="0"/>
            </c:trendlineLbl>
          </c:trendline>
          <c:xVal>
            <c:numRef>
              <c:f>'Collected Data Site 1673'!$N$70:$N$89</c:f>
              <c:numCache>
                <c:formatCode>General</c:formatCode>
                <c:ptCount val="20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</c:numCache>
            </c:numRef>
          </c:xVal>
          <c:yVal>
            <c:numRef>
              <c:f>'Collected Data Site 1673'!$Q$70:$Q$89</c:f>
              <c:numCache>
                <c:formatCode>General</c:formatCode>
                <c:ptCount val="20"/>
                <c:pt idx="0">
                  <c:v>22.79</c:v>
                </c:pt>
                <c:pt idx="1">
                  <c:v>22.59</c:v>
                </c:pt>
                <c:pt idx="2">
                  <c:v>22.43</c:v>
                </c:pt>
                <c:pt idx="3">
                  <c:v>22.35</c:v>
                </c:pt>
                <c:pt idx="4">
                  <c:v>22.39</c:v>
                </c:pt>
                <c:pt idx="5">
                  <c:v>22.23</c:v>
                </c:pt>
                <c:pt idx="6">
                  <c:v>22.15</c:v>
                </c:pt>
                <c:pt idx="7">
                  <c:v>21.87</c:v>
                </c:pt>
                <c:pt idx="8">
                  <c:v>21.91</c:v>
                </c:pt>
                <c:pt idx="9">
                  <c:v>21.6</c:v>
                </c:pt>
                <c:pt idx="10">
                  <c:v>21.4</c:v>
                </c:pt>
                <c:pt idx="11">
                  <c:v>21.2</c:v>
                </c:pt>
                <c:pt idx="12">
                  <c:v>20.96</c:v>
                </c:pt>
                <c:pt idx="13">
                  <c:v>20.76</c:v>
                </c:pt>
                <c:pt idx="14">
                  <c:v>20.56</c:v>
                </c:pt>
                <c:pt idx="15">
                  <c:v>20.25</c:v>
                </c:pt>
                <c:pt idx="16">
                  <c:v>19.89</c:v>
                </c:pt>
                <c:pt idx="17">
                  <c:v>19.48</c:v>
                </c:pt>
                <c:pt idx="18">
                  <c:v>19</c:v>
                </c:pt>
                <c:pt idx="19">
                  <c:v>18.420000000000002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3-4C51-B86D-4F8A9D35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54750"/>
        <c:axId val="1820804149"/>
      </c:scatterChart>
      <c:valAx>
        <c:axId val="332754750"/>
        <c:scaling>
          <c:logBase val="10"/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804149"/>
        <c:crosses val="autoZero"/>
        <c:crossBetween val="midCat"/>
      </c:valAx>
      <c:valAx>
        <c:axId val="182080414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27547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57700" cy="2762250"/>
    <xdr:graphicFrame macro="">
      <xdr:nvGraphicFramePr>
        <xdr:cNvPr id="17247649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609600</xdr:colOff>
      <xdr:row>0</xdr:row>
      <xdr:rowOff>0</xdr:rowOff>
    </xdr:from>
    <xdr:ext cx="4429125" cy="2762250"/>
    <xdr:graphicFrame macro="">
      <xdr:nvGraphicFramePr>
        <xdr:cNvPr id="196542578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219075</xdr:colOff>
      <xdr:row>0</xdr:row>
      <xdr:rowOff>0</xdr:rowOff>
    </xdr:from>
    <xdr:ext cx="4457700" cy="2762250"/>
    <xdr:graphicFrame macro="">
      <xdr:nvGraphicFramePr>
        <xdr:cNvPr id="144272669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0</xdr:rowOff>
    </xdr:from>
    <xdr:ext cx="4457700" cy="2762250"/>
    <xdr:graphicFrame macro="">
      <xdr:nvGraphicFramePr>
        <xdr:cNvPr id="13003017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600075</xdr:colOff>
      <xdr:row>14</xdr:row>
      <xdr:rowOff>0</xdr:rowOff>
    </xdr:from>
    <xdr:ext cx="4429125" cy="2762250"/>
    <xdr:graphicFrame macro="">
      <xdr:nvGraphicFramePr>
        <xdr:cNvPr id="146739132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219075</xdr:colOff>
      <xdr:row>13</xdr:row>
      <xdr:rowOff>180975</xdr:rowOff>
    </xdr:from>
    <xdr:ext cx="4457700" cy="2771775"/>
    <xdr:graphicFrame macro="">
      <xdr:nvGraphicFramePr>
        <xdr:cNvPr id="62185863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0</xdr:rowOff>
    </xdr:from>
    <xdr:ext cx="4457700" cy="2762250"/>
    <xdr:graphicFrame macro="">
      <xdr:nvGraphicFramePr>
        <xdr:cNvPr id="118928495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609600</xdr:colOff>
      <xdr:row>28</xdr:row>
      <xdr:rowOff>0</xdr:rowOff>
    </xdr:from>
    <xdr:ext cx="4429125" cy="2762250"/>
    <xdr:graphicFrame macro="">
      <xdr:nvGraphicFramePr>
        <xdr:cNvPr id="182224612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200025</xdr:colOff>
      <xdr:row>27</xdr:row>
      <xdr:rowOff>180975</xdr:rowOff>
    </xdr:from>
    <xdr:ext cx="4457700" cy="2771775"/>
    <xdr:graphicFrame macro="">
      <xdr:nvGraphicFramePr>
        <xdr:cNvPr id="159701679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57700" cy="2762250"/>
    <xdr:graphicFrame macro="">
      <xdr:nvGraphicFramePr>
        <xdr:cNvPr id="12748507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600075</xdr:colOff>
      <xdr:row>0</xdr:row>
      <xdr:rowOff>0</xdr:rowOff>
    </xdr:from>
    <xdr:ext cx="4429125" cy="2762250"/>
    <xdr:graphicFrame macro="">
      <xdr:nvGraphicFramePr>
        <xdr:cNvPr id="182590566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200025</xdr:colOff>
      <xdr:row>0</xdr:row>
      <xdr:rowOff>0</xdr:rowOff>
    </xdr:from>
    <xdr:ext cx="4457700" cy="2762250"/>
    <xdr:graphicFrame macro="">
      <xdr:nvGraphicFramePr>
        <xdr:cNvPr id="51194310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0</xdr:rowOff>
    </xdr:from>
    <xdr:ext cx="4457700" cy="2762250"/>
    <xdr:graphicFrame macro="">
      <xdr:nvGraphicFramePr>
        <xdr:cNvPr id="81514104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581025</xdr:colOff>
      <xdr:row>14</xdr:row>
      <xdr:rowOff>0</xdr:rowOff>
    </xdr:from>
    <xdr:ext cx="4429125" cy="2762250"/>
    <xdr:graphicFrame macro="">
      <xdr:nvGraphicFramePr>
        <xdr:cNvPr id="45083707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200025</xdr:colOff>
      <xdr:row>14</xdr:row>
      <xdr:rowOff>0</xdr:rowOff>
    </xdr:from>
    <xdr:ext cx="4457700" cy="2762250"/>
    <xdr:graphicFrame macro="">
      <xdr:nvGraphicFramePr>
        <xdr:cNvPr id="1948147360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0</xdr:rowOff>
    </xdr:from>
    <xdr:ext cx="4457700" cy="2762250"/>
    <xdr:graphicFrame macro="">
      <xdr:nvGraphicFramePr>
        <xdr:cNvPr id="87363843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542925</xdr:colOff>
      <xdr:row>28</xdr:row>
      <xdr:rowOff>0</xdr:rowOff>
    </xdr:from>
    <xdr:ext cx="4429125" cy="2762250"/>
    <xdr:graphicFrame macro="">
      <xdr:nvGraphicFramePr>
        <xdr:cNvPr id="27772333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133350</xdr:colOff>
      <xdr:row>27</xdr:row>
      <xdr:rowOff>180975</xdr:rowOff>
    </xdr:from>
    <xdr:ext cx="4457700" cy="2771775"/>
    <xdr:graphicFrame macro="">
      <xdr:nvGraphicFramePr>
        <xdr:cNvPr id="1858105316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57700" cy="2762250"/>
    <xdr:graphicFrame macro="">
      <xdr:nvGraphicFramePr>
        <xdr:cNvPr id="202648317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609600</xdr:colOff>
      <xdr:row>0</xdr:row>
      <xdr:rowOff>0</xdr:rowOff>
    </xdr:from>
    <xdr:ext cx="4429125" cy="2762250"/>
    <xdr:graphicFrame macro="">
      <xdr:nvGraphicFramePr>
        <xdr:cNvPr id="1997200017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200025</xdr:colOff>
      <xdr:row>0</xdr:row>
      <xdr:rowOff>0</xdr:rowOff>
    </xdr:from>
    <xdr:ext cx="4457700" cy="2762250"/>
    <xdr:graphicFrame macro="">
      <xdr:nvGraphicFramePr>
        <xdr:cNvPr id="1617214503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0</xdr:rowOff>
    </xdr:from>
    <xdr:ext cx="4457700" cy="2762250"/>
    <xdr:graphicFrame macro="">
      <xdr:nvGraphicFramePr>
        <xdr:cNvPr id="19835984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571500</xdr:colOff>
      <xdr:row>14</xdr:row>
      <xdr:rowOff>0</xdr:rowOff>
    </xdr:from>
    <xdr:ext cx="4429125" cy="2762250"/>
    <xdr:graphicFrame macro="">
      <xdr:nvGraphicFramePr>
        <xdr:cNvPr id="17031032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190500</xdr:colOff>
      <xdr:row>14</xdr:row>
      <xdr:rowOff>0</xdr:rowOff>
    </xdr:from>
    <xdr:ext cx="4457700" cy="2762250"/>
    <xdr:graphicFrame macro="">
      <xdr:nvGraphicFramePr>
        <xdr:cNvPr id="41454481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0</xdr:rowOff>
    </xdr:from>
    <xdr:ext cx="4457700" cy="2762250"/>
    <xdr:graphicFrame macro="">
      <xdr:nvGraphicFramePr>
        <xdr:cNvPr id="568968898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609600</xdr:colOff>
      <xdr:row>28</xdr:row>
      <xdr:rowOff>0</xdr:rowOff>
    </xdr:from>
    <xdr:ext cx="4429125" cy="2762250"/>
    <xdr:graphicFrame macro="">
      <xdr:nvGraphicFramePr>
        <xdr:cNvPr id="1711185322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180975</xdr:colOff>
      <xdr:row>28</xdr:row>
      <xdr:rowOff>0</xdr:rowOff>
    </xdr:from>
    <xdr:ext cx="4457700" cy="2762250"/>
    <xdr:graphicFrame macro="">
      <xdr:nvGraphicFramePr>
        <xdr:cNvPr id="5733332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57700" cy="2762250"/>
    <xdr:graphicFrame macro="">
      <xdr:nvGraphicFramePr>
        <xdr:cNvPr id="311108356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590550</xdr:colOff>
      <xdr:row>0</xdr:row>
      <xdr:rowOff>0</xdr:rowOff>
    </xdr:from>
    <xdr:ext cx="4429125" cy="2762250"/>
    <xdr:graphicFrame macro="">
      <xdr:nvGraphicFramePr>
        <xdr:cNvPr id="37571032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190500</xdr:colOff>
      <xdr:row>0</xdr:row>
      <xdr:rowOff>0</xdr:rowOff>
    </xdr:from>
    <xdr:ext cx="4457700" cy="2762250"/>
    <xdr:graphicFrame macro="">
      <xdr:nvGraphicFramePr>
        <xdr:cNvPr id="2002731484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0</xdr:rowOff>
    </xdr:from>
    <xdr:ext cx="4457700" cy="2762250"/>
    <xdr:graphicFrame macro="">
      <xdr:nvGraphicFramePr>
        <xdr:cNvPr id="359669469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600075</xdr:colOff>
      <xdr:row>14</xdr:row>
      <xdr:rowOff>0</xdr:rowOff>
    </xdr:from>
    <xdr:ext cx="4429125" cy="2762250"/>
    <xdr:graphicFrame macro="">
      <xdr:nvGraphicFramePr>
        <xdr:cNvPr id="1427019124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228600</xdr:colOff>
      <xdr:row>14</xdr:row>
      <xdr:rowOff>0</xdr:rowOff>
    </xdr:from>
    <xdr:ext cx="4457700" cy="2762250"/>
    <xdr:graphicFrame macro="">
      <xdr:nvGraphicFramePr>
        <xdr:cNvPr id="2011793826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0</xdr:rowOff>
    </xdr:from>
    <xdr:ext cx="4457700" cy="2762250"/>
    <xdr:graphicFrame macro="">
      <xdr:nvGraphicFramePr>
        <xdr:cNvPr id="799858839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590550</xdr:colOff>
      <xdr:row>28</xdr:row>
      <xdr:rowOff>0</xdr:rowOff>
    </xdr:from>
    <xdr:ext cx="4429125" cy="2762250"/>
    <xdr:graphicFrame macro="">
      <xdr:nvGraphicFramePr>
        <xdr:cNvPr id="1555201347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200025</xdr:colOff>
      <xdr:row>27</xdr:row>
      <xdr:rowOff>190500</xdr:rowOff>
    </xdr:from>
    <xdr:ext cx="4457700" cy="2771775"/>
    <xdr:graphicFrame macro="">
      <xdr:nvGraphicFramePr>
        <xdr:cNvPr id="1349512980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U1000"/>
  <sheetViews>
    <sheetView workbookViewId="0">
      <selection activeCell="U1" sqref="U1:U1048576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6" width="14.44140625" customWidth="1"/>
    <col min="8" max="8" width="22.6640625" customWidth="1"/>
    <col min="14" max="14" width="22.6640625" customWidth="1"/>
  </cols>
  <sheetData>
    <row r="1" spans="2:21" ht="15.75" customHeight="1" x14ac:dyDescent="0.25"/>
    <row r="2" spans="2:21" ht="15.75" customHeight="1" x14ac:dyDescent="0.25">
      <c r="B2" s="1" t="s">
        <v>0</v>
      </c>
      <c r="C2" s="2">
        <v>1673</v>
      </c>
      <c r="D2" s="3"/>
      <c r="E2" s="3"/>
      <c r="F2" s="3"/>
      <c r="H2" s="1" t="s">
        <v>0</v>
      </c>
      <c r="I2" s="2">
        <v>1673</v>
      </c>
      <c r="J2" s="3"/>
      <c r="K2" s="3"/>
      <c r="L2" s="3"/>
      <c r="N2" s="1" t="s">
        <v>0</v>
      </c>
      <c r="O2" s="2">
        <v>1673</v>
      </c>
      <c r="P2" s="3"/>
      <c r="Q2" s="3"/>
      <c r="R2" s="3"/>
    </row>
    <row r="3" spans="2:21" ht="15.75" customHeight="1" x14ac:dyDescent="0.25">
      <c r="B3" s="4" t="s">
        <v>1</v>
      </c>
      <c r="C3" s="2">
        <v>176.25</v>
      </c>
      <c r="D3" s="3"/>
      <c r="E3" s="3"/>
      <c r="F3" s="3"/>
      <c r="H3" s="4" t="s">
        <v>1</v>
      </c>
      <c r="I3" s="2">
        <v>545.66999999999996</v>
      </c>
      <c r="J3" s="3"/>
      <c r="K3" s="3"/>
      <c r="L3" s="3"/>
      <c r="N3" s="4" t="s">
        <v>1</v>
      </c>
      <c r="O3" s="2">
        <v>756.65</v>
      </c>
      <c r="P3" s="3"/>
      <c r="Q3" s="3"/>
      <c r="R3" s="3"/>
    </row>
    <row r="4" spans="2:21" ht="15.75" customHeight="1" x14ac:dyDescent="0.25">
      <c r="B4" s="3"/>
      <c r="C4" s="3"/>
      <c r="D4" s="3"/>
      <c r="E4" s="3"/>
      <c r="F4" s="3"/>
      <c r="H4" s="3"/>
      <c r="I4" s="3"/>
      <c r="J4" s="3"/>
      <c r="K4" s="3"/>
      <c r="L4" s="3"/>
      <c r="N4" s="3"/>
      <c r="O4" s="3"/>
      <c r="P4" s="3"/>
      <c r="Q4" s="3"/>
      <c r="R4" s="3"/>
      <c r="U4" s="5"/>
    </row>
    <row r="5" spans="2:21" ht="15.75" customHeight="1" x14ac:dyDescent="0.2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/>
      <c r="H5" s="6" t="s">
        <v>2</v>
      </c>
      <c r="I5" s="6" t="s">
        <v>3</v>
      </c>
      <c r="J5" s="6" t="s">
        <v>4</v>
      </c>
      <c r="K5" s="6" t="s">
        <v>5</v>
      </c>
      <c r="L5" s="6" t="s">
        <v>6</v>
      </c>
      <c r="M5" s="7"/>
      <c r="N5" s="6" t="s">
        <v>2</v>
      </c>
      <c r="O5" s="6" t="s">
        <v>3</v>
      </c>
      <c r="P5" s="6" t="s">
        <v>4</v>
      </c>
      <c r="Q5" s="6" t="s">
        <v>5</v>
      </c>
      <c r="R5" s="6" t="s">
        <v>6</v>
      </c>
      <c r="S5" s="7"/>
      <c r="U5" s="8"/>
    </row>
    <row r="6" spans="2:21" ht="15.75" customHeight="1" x14ac:dyDescent="0.25">
      <c r="B6" s="9">
        <v>5750</v>
      </c>
      <c r="C6" s="9">
        <f>170.83+207.7+929.39</f>
        <v>1307.92</v>
      </c>
      <c r="D6" s="9">
        <f>26.69+89.85+121.04</f>
        <v>237.57999999999998</v>
      </c>
      <c r="E6" s="9">
        <v>10.62</v>
      </c>
      <c r="F6" s="9">
        <f t="shared" ref="F6:F28" si="0">B6/C6</f>
        <v>4.3962933512753075</v>
      </c>
      <c r="G6" s="10"/>
      <c r="H6" s="9">
        <v>13000</v>
      </c>
      <c r="I6" s="9">
        <v>1477.32</v>
      </c>
      <c r="J6" s="9">
        <v>169.24</v>
      </c>
      <c r="K6" s="9">
        <v>14.45</v>
      </c>
      <c r="L6" s="9">
        <f t="shared" ref="L6:L31" si="1">H6/I6</f>
        <v>8.7997184090109126</v>
      </c>
      <c r="M6" s="10"/>
      <c r="N6" s="9">
        <v>2700</v>
      </c>
      <c r="O6" s="9">
        <v>1806.62</v>
      </c>
      <c r="P6" s="9">
        <v>248.49</v>
      </c>
      <c r="Q6" s="9">
        <v>9.48</v>
      </c>
      <c r="R6" s="9">
        <f t="shared" ref="R6:R23" si="2">N6/O6</f>
        <v>1.4945035480621272</v>
      </c>
      <c r="S6" s="10"/>
      <c r="U6" s="8"/>
    </row>
    <row r="7" spans="2:21" ht="15.75" customHeight="1" x14ac:dyDescent="0.25">
      <c r="B7" s="9">
        <f t="shared" ref="B7:B28" si="3">B6-250</f>
        <v>5500</v>
      </c>
      <c r="C7" s="9">
        <f>192.98+168.19+906.19</f>
        <v>1267.3600000000001</v>
      </c>
      <c r="D7" s="9">
        <f>87.85+28.31+120</f>
        <v>236.16</v>
      </c>
      <c r="E7" s="9">
        <v>10.43</v>
      </c>
      <c r="F7" s="9">
        <f t="shared" si="0"/>
        <v>4.3397298320919075</v>
      </c>
      <c r="G7" s="10"/>
      <c r="H7" s="9">
        <f t="shared" ref="H7:H31" si="4">H6-500</f>
        <v>12500</v>
      </c>
      <c r="I7" s="9">
        <v>1361.45</v>
      </c>
      <c r="J7" s="9">
        <v>161.80000000000001</v>
      </c>
      <c r="K7" s="9">
        <v>13.77</v>
      </c>
      <c r="L7" s="9">
        <f t="shared" si="1"/>
        <v>9.1813874912776807</v>
      </c>
      <c r="M7" s="10"/>
      <c r="N7" s="9">
        <f t="shared" ref="N7:N23" si="5">N6-150</f>
        <v>2550</v>
      </c>
      <c r="O7" s="9">
        <v>1750.26</v>
      </c>
      <c r="P7" s="9">
        <v>246.15</v>
      </c>
      <c r="Q7" s="9">
        <v>9.18</v>
      </c>
      <c r="R7" s="9">
        <f t="shared" si="2"/>
        <v>1.456926399506359</v>
      </c>
      <c r="S7" s="10"/>
      <c r="U7" s="8"/>
    </row>
    <row r="8" spans="2:21" ht="15.75" customHeight="1" x14ac:dyDescent="0.25">
      <c r="B8" s="9">
        <f t="shared" si="3"/>
        <v>5250</v>
      </c>
      <c r="C8" s="9">
        <f>884.4+162.31+176.36</f>
        <v>1223.0700000000002</v>
      </c>
      <c r="D8" s="9">
        <f>119.16+25.63+86.19</f>
        <v>230.98</v>
      </c>
      <c r="E8" s="9">
        <v>10.24</v>
      </c>
      <c r="F8" s="9">
        <f t="shared" si="0"/>
        <v>4.2924771272290219</v>
      </c>
      <c r="G8" s="10"/>
      <c r="H8" s="9">
        <f t="shared" si="4"/>
        <v>12000</v>
      </c>
      <c r="I8" s="9">
        <v>1343.25</v>
      </c>
      <c r="J8" s="9">
        <v>160.84</v>
      </c>
      <c r="K8" s="9">
        <v>13.63</v>
      </c>
      <c r="L8" s="9">
        <f t="shared" si="1"/>
        <v>8.9335566722501394</v>
      </c>
      <c r="M8" s="10"/>
      <c r="N8" s="9">
        <f t="shared" si="5"/>
        <v>2400</v>
      </c>
      <c r="O8" s="9">
        <v>1682.39</v>
      </c>
      <c r="P8" s="9">
        <v>242.44</v>
      </c>
      <c r="Q8" s="9">
        <v>8.92</v>
      </c>
      <c r="R8" s="9">
        <f t="shared" si="2"/>
        <v>1.4265420027460933</v>
      </c>
      <c r="S8" s="10"/>
      <c r="U8" s="8"/>
    </row>
    <row r="9" spans="2:21" ht="15.75" customHeight="1" x14ac:dyDescent="0.25">
      <c r="B9" s="9">
        <f t="shared" si="3"/>
        <v>5000</v>
      </c>
      <c r="C9" s="9">
        <f>863.66+160.74+157.71</f>
        <v>1182.1100000000001</v>
      </c>
      <c r="D9" s="9">
        <f>117.8+84.74+25.84</f>
        <v>228.38</v>
      </c>
      <c r="E9" s="9">
        <v>10.1</v>
      </c>
      <c r="F9" s="9">
        <f t="shared" si="0"/>
        <v>4.2297248141035944</v>
      </c>
      <c r="G9" s="10"/>
      <c r="H9" s="9">
        <f t="shared" si="4"/>
        <v>11500</v>
      </c>
      <c r="I9" s="9">
        <v>1327.24</v>
      </c>
      <c r="J9" s="9">
        <v>158.91999999999999</v>
      </c>
      <c r="K9" s="9">
        <v>13.58</v>
      </c>
      <c r="L9" s="9">
        <f t="shared" si="1"/>
        <v>8.6645972092462546</v>
      </c>
      <c r="M9" s="10"/>
      <c r="N9" s="9">
        <f t="shared" si="5"/>
        <v>2250</v>
      </c>
      <c r="O9" s="9">
        <v>1619.43</v>
      </c>
      <c r="P9" s="9">
        <v>239.91</v>
      </c>
      <c r="Q9" s="9">
        <v>8.6999999999999993</v>
      </c>
      <c r="R9" s="9">
        <f t="shared" si="2"/>
        <v>1.3893777440210444</v>
      </c>
      <c r="S9" s="10"/>
      <c r="U9" s="8"/>
    </row>
    <row r="10" spans="2:21" ht="15.75" customHeight="1" x14ac:dyDescent="0.25">
      <c r="B10" s="9">
        <f t="shared" si="3"/>
        <v>4750</v>
      </c>
      <c r="C10" s="9">
        <f>844.37+143.62+152.63</f>
        <v>1140.6199999999999</v>
      </c>
      <c r="D10" s="9">
        <f>117.07+82.74+25.33</f>
        <v>225.14</v>
      </c>
      <c r="E10" s="9">
        <v>9.8800000000000008</v>
      </c>
      <c r="F10" s="9">
        <f t="shared" si="0"/>
        <v>4.1644018165559089</v>
      </c>
      <c r="G10" s="10"/>
      <c r="H10" s="9">
        <f t="shared" si="4"/>
        <v>11000</v>
      </c>
      <c r="I10" s="9">
        <v>1299.45</v>
      </c>
      <c r="J10" s="9">
        <v>157.4</v>
      </c>
      <c r="K10" s="9">
        <v>13.39</v>
      </c>
      <c r="L10" s="9">
        <f t="shared" si="1"/>
        <v>8.4651198584016303</v>
      </c>
      <c r="M10" s="10"/>
      <c r="N10" s="9">
        <f t="shared" si="5"/>
        <v>2100</v>
      </c>
      <c r="O10" s="9">
        <v>1556.08</v>
      </c>
      <c r="P10" s="9">
        <v>236.59</v>
      </c>
      <c r="Q10" s="9">
        <v>8.4700000000000006</v>
      </c>
      <c r="R10" s="9">
        <f t="shared" si="2"/>
        <v>1.3495450105393039</v>
      </c>
      <c r="S10" s="10"/>
      <c r="U10" s="8"/>
    </row>
    <row r="11" spans="2:21" ht="15.75" customHeight="1" x14ac:dyDescent="0.25">
      <c r="B11" s="9">
        <f t="shared" si="3"/>
        <v>4500</v>
      </c>
      <c r="C11" s="9">
        <f>125.71+147.36+816.37</f>
        <v>1089.44</v>
      </c>
      <c r="D11" s="9">
        <f>78.88+24.82+115.69</f>
        <v>219.39</v>
      </c>
      <c r="E11" s="9">
        <v>9.66</v>
      </c>
      <c r="F11" s="9">
        <f t="shared" si="0"/>
        <v>4.1305624908209717</v>
      </c>
      <c r="G11" s="10"/>
      <c r="H11" s="9">
        <f t="shared" si="4"/>
        <v>10500</v>
      </c>
      <c r="I11" s="9">
        <v>1270.78</v>
      </c>
      <c r="J11" s="9">
        <v>156.22999999999999</v>
      </c>
      <c r="K11" s="9">
        <v>13.19</v>
      </c>
      <c r="L11" s="9">
        <f t="shared" si="1"/>
        <v>8.2626418420182883</v>
      </c>
      <c r="M11" s="10"/>
      <c r="N11" s="9">
        <f t="shared" si="5"/>
        <v>1950</v>
      </c>
      <c r="O11" s="9">
        <v>1485.92</v>
      </c>
      <c r="P11" s="9">
        <v>233.08</v>
      </c>
      <c r="Q11" s="9">
        <v>8.1199999999999992</v>
      </c>
      <c r="R11" s="9">
        <f t="shared" si="2"/>
        <v>1.3123182943900076</v>
      </c>
      <c r="S11" s="10"/>
      <c r="U11" s="8"/>
    </row>
    <row r="12" spans="2:21" ht="15.75" customHeight="1" x14ac:dyDescent="0.25">
      <c r="B12" s="9">
        <f t="shared" si="3"/>
        <v>4250</v>
      </c>
      <c r="C12" s="9">
        <f>140.34+105.96+789.58</f>
        <v>1035.8800000000001</v>
      </c>
      <c r="D12" s="9">
        <f>24.24+69.11+114.24</f>
        <v>207.58999999999997</v>
      </c>
      <c r="E12" s="9">
        <v>9.4</v>
      </c>
      <c r="F12" s="9">
        <f t="shared" si="0"/>
        <v>4.1027918291694014</v>
      </c>
      <c r="G12" s="10"/>
      <c r="H12" s="9">
        <f t="shared" si="4"/>
        <v>10000</v>
      </c>
      <c r="I12" s="9">
        <v>1244.75</v>
      </c>
      <c r="J12" s="9">
        <v>155.26</v>
      </c>
      <c r="K12" s="9">
        <v>13.03</v>
      </c>
      <c r="L12" s="9">
        <f t="shared" si="1"/>
        <v>8.0337417152038562</v>
      </c>
      <c r="M12" s="10"/>
      <c r="N12" s="9">
        <f t="shared" si="5"/>
        <v>1800</v>
      </c>
      <c r="O12" s="9">
        <v>1424.27</v>
      </c>
      <c r="P12" s="9">
        <v>229.96</v>
      </c>
      <c r="Q12" s="9">
        <v>7.85</v>
      </c>
      <c r="R12" s="9">
        <f t="shared" si="2"/>
        <v>1.2638053178119317</v>
      </c>
      <c r="S12" s="10"/>
      <c r="U12" s="8"/>
    </row>
    <row r="13" spans="2:21" ht="15.75" customHeight="1" x14ac:dyDescent="0.25">
      <c r="B13" s="9">
        <f t="shared" si="3"/>
        <v>4000</v>
      </c>
      <c r="C13" s="9">
        <f>135.09+91.55+762.46</f>
        <v>989.1</v>
      </c>
      <c r="D13" s="9">
        <f>23.97+68.43+113.99</f>
        <v>206.39</v>
      </c>
      <c r="E13" s="9">
        <v>9.17</v>
      </c>
      <c r="F13" s="9">
        <f t="shared" si="0"/>
        <v>4.0440804772014962</v>
      </c>
      <c r="G13" s="10"/>
      <c r="H13" s="9">
        <f t="shared" si="4"/>
        <v>9500</v>
      </c>
      <c r="I13" s="9">
        <v>1220.45</v>
      </c>
      <c r="J13" s="9">
        <v>154.28</v>
      </c>
      <c r="K13" s="9">
        <v>12.9</v>
      </c>
      <c r="L13" s="9">
        <f t="shared" si="1"/>
        <v>7.7840140931623578</v>
      </c>
      <c r="M13" s="10"/>
      <c r="N13" s="9">
        <f t="shared" si="5"/>
        <v>1650</v>
      </c>
      <c r="O13" s="9">
        <v>1350.22</v>
      </c>
      <c r="P13" s="9">
        <v>226.25</v>
      </c>
      <c r="Q13" s="9">
        <v>7.5</v>
      </c>
      <c r="R13" s="9">
        <f t="shared" si="2"/>
        <v>1.2220230777206678</v>
      </c>
      <c r="S13" s="10"/>
      <c r="U13" s="8"/>
    </row>
    <row r="14" spans="2:21" ht="15.75" customHeight="1" x14ac:dyDescent="0.25">
      <c r="B14" s="9">
        <f t="shared" si="3"/>
        <v>3750</v>
      </c>
      <c r="C14" s="9">
        <f>129.76+77.62+733.42</f>
        <v>940.8</v>
      </c>
      <c r="D14" s="9">
        <f>23.41+66.05+111.1</f>
        <v>200.56</v>
      </c>
      <c r="E14" s="9">
        <v>8.94</v>
      </c>
      <c r="F14" s="9">
        <f t="shared" si="0"/>
        <v>3.9859693877551021</v>
      </c>
      <c r="G14" s="10"/>
      <c r="H14" s="9">
        <f t="shared" si="4"/>
        <v>9000</v>
      </c>
      <c r="I14" s="9">
        <v>1192.1600000000001</v>
      </c>
      <c r="J14" s="9">
        <v>151.75</v>
      </c>
      <c r="K14" s="9">
        <v>12.68</v>
      </c>
      <c r="L14" s="9">
        <f t="shared" si="1"/>
        <v>7.5493222386256873</v>
      </c>
      <c r="M14" s="10"/>
      <c r="N14" s="9">
        <f t="shared" si="5"/>
        <v>1500</v>
      </c>
      <c r="O14" s="9">
        <v>1278.72</v>
      </c>
      <c r="P14" s="9">
        <v>222.94</v>
      </c>
      <c r="Q14" s="9">
        <v>7.19</v>
      </c>
      <c r="R14" s="9">
        <f t="shared" si="2"/>
        <v>1.1730480480480481</v>
      </c>
      <c r="S14" s="10"/>
      <c r="U14" s="8"/>
    </row>
    <row r="15" spans="2:21" ht="15.75" customHeight="1" x14ac:dyDescent="0.25">
      <c r="B15" s="9">
        <f t="shared" si="3"/>
        <v>3500</v>
      </c>
      <c r="C15" s="9">
        <f>62.72+124.36+712.41</f>
        <v>899.49</v>
      </c>
      <c r="D15" s="9">
        <f>63.91+22.79+110.08</f>
        <v>196.77999999999997</v>
      </c>
      <c r="E15" s="9">
        <v>8.73</v>
      </c>
      <c r="F15" s="9">
        <f t="shared" si="0"/>
        <v>3.8910938420660597</v>
      </c>
      <c r="G15" s="10"/>
      <c r="H15" s="9">
        <f t="shared" si="4"/>
        <v>8500</v>
      </c>
      <c r="I15" s="9">
        <v>1161.57</v>
      </c>
      <c r="J15" s="9">
        <v>149.99</v>
      </c>
      <c r="K15" s="9">
        <v>12.5</v>
      </c>
      <c r="L15" s="9">
        <f t="shared" si="1"/>
        <v>7.3176821026713847</v>
      </c>
      <c r="M15" s="10"/>
      <c r="N15" s="9">
        <f t="shared" si="5"/>
        <v>1350</v>
      </c>
      <c r="O15" s="9">
        <v>1201.02</v>
      </c>
      <c r="P15" s="9">
        <v>218.26</v>
      </c>
      <c r="Q15" s="9">
        <v>6.86</v>
      </c>
      <c r="R15" s="9">
        <f t="shared" si="2"/>
        <v>1.1240445621221962</v>
      </c>
      <c r="S15" s="10"/>
      <c r="U15" s="8"/>
    </row>
    <row r="16" spans="2:21" ht="15.75" customHeight="1" x14ac:dyDescent="0.25">
      <c r="B16" s="9">
        <f t="shared" si="3"/>
        <v>3250</v>
      </c>
      <c r="C16" s="9">
        <f>47.37+120+684.13</f>
        <v>851.5</v>
      </c>
      <c r="D16" s="9">
        <f>61.29+22.58+108.55</f>
        <v>192.42000000000002</v>
      </c>
      <c r="E16" s="9">
        <v>8.49</v>
      </c>
      <c r="F16" s="9">
        <f t="shared" si="0"/>
        <v>3.8167938931297711</v>
      </c>
      <c r="G16" s="10"/>
      <c r="H16" s="9">
        <f t="shared" si="4"/>
        <v>8000</v>
      </c>
      <c r="I16" s="9">
        <v>1132.32</v>
      </c>
      <c r="J16" s="9">
        <v>148.63</v>
      </c>
      <c r="K16" s="9">
        <v>12.28</v>
      </c>
      <c r="L16" s="9">
        <f t="shared" si="1"/>
        <v>7.0651405962978666</v>
      </c>
      <c r="M16" s="10"/>
      <c r="N16" s="9">
        <f t="shared" si="5"/>
        <v>1200</v>
      </c>
      <c r="O16" s="9">
        <v>1121.5899999999999</v>
      </c>
      <c r="P16" s="9">
        <v>214.42</v>
      </c>
      <c r="Q16" s="9">
        <v>6.52</v>
      </c>
      <c r="R16" s="9">
        <f t="shared" si="2"/>
        <v>1.069909681791029</v>
      </c>
      <c r="S16" s="10"/>
      <c r="U16" s="8"/>
    </row>
    <row r="17" spans="2:21" ht="15.75" customHeight="1" x14ac:dyDescent="0.25">
      <c r="B17" s="9">
        <f t="shared" si="3"/>
        <v>3000</v>
      </c>
      <c r="C17" s="9">
        <f>656.27+32.28+113.69</f>
        <v>802.24</v>
      </c>
      <c r="D17" s="9">
        <f>22.1+58.77+107.02</f>
        <v>187.89</v>
      </c>
      <c r="E17" s="9">
        <v>8.24</v>
      </c>
      <c r="F17" s="9">
        <f t="shared" si="0"/>
        <v>3.7395293179098523</v>
      </c>
      <c r="G17" s="10"/>
      <c r="H17" s="9">
        <f t="shared" si="4"/>
        <v>7500</v>
      </c>
      <c r="I17" s="9">
        <v>1113.1300000000001</v>
      </c>
      <c r="J17" s="9">
        <v>146.87</v>
      </c>
      <c r="K17" s="9">
        <v>12.1</v>
      </c>
      <c r="L17" s="9">
        <f t="shared" si="1"/>
        <v>6.7377574946322527</v>
      </c>
      <c r="M17" s="10"/>
      <c r="N17" s="9">
        <f t="shared" si="5"/>
        <v>1050</v>
      </c>
      <c r="O17" s="9">
        <v>1042.03</v>
      </c>
      <c r="P17" s="9">
        <v>209.98</v>
      </c>
      <c r="Q17" s="9">
        <v>6.1</v>
      </c>
      <c r="R17" s="9">
        <f t="shared" si="2"/>
        <v>1.0076485321919715</v>
      </c>
      <c r="S17" s="10"/>
      <c r="U17" s="8"/>
    </row>
    <row r="18" spans="2:21" ht="15.75" customHeight="1" x14ac:dyDescent="0.25">
      <c r="B18" s="9">
        <f t="shared" si="3"/>
        <v>2750</v>
      </c>
      <c r="C18" s="9">
        <f>550.39+92.39</f>
        <v>642.78</v>
      </c>
      <c r="D18" s="9">
        <f>101.15+19.92</f>
        <v>121.07000000000001</v>
      </c>
      <c r="E18" s="9">
        <v>7.24</v>
      </c>
      <c r="F18" s="9">
        <f t="shared" si="0"/>
        <v>4.2782911727185038</v>
      </c>
      <c r="G18" s="10"/>
      <c r="H18" s="9">
        <f t="shared" si="4"/>
        <v>7000</v>
      </c>
      <c r="I18" s="9">
        <f>1078.55</f>
        <v>1078.55</v>
      </c>
      <c r="J18" s="9">
        <v>144.72</v>
      </c>
      <c r="K18" s="9">
        <v>11.92</v>
      </c>
      <c r="L18" s="9">
        <f t="shared" si="1"/>
        <v>6.4901951694404527</v>
      </c>
      <c r="M18" s="10"/>
      <c r="N18" s="9">
        <f t="shared" si="5"/>
        <v>900</v>
      </c>
      <c r="O18" s="9">
        <v>955.26</v>
      </c>
      <c r="P18" s="9">
        <v>205.23</v>
      </c>
      <c r="Q18" s="9">
        <v>5.71</v>
      </c>
      <c r="R18" s="9">
        <f t="shared" si="2"/>
        <v>0.94215187488223107</v>
      </c>
      <c r="S18" s="10"/>
      <c r="U18" s="8"/>
    </row>
    <row r="19" spans="2:21" ht="15.75" customHeight="1" x14ac:dyDescent="0.25">
      <c r="B19" s="9">
        <f t="shared" si="3"/>
        <v>2500</v>
      </c>
      <c r="C19" s="9">
        <f>514.28+85.83</f>
        <v>600.11</v>
      </c>
      <c r="D19" s="9">
        <f>99.03+19.3</f>
        <v>118.33</v>
      </c>
      <c r="E19" s="9">
        <v>6.85</v>
      </c>
      <c r="F19" s="9">
        <f t="shared" si="0"/>
        <v>4.1659029177984035</v>
      </c>
      <c r="G19" s="10"/>
      <c r="H19" s="9">
        <f t="shared" si="4"/>
        <v>6500</v>
      </c>
      <c r="I19" s="9">
        <v>1049.92</v>
      </c>
      <c r="J19" s="9">
        <v>142.77000000000001</v>
      </c>
      <c r="K19" s="9">
        <v>11.77</v>
      </c>
      <c r="L19" s="9">
        <f t="shared" si="1"/>
        <v>6.1909478817433703</v>
      </c>
      <c r="M19" s="10"/>
      <c r="N19" s="9">
        <f t="shared" si="5"/>
        <v>750</v>
      </c>
      <c r="O19" s="9">
        <v>864.27</v>
      </c>
      <c r="P19" s="9">
        <v>200.31</v>
      </c>
      <c r="Q19" s="9">
        <v>5.25</v>
      </c>
      <c r="R19" s="9">
        <f t="shared" si="2"/>
        <v>0.86778437293901212</v>
      </c>
      <c r="S19" s="10"/>
      <c r="U19" s="8"/>
    </row>
    <row r="20" spans="2:21" ht="15.75" customHeight="1" x14ac:dyDescent="0.25">
      <c r="B20" s="9">
        <f t="shared" si="3"/>
        <v>2250</v>
      </c>
      <c r="C20" s="9">
        <f>78.61+482.92</f>
        <v>561.53</v>
      </c>
      <c r="D20" s="9">
        <f>18.57+96.99</f>
        <v>115.56</v>
      </c>
      <c r="E20" s="9">
        <v>6.54</v>
      </c>
      <c r="F20" s="9">
        <f t="shared" si="0"/>
        <v>4.0069096931597601</v>
      </c>
      <c r="G20" s="10"/>
      <c r="H20" s="9">
        <f t="shared" si="4"/>
        <v>6000</v>
      </c>
      <c r="I20" s="9">
        <v>1012.15</v>
      </c>
      <c r="J20" s="9">
        <v>140.43</v>
      </c>
      <c r="K20" s="9">
        <v>11.46</v>
      </c>
      <c r="L20" s="9">
        <f t="shared" si="1"/>
        <v>5.9279751025045693</v>
      </c>
      <c r="M20" s="10"/>
      <c r="N20" s="9">
        <f t="shared" si="5"/>
        <v>600</v>
      </c>
      <c r="O20" s="9">
        <v>766.51</v>
      </c>
      <c r="P20" s="9">
        <v>194.61</v>
      </c>
      <c r="Q20" s="9">
        <v>4.75</v>
      </c>
      <c r="R20" s="9">
        <f t="shared" si="2"/>
        <v>0.78276865272468721</v>
      </c>
      <c r="S20" s="10"/>
      <c r="U20" s="8"/>
    </row>
    <row r="21" spans="2:21" ht="15.75" customHeight="1" x14ac:dyDescent="0.25">
      <c r="B21" s="9">
        <f t="shared" si="3"/>
        <v>2000</v>
      </c>
      <c r="C21" s="9">
        <f>443.17+71.16</f>
        <v>514.33000000000004</v>
      </c>
      <c r="D21" s="9">
        <f>94.41+17.92</f>
        <v>112.33</v>
      </c>
      <c r="E21" s="9">
        <v>6.1</v>
      </c>
      <c r="F21" s="9">
        <f t="shared" si="0"/>
        <v>3.8885540411797872</v>
      </c>
      <c r="G21" s="10"/>
      <c r="H21" s="9">
        <f t="shared" si="4"/>
        <v>5500</v>
      </c>
      <c r="I21" s="9">
        <v>971.89</v>
      </c>
      <c r="J21" s="9">
        <v>137.66</v>
      </c>
      <c r="K21" s="9">
        <v>11.16</v>
      </c>
      <c r="L21" s="9">
        <f t="shared" si="1"/>
        <v>5.6590766444762268</v>
      </c>
      <c r="M21" s="10"/>
      <c r="N21" s="9">
        <f t="shared" si="5"/>
        <v>450</v>
      </c>
      <c r="O21" s="9">
        <v>656.18</v>
      </c>
      <c r="P21" s="9">
        <v>188.74</v>
      </c>
      <c r="Q21" s="9">
        <v>4.17</v>
      </c>
      <c r="R21" s="9">
        <f t="shared" si="2"/>
        <v>0.68578743637416573</v>
      </c>
      <c r="S21" s="10"/>
      <c r="U21" s="8"/>
    </row>
    <row r="22" spans="2:21" ht="15.75" customHeight="1" x14ac:dyDescent="0.25">
      <c r="B22" s="9">
        <f t="shared" si="3"/>
        <v>1750</v>
      </c>
      <c r="C22" s="9">
        <f>64.21+406.78</f>
        <v>470.98999999999995</v>
      </c>
      <c r="D22" s="9">
        <f>17.05+92.27</f>
        <v>109.32</v>
      </c>
      <c r="E22" s="9">
        <v>5.71</v>
      </c>
      <c r="F22" s="9">
        <f t="shared" si="0"/>
        <v>3.7155778254315384</v>
      </c>
      <c r="G22" s="10"/>
      <c r="H22" s="9">
        <f t="shared" si="4"/>
        <v>5000</v>
      </c>
      <c r="I22" s="9">
        <v>927.13</v>
      </c>
      <c r="J22" s="9">
        <v>135.03</v>
      </c>
      <c r="K22" s="9">
        <v>10.82</v>
      </c>
      <c r="L22" s="9">
        <f t="shared" si="1"/>
        <v>5.3929869597575317</v>
      </c>
      <c r="M22" s="10"/>
      <c r="N22" s="9">
        <f t="shared" si="5"/>
        <v>300</v>
      </c>
      <c r="O22" s="9">
        <v>531.63</v>
      </c>
      <c r="P22" s="9">
        <v>180.34</v>
      </c>
      <c r="Q22" s="9">
        <v>3.49</v>
      </c>
      <c r="R22" s="9">
        <f t="shared" si="2"/>
        <v>0.56430224027989395</v>
      </c>
      <c r="S22" s="10"/>
      <c r="U22" s="8"/>
    </row>
    <row r="23" spans="2:21" ht="15.75" customHeight="1" x14ac:dyDescent="0.25">
      <c r="B23" s="9">
        <f t="shared" si="3"/>
        <v>1500</v>
      </c>
      <c r="C23" s="9">
        <f>365.24+56.91</f>
        <v>422.15</v>
      </c>
      <c r="D23" s="9">
        <f>89.37+16.23</f>
        <v>105.60000000000001</v>
      </c>
      <c r="E23" s="9">
        <v>5.25</v>
      </c>
      <c r="F23" s="9">
        <f t="shared" si="0"/>
        <v>3.5532393698922187</v>
      </c>
      <c r="G23" s="10"/>
      <c r="H23" s="9">
        <f t="shared" si="4"/>
        <v>4500</v>
      </c>
      <c r="I23" s="9">
        <v>878.5</v>
      </c>
      <c r="J23" s="9">
        <v>131.9</v>
      </c>
      <c r="K23" s="9">
        <v>10.45</v>
      </c>
      <c r="L23" s="9">
        <f t="shared" si="1"/>
        <v>5.122367672168469</v>
      </c>
      <c r="M23" s="10"/>
      <c r="N23" s="9">
        <f t="shared" si="5"/>
        <v>150</v>
      </c>
      <c r="O23" s="9">
        <v>377.4</v>
      </c>
      <c r="P23" s="9">
        <v>170.35</v>
      </c>
      <c r="Q23" s="9">
        <v>2.61</v>
      </c>
      <c r="R23" s="9">
        <f t="shared" si="2"/>
        <v>0.39745627980922099</v>
      </c>
      <c r="S23" s="10"/>
      <c r="U23" s="8"/>
    </row>
    <row r="24" spans="2:21" ht="15.75" customHeight="1" x14ac:dyDescent="0.25">
      <c r="B24" s="9">
        <f t="shared" si="3"/>
        <v>1250</v>
      </c>
      <c r="C24" s="9">
        <f>321.39+49.53</f>
        <v>370.91999999999996</v>
      </c>
      <c r="D24" s="9">
        <f>86.61+15.26</f>
        <v>101.87</v>
      </c>
      <c r="E24" s="9">
        <v>4.76</v>
      </c>
      <c r="F24" s="9">
        <f t="shared" si="0"/>
        <v>3.3699989216003456</v>
      </c>
      <c r="G24" s="10"/>
      <c r="H24" s="9">
        <f t="shared" si="4"/>
        <v>4000</v>
      </c>
      <c r="I24" s="9">
        <v>823.06</v>
      </c>
      <c r="J24" s="9">
        <v>128.61000000000001</v>
      </c>
      <c r="K24" s="9">
        <v>9.99</v>
      </c>
      <c r="L24" s="9">
        <f t="shared" si="1"/>
        <v>4.8599130075571653</v>
      </c>
      <c r="M24" s="10"/>
      <c r="N24" s="9"/>
      <c r="O24" s="9"/>
      <c r="P24" s="9"/>
      <c r="Q24" s="9"/>
      <c r="R24" s="9"/>
      <c r="U24" s="8"/>
    </row>
    <row r="25" spans="2:21" ht="15.75" customHeight="1" x14ac:dyDescent="0.25">
      <c r="B25" s="9">
        <f t="shared" si="3"/>
        <v>1000</v>
      </c>
      <c r="C25" s="9">
        <f>276.16+41.89</f>
        <v>318.05</v>
      </c>
      <c r="D25" s="9">
        <f>83.36+14.41</f>
        <v>97.77</v>
      </c>
      <c r="E25" s="9">
        <v>4.2300000000000004</v>
      </c>
      <c r="F25" s="9">
        <f t="shared" si="0"/>
        <v>3.1441597233139444</v>
      </c>
      <c r="G25" s="10"/>
      <c r="H25" s="9">
        <f t="shared" si="4"/>
        <v>3500</v>
      </c>
      <c r="I25" s="9">
        <v>769.08</v>
      </c>
      <c r="J25" s="9">
        <v>124.85</v>
      </c>
      <c r="K25" s="9">
        <v>9.6</v>
      </c>
      <c r="L25" s="9">
        <f t="shared" si="1"/>
        <v>4.5508919748270662</v>
      </c>
      <c r="M25" s="10"/>
      <c r="U25" s="8"/>
    </row>
    <row r="26" spans="2:21" ht="15.75" customHeight="1" x14ac:dyDescent="0.25">
      <c r="B26" s="9">
        <f t="shared" si="3"/>
        <v>750</v>
      </c>
      <c r="C26" s="9">
        <f>228.07+33.58</f>
        <v>261.64999999999998</v>
      </c>
      <c r="D26" s="9">
        <f>79.7+12.97</f>
        <v>92.67</v>
      </c>
      <c r="E26" s="9">
        <v>3.63</v>
      </c>
      <c r="F26" s="9">
        <f t="shared" si="0"/>
        <v>2.8664246130326774</v>
      </c>
      <c r="G26" s="10"/>
      <c r="H26" s="9">
        <f t="shared" si="4"/>
        <v>3000</v>
      </c>
      <c r="I26" s="9">
        <v>710.13</v>
      </c>
      <c r="J26" s="9">
        <v>120.15</v>
      </c>
      <c r="K26" s="9">
        <v>9.09</v>
      </c>
      <c r="L26" s="9">
        <f t="shared" si="1"/>
        <v>4.224578598284821</v>
      </c>
      <c r="M26" s="10"/>
      <c r="U26" s="8"/>
    </row>
    <row r="27" spans="2:21" ht="15.75" customHeight="1" x14ac:dyDescent="0.25">
      <c r="B27" s="9">
        <f t="shared" si="3"/>
        <v>500</v>
      </c>
      <c r="C27" s="9">
        <f>173.78+24.77</f>
        <v>198.55</v>
      </c>
      <c r="D27" s="9">
        <f>73.73+11.54</f>
        <v>85.27000000000001</v>
      </c>
      <c r="E27" s="9">
        <v>2.91</v>
      </c>
      <c r="F27" s="9">
        <f t="shared" si="0"/>
        <v>2.5182573659027949</v>
      </c>
      <c r="G27" s="10"/>
      <c r="H27" s="9">
        <f t="shared" si="4"/>
        <v>2500</v>
      </c>
      <c r="I27" s="9">
        <v>577.28</v>
      </c>
      <c r="J27" s="9">
        <v>105.46</v>
      </c>
      <c r="K27" s="9">
        <v>7.93</v>
      </c>
      <c r="L27" s="9">
        <f t="shared" si="1"/>
        <v>4.3306541019955658</v>
      </c>
      <c r="M27" s="10"/>
      <c r="U27" s="8"/>
    </row>
    <row r="28" spans="2:21" ht="15.75" customHeight="1" x14ac:dyDescent="0.25">
      <c r="B28" s="9">
        <f t="shared" si="3"/>
        <v>250</v>
      </c>
      <c r="C28" s="9">
        <f>14.89+108.68</f>
        <v>123.57000000000001</v>
      </c>
      <c r="D28" s="9">
        <f>9.7+65.6</f>
        <v>75.3</v>
      </c>
      <c r="E28" s="9">
        <v>1.98</v>
      </c>
      <c r="F28" s="9">
        <f t="shared" si="0"/>
        <v>2.0231447762401875</v>
      </c>
      <c r="G28" s="10"/>
      <c r="H28" s="9">
        <f t="shared" si="4"/>
        <v>2000</v>
      </c>
      <c r="I28" s="9">
        <v>498.7</v>
      </c>
      <c r="J28" s="9">
        <v>99.02</v>
      </c>
      <c r="K28" s="9">
        <v>7.18</v>
      </c>
      <c r="L28" s="9">
        <f t="shared" si="1"/>
        <v>4.0104271104872673</v>
      </c>
      <c r="M28" s="10"/>
      <c r="U28" s="8"/>
    </row>
    <row r="29" spans="2:21" ht="15.75" customHeight="1" x14ac:dyDescent="0.25"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8"/>
      <c r="H29" s="9">
        <f t="shared" si="4"/>
        <v>1500</v>
      </c>
      <c r="I29" s="9">
        <v>415.5</v>
      </c>
      <c r="J29" s="9">
        <v>89.76</v>
      </c>
      <c r="K29" s="9">
        <v>6.29</v>
      </c>
      <c r="L29" s="9">
        <f t="shared" si="1"/>
        <v>3.6101083032490973</v>
      </c>
      <c r="M29" s="10"/>
      <c r="U29" s="8"/>
    </row>
    <row r="30" spans="2:21" ht="15.75" customHeight="1" x14ac:dyDescent="0.25">
      <c r="H30" s="9">
        <f t="shared" si="4"/>
        <v>1000</v>
      </c>
      <c r="I30" s="9">
        <v>328.73</v>
      </c>
      <c r="J30" s="9">
        <v>80.069999999999993</v>
      </c>
      <c r="K30" s="9">
        <v>5.25</v>
      </c>
      <c r="L30" s="9">
        <f t="shared" si="1"/>
        <v>3.0420101603139353</v>
      </c>
      <c r="M30" s="10"/>
      <c r="U30" s="8"/>
    </row>
    <row r="31" spans="2:21" ht="15.75" customHeight="1" x14ac:dyDescent="0.25">
      <c r="H31" s="9">
        <f t="shared" si="4"/>
        <v>500</v>
      </c>
      <c r="I31" s="9">
        <v>226.67</v>
      </c>
      <c r="J31" s="9">
        <v>70.31</v>
      </c>
      <c r="K31" s="9">
        <v>3.89</v>
      </c>
      <c r="L31" s="9">
        <f t="shared" si="1"/>
        <v>2.2058499139718535</v>
      </c>
      <c r="M31" s="10"/>
      <c r="U31" s="8"/>
    </row>
    <row r="32" spans="2:21" ht="15.75" customHeight="1" x14ac:dyDescent="0.25"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8"/>
      <c r="U32" s="8"/>
    </row>
    <row r="33" spans="2:21" ht="15.75" customHeight="1" x14ac:dyDescent="0.25">
      <c r="U33" s="8"/>
    </row>
    <row r="34" spans="2:21" ht="15.75" customHeight="1" x14ac:dyDescent="0.25">
      <c r="U34" s="8"/>
    </row>
    <row r="35" spans="2:21" ht="15.75" customHeight="1" x14ac:dyDescent="0.25">
      <c r="B35" s="1" t="s">
        <v>0</v>
      </c>
      <c r="C35" s="2">
        <v>1673</v>
      </c>
      <c r="D35" s="3"/>
      <c r="H35" s="1" t="s">
        <v>0</v>
      </c>
      <c r="I35" s="2">
        <v>1673</v>
      </c>
      <c r="J35" s="3"/>
      <c r="K35" s="3"/>
      <c r="L35" s="3"/>
      <c r="N35" s="1" t="s">
        <v>0</v>
      </c>
      <c r="O35" s="2">
        <v>1673</v>
      </c>
      <c r="P35" s="3"/>
      <c r="Q35" s="3"/>
      <c r="R35" s="3"/>
      <c r="U35" s="8"/>
    </row>
    <row r="36" spans="2:21" ht="15.75" customHeight="1" x14ac:dyDescent="0.25">
      <c r="B36" s="4" t="s">
        <v>1</v>
      </c>
      <c r="C36" s="11">
        <v>1259.42</v>
      </c>
      <c r="D36" s="3"/>
      <c r="H36" s="4" t="s">
        <v>1</v>
      </c>
      <c r="I36" s="2">
        <v>1681.1</v>
      </c>
      <c r="J36" s="3"/>
      <c r="K36" s="3"/>
      <c r="L36" s="3"/>
      <c r="N36" s="4" t="s">
        <v>1</v>
      </c>
      <c r="O36" s="11">
        <v>1884.39</v>
      </c>
      <c r="P36" s="3"/>
      <c r="Q36" s="3"/>
      <c r="R36" s="3"/>
      <c r="U36" s="8"/>
    </row>
    <row r="37" spans="2:21" ht="15.75" customHeight="1" x14ac:dyDescent="0.25">
      <c r="B37" s="3"/>
      <c r="C37" s="3"/>
      <c r="D37" s="3"/>
      <c r="E37" s="3"/>
      <c r="F37" s="3"/>
      <c r="H37" s="3"/>
      <c r="I37" s="3"/>
      <c r="J37" s="3"/>
      <c r="K37" s="3"/>
      <c r="L37" s="3"/>
      <c r="N37" s="3"/>
      <c r="O37" s="3"/>
      <c r="P37" s="3"/>
      <c r="Q37" s="3"/>
      <c r="R37" s="3"/>
      <c r="U37" s="8"/>
    </row>
    <row r="38" spans="2:21" ht="15.75" customHeight="1" x14ac:dyDescent="0.25">
      <c r="B38" s="6" t="s">
        <v>2</v>
      </c>
      <c r="C38" s="6" t="s">
        <v>3</v>
      </c>
      <c r="D38" s="6" t="s">
        <v>4</v>
      </c>
      <c r="E38" s="6" t="s">
        <v>5</v>
      </c>
      <c r="F38" s="6" t="s">
        <v>6</v>
      </c>
      <c r="G38" s="7"/>
      <c r="H38" s="6" t="s">
        <v>2</v>
      </c>
      <c r="I38" s="6" t="s">
        <v>3</v>
      </c>
      <c r="J38" s="6" t="s">
        <v>4</v>
      </c>
      <c r="K38" s="6" t="s">
        <v>5</v>
      </c>
      <c r="L38" s="6" t="s">
        <v>6</v>
      </c>
      <c r="M38" s="7"/>
      <c r="N38" s="6" t="s">
        <v>2</v>
      </c>
      <c r="O38" s="6" t="s">
        <v>3</v>
      </c>
      <c r="P38" s="6" t="s">
        <v>4</v>
      </c>
      <c r="Q38" s="6" t="s">
        <v>5</v>
      </c>
      <c r="R38" s="6" t="s">
        <v>6</v>
      </c>
      <c r="S38" s="7"/>
      <c r="U38" s="8"/>
    </row>
    <row r="39" spans="2:21" ht="15.75" customHeight="1" x14ac:dyDescent="0.25">
      <c r="B39" s="9">
        <v>3000</v>
      </c>
      <c r="C39" s="9">
        <v>2066.0700000000002</v>
      </c>
      <c r="D39" s="9">
        <v>292.39</v>
      </c>
      <c r="E39" s="9">
        <v>13.35</v>
      </c>
      <c r="F39" s="9">
        <f t="shared" ref="F39:F58" si="6">B39/C39</f>
        <v>1.452032118950471</v>
      </c>
      <c r="G39" s="10"/>
      <c r="H39" s="9">
        <v>2700</v>
      </c>
      <c r="I39" s="9">
        <f>430.93+126.18</f>
        <v>557.11</v>
      </c>
      <c r="J39" s="9">
        <f>155.98+83.66</f>
        <v>239.64</v>
      </c>
      <c r="K39" s="9">
        <v>6.54</v>
      </c>
      <c r="L39" s="9">
        <f t="shared" ref="L39:L56" si="7">H39/I39</f>
        <v>4.84643966182621</v>
      </c>
      <c r="M39" s="10"/>
      <c r="N39" s="9">
        <v>18000</v>
      </c>
      <c r="O39" s="9">
        <v>4974.76</v>
      </c>
      <c r="P39" s="9">
        <v>260.86</v>
      </c>
      <c r="Q39" s="9">
        <v>31.08</v>
      </c>
      <c r="R39" s="9">
        <f t="shared" ref="R39:R62" si="8">N39/O39</f>
        <v>3.6182650017287266</v>
      </c>
      <c r="S39" s="10"/>
      <c r="U39" s="8"/>
    </row>
    <row r="40" spans="2:21" ht="15.75" customHeight="1" x14ac:dyDescent="0.25">
      <c r="B40" s="9">
        <f t="shared" ref="B40:B58" si="9">B39-150</f>
        <v>2850</v>
      </c>
      <c r="C40" s="9">
        <f>141.33+1853.73</f>
        <v>1995.06</v>
      </c>
      <c r="D40" s="9">
        <f>102.26+188.61</f>
        <v>290.87</v>
      </c>
      <c r="E40" s="9">
        <v>13.16</v>
      </c>
      <c r="F40" s="9">
        <f t="shared" si="6"/>
        <v>1.428528465309314</v>
      </c>
      <c r="G40" s="10"/>
      <c r="H40" s="9">
        <f t="shared" ref="H40:H56" si="10">H39-150</f>
        <v>2550</v>
      </c>
      <c r="I40" s="9">
        <f>397.4+107.48</f>
        <v>504.88</v>
      </c>
      <c r="J40" s="9">
        <f>117.03+70.01</f>
        <v>187.04000000000002</v>
      </c>
      <c r="K40" s="9">
        <v>6.3</v>
      </c>
      <c r="L40" s="9">
        <f t="shared" si="7"/>
        <v>5.050705118047853</v>
      </c>
      <c r="M40" s="10"/>
      <c r="N40" s="9">
        <f t="shared" ref="N40:N56" si="11">N39-1000</f>
        <v>17000</v>
      </c>
      <c r="O40" s="9">
        <v>4907.28</v>
      </c>
      <c r="P40" s="9">
        <v>259.89999999999998</v>
      </c>
      <c r="Q40" s="9">
        <v>30.66</v>
      </c>
      <c r="R40" s="9">
        <f t="shared" si="8"/>
        <v>3.4642408829331117</v>
      </c>
      <c r="S40" s="10"/>
      <c r="U40" s="8"/>
    </row>
    <row r="41" spans="2:21" ht="15.75" customHeight="1" x14ac:dyDescent="0.25">
      <c r="B41" s="9">
        <f t="shared" si="9"/>
        <v>2700</v>
      </c>
      <c r="C41" s="9">
        <f>78.97+1755.54</f>
        <v>1834.51</v>
      </c>
      <c r="D41" s="9">
        <f>98.26+184.62</f>
        <v>282.88</v>
      </c>
      <c r="E41" s="9">
        <v>12.58</v>
      </c>
      <c r="F41" s="9">
        <f t="shared" si="6"/>
        <v>1.4717826558590577</v>
      </c>
      <c r="G41" s="10"/>
      <c r="H41" s="9">
        <f t="shared" si="10"/>
        <v>2400</v>
      </c>
      <c r="I41" s="9">
        <f>375.27+93.48</f>
        <v>468.75</v>
      </c>
      <c r="J41" s="9">
        <f>113.95+61.6</f>
        <v>175.55</v>
      </c>
      <c r="K41" s="9">
        <v>6.05</v>
      </c>
      <c r="L41" s="9">
        <f t="shared" si="7"/>
        <v>5.12</v>
      </c>
      <c r="M41" s="10"/>
      <c r="N41" s="9">
        <f t="shared" si="11"/>
        <v>16000</v>
      </c>
      <c r="O41" s="9">
        <v>4832.78</v>
      </c>
      <c r="P41" s="9">
        <v>258.93</v>
      </c>
      <c r="Q41" s="9">
        <v>30.45</v>
      </c>
      <c r="R41" s="9">
        <f t="shared" si="8"/>
        <v>3.3107238483854013</v>
      </c>
      <c r="S41" s="10"/>
      <c r="U41" s="8"/>
    </row>
    <row r="42" spans="2:21" ht="15.75" customHeight="1" x14ac:dyDescent="0.25">
      <c r="B42" s="9">
        <f t="shared" si="9"/>
        <v>2550</v>
      </c>
      <c r="C42" s="9">
        <f>56.75+1705.61</f>
        <v>1762.36</v>
      </c>
      <c r="D42" s="9">
        <f>183.2+92.27</f>
        <v>275.46999999999997</v>
      </c>
      <c r="E42" s="9">
        <v>12.25</v>
      </c>
      <c r="F42" s="9">
        <f t="shared" si="6"/>
        <v>1.4469234435643117</v>
      </c>
      <c r="G42" s="10"/>
      <c r="H42" s="9">
        <f t="shared" si="10"/>
        <v>2250</v>
      </c>
      <c r="I42" s="9">
        <f>355.92+84.6</f>
        <v>440.52</v>
      </c>
      <c r="J42" s="9">
        <f>111.63+58.82</f>
        <v>170.45</v>
      </c>
      <c r="K42" s="9">
        <v>5.91</v>
      </c>
      <c r="L42" s="9">
        <f t="shared" si="7"/>
        <v>5.1076001089621359</v>
      </c>
      <c r="M42" s="10"/>
      <c r="N42" s="9">
        <f t="shared" si="11"/>
        <v>15000</v>
      </c>
      <c r="O42" s="9">
        <v>4749.76</v>
      </c>
      <c r="P42" s="9">
        <v>257.39</v>
      </c>
      <c r="Q42" s="9">
        <v>30.14</v>
      </c>
      <c r="R42" s="9">
        <f t="shared" si="8"/>
        <v>3.1580543016910325</v>
      </c>
      <c r="S42" s="10"/>
      <c r="U42" s="8"/>
    </row>
    <row r="43" spans="2:21" ht="15.75" customHeight="1" x14ac:dyDescent="0.25">
      <c r="B43" s="9">
        <f t="shared" si="9"/>
        <v>2400</v>
      </c>
      <c r="C43" s="9">
        <v>1653.4</v>
      </c>
      <c r="D43" s="9">
        <v>181.14</v>
      </c>
      <c r="E43" s="9">
        <v>11.97</v>
      </c>
      <c r="F43" s="9">
        <f t="shared" si="6"/>
        <v>1.451554372807548</v>
      </c>
      <c r="G43" s="10"/>
      <c r="H43" s="9">
        <f t="shared" si="10"/>
        <v>2100</v>
      </c>
      <c r="I43" s="9">
        <f>340.78+75.48</f>
        <v>416.26</v>
      </c>
      <c r="J43" s="9">
        <f>109.81+55.62</f>
        <v>165.43</v>
      </c>
      <c r="K43" s="9">
        <v>5.78</v>
      </c>
      <c r="L43" s="9">
        <f t="shared" si="7"/>
        <v>5.0449238456733774</v>
      </c>
      <c r="M43" s="10"/>
      <c r="N43" s="9">
        <f t="shared" si="11"/>
        <v>14000</v>
      </c>
      <c r="O43" s="9">
        <v>4670.21</v>
      </c>
      <c r="P43" s="9">
        <v>255.66</v>
      </c>
      <c r="Q43" s="9">
        <v>29.82</v>
      </c>
      <c r="R43" s="9">
        <f t="shared" si="8"/>
        <v>2.9977238710893084</v>
      </c>
      <c r="S43" s="10"/>
      <c r="U43" s="8"/>
    </row>
    <row r="44" spans="2:21" ht="15.75" customHeight="1" x14ac:dyDescent="0.25">
      <c r="B44" s="9">
        <f t="shared" si="9"/>
        <v>2250</v>
      </c>
      <c r="C44" s="9">
        <v>1609.97</v>
      </c>
      <c r="D44" s="9">
        <v>179.24</v>
      </c>
      <c r="E44" s="9">
        <v>11.73</v>
      </c>
      <c r="F44" s="9">
        <f t="shared" si="6"/>
        <v>1.3975415690975608</v>
      </c>
      <c r="G44" s="10"/>
      <c r="H44" s="9">
        <f t="shared" si="10"/>
        <v>1950</v>
      </c>
      <c r="I44" s="9">
        <f>324.41+67.09</f>
        <v>391.5</v>
      </c>
      <c r="J44" s="9">
        <f>107.62+52.26</f>
        <v>159.88</v>
      </c>
      <c r="K44" s="9">
        <v>5.65</v>
      </c>
      <c r="L44" s="9">
        <f t="shared" si="7"/>
        <v>4.9808429118773949</v>
      </c>
      <c r="M44" s="10"/>
      <c r="N44" s="9">
        <f t="shared" si="11"/>
        <v>13000</v>
      </c>
      <c r="O44" s="9">
        <v>4586.3999999999996</v>
      </c>
      <c r="P44" s="9">
        <v>253.92</v>
      </c>
      <c r="Q44" s="9">
        <v>29.56</v>
      </c>
      <c r="R44" s="9">
        <f t="shared" si="8"/>
        <v>2.8344671201814062</v>
      </c>
      <c r="S44" s="10"/>
      <c r="U44" s="8"/>
    </row>
    <row r="45" spans="2:21" ht="15.75" customHeight="1" x14ac:dyDescent="0.25">
      <c r="B45" s="9">
        <f t="shared" si="9"/>
        <v>2100</v>
      </c>
      <c r="C45" s="9">
        <v>1553.87</v>
      </c>
      <c r="D45" s="9">
        <v>177.18</v>
      </c>
      <c r="E45" s="9">
        <v>11.43</v>
      </c>
      <c r="F45" s="9">
        <f t="shared" si="6"/>
        <v>1.351464408219478</v>
      </c>
      <c r="G45" s="10"/>
      <c r="H45" s="9">
        <f t="shared" si="10"/>
        <v>1800</v>
      </c>
      <c r="I45" s="9">
        <f>309.65+60.76</f>
        <v>370.40999999999997</v>
      </c>
      <c r="J45" s="9">
        <f>106.05+49.74</f>
        <v>155.79</v>
      </c>
      <c r="K45" s="9">
        <v>5.5</v>
      </c>
      <c r="L45" s="9">
        <f t="shared" si="7"/>
        <v>4.8594800356361869</v>
      </c>
      <c r="M45" s="10"/>
      <c r="N45" s="9">
        <f t="shared" si="11"/>
        <v>12000</v>
      </c>
      <c r="O45" s="9">
        <v>4517.3100000000004</v>
      </c>
      <c r="P45" s="9">
        <v>252.76</v>
      </c>
      <c r="Q45" s="9">
        <v>29.4</v>
      </c>
      <c r="R45" s="9">
        <f t="shared" si="8"/>
        <v>2.6564481959396189</v>
      </c>
      <c r="S45" s="10"/>
      <c r="U45" s="8"/>
    </row>
    <row r="46" spans="2:21" ht="15.75" customHeight="1" x14ac:dyDescent="0.25">
      <c r="B46" s="9">
        <f t="shared" si="9"/>
        <v>1950</v>
      </c>
      <c r="C46" s="9">
        <v>1503.38</v>
      </c>
      <c r="D46" s="9">
        <v>175.12</v>
      </c>
      <c r="E46" s="9">
        <v>11.15</v>
      </c>
      <c r="F46" s="9">
        <f t="shared" si="6"/>
        <v>1.2970772525908285</v>
      </c>
      <c r="G46" s="10"/>
      <c r="H46" s="9">
        <f t="shared" si="10"/>
        <v>1650</v>
      </c>
      <c r="I46" s="9">
        <f>291.45+53.37</f>
        <v>344.82</v>
      </c>
      <c r="J46" s="9">
        <f>103.39+53.37</f>
        <v>156.76</v>
      </c>
      <c r="K46" s="9">
        <v>5.32</v>
      </c>
      <c r="L46" s="9">
        <f t="shared" si="7"/>
        <v>4.7851052723159908</v>
      </c>
      <c r="M46" s="10"/>
      <c r="N46" s="9">
        <f t="shared" si="11"/>
        <v>11000</v>
      </c>
      <c r="O46" s="9">
        <v>4404.46</v>
      </c>
      <c r="P46" s="9">
        <v>251.41</v>
      </c>
      <c r="Q46" s="9">
        <v>28.72</v>
      </c>
      <c r="R46" s="9">
        <f t="shared" si="8"/>
        <v>2.4974684751365661</v>
      </c>
      <c r="S46" s="10"/>
      <c r="U46" s="8"/>
    </row>
    <row r="47" spans="2:21" ht="15.75" customHeight="1" x14ac:dyDescent="0.25">
      <c r="B47" s="9">
        <f t="shared" si="9"/>
        <v>1800</v>
      </c>
      <c r="C47" s="9">
        <v>1451.88</v>
      </c>
      <c r="D47" s="9">
        <v>173.21</v>
      </c>
      <c r="E47" s="9">
        <v>10.87</v>
      </c>
      <c r="F47" s="9">
        <f t="shared" si="6"/>
        <v>1.2397718819737167</v>
      </c>
      <c r="G47" s="10"/>
      <c r="H47" s="9">
        <f t="shared" si="10"/>
        <v>1500</v>
      </c>
      <c r="I47" s="9">
        <f>274.75+45.62</f>
        <v>320.37</v>
      </c>
      <c r="J47" s="9">
        <f>101.04+42.61</f>
        <v>143.65</v>
      </c>
      <c r="K47" s="9">
        <v>5.14</v>
      </c>
      <c r="L47" s="9">
        <f t="shared" si="7"/>
        <v>4.6820863376720663</v>
      </c>
      <c r="M47" s="10"/>
      <c r="N47" s="9">
        <f t="shared" si="11"/>
        <v>10000</v>
      </c>
      <c r="O47" s="9">
        <v>4310.04</v>
      </c>
      <c r="P47" s="9">
        <v>249.29</v>
      </c>
      <c r="Q47" s="9">
        <v>28.51</v>
      </c>
      <c r="R47" s="9">
        <f t="shared" si="8"/>
        <v>2.3201640820038794</v>
      </c>
      <c r="S47" s="10"/>
      <c r="U47" s="8"/>
    </row>
    <row r="48" spans="2:21" ht="15.75" customHeight="1" x14ac:dyDescent="0.25">
      <c r="B48" s="9">
        <f t="shared" si="9"/>
        <v>1650</v>
      </c>
      <c r="C48" s="9">
        <v>1399.34</v>
      </c>
      <c r="D48" s="9">
        <v>170.84</v>
      </c>
      <c r="E48" s="9">
        <v>10.52</v>
      </c>
      <c r="F48" s="9">
        <f t="shared" si="6"/>
        <v>1.1791273028713538</v>
      </c>
      <c r="G48" s="10"/>
      <c r="H48" s="9">
        <f t="shared" si="10"/>
        <v>1350</v>
      </c>
      <c r="I48" s="9">
        <f>253.73+37.12</f>
        <v>290.84999999999997</v>
      </c>
      <c r="J48" s="9">
        <f>97.91+38.5</f>
        <v>136.41</v>
      </c>
      <c r="K48" s="9">
        <v>4.92</v>
      </c>
      <c r="L48" s="9">
        <f t="shared" si="7"/>
        <v>4.6415678184631259</v>
      </c>
      <c r="M48" s="10"/>
      <c r="N48" s="9">
        <f t="shared" si="11"/>
        <v>9000</v>
      </c>
      <c r="O48" s="9">
        <v>4200.3</v>
      </c>
      <c r="P48" s="9">
        <v>247.75</v>
      </c>
      <c r="Q48" s="9">
        <v>27.99</v>
      </c>
      <c r="R48" s="9">
        <f t="shared" si="8"/>
        <v>2.1427040925648169</v>
      </c>
      <c r="S48" s="10"/>
      <c r="U48" s="8"/>
    </row>
    <row r="49" spans="2:21" ht="15.75" customHeight="1" x14ac:dyDescent="0.25">
      <c r="B49" s="9">
        <f t="shared" si="9"/>
        <v>1500</v>
      </c>
      <c r="C49" s="9">
        <v>1347.58</v>
      </c>
      <c r="D49" s="9">
        <v>168.9</v>
      </c>
      <c r="E49" s="9">
        <v>10.220000000000001</v>
      </c>
      <c r="F49" s="9">
        <f t="shared" si="6"/>
        <v>1.1131064575015954</v>
      </c>
      <c r="G49" s="10"/>
      <c r="H49" s="9">
        <f t="shared" si="10"/>
        <v>1200</v>
      </c>
      <c r="I49" s="9">
        <f>191.32+29.85+43.5</f>
        <v>264.66999999999996</v>
      </c>
      <c r="J49" s="9">
        <f>62.97+34.07+31.51</f>
        <v>128.54999999999998</v>
      </c>
      <c r="K49" s="9">
        <v>4.74</v>
      </c>
      <c r="L49" s="9">
        <f t="shared" si="7"/>
        <v>4.5339479351645453</v>
      </c>
      <c r="M49" s="10"/>
      <c r="N49" s="9">
        <f t="shared" si="11"/>
        <v>8000</v>
      </c>
      <c r="O49" s="9">
        <v>4071.39</v>
      </c>
      <c r="P49" s="9">
        <v>245.24</v>
      </c>
      <c r="Q49" s="9">
        <v>27.57</v>
      </c>
      <c r="R49" s="9">
        <f t="shared" si="8"/>
        <v>1.964930895836557</v>
      </c>
      <c r="S49" s="10"/>
      <c r="U49" s="8"/>
    </row>
    <row r="50" spans="2:21" ht="15.75" customHeight="1" x14ac:dyDescent="0.25">
      <c r="B50" s="9">
        <f t="shared" si="9"/>
        <v>1350</v>
      </c>
      <c r="C50" s="9">
        <v>1287.6600000000001</v>
      </c>
      <c r="D50" s="9">
        <v>166.48</v>
      </c>
      <c r="E50" s="9">
        <v>9.9</v>
      </c>
      <c r="F50" s="9">
        <f t="shared" si="6"/>
        <v>1.048413401053073</v>
      </c>
      <c r="G50" s="10"/>
      <c r="H50" s="9">
        <f t="shared" si="10"/>
        <v>1050</v>
      </c>
      <c r="I50" s="9">
        <f>177.37+36.11+22.35</f>
        <v>235.83</v>
      </c>
      <c r="J50" s="9">
        <f>61.25+28.61+29.18</f>
        <v>119.03999999999999</v>
      </c>
      <c r="K50" s="9">
        <v>4.54</v>
      </c>
      <c r="L50" s="9">
        <f t="shared" si="7"/>
        <v>4.4523597506678536</v>
      </c>
      <c r="M50" s="10"/>
      <c r="N50" s="9">
        <f t="shared" si="11"/>
        <v>7000</v>
      </c>
      <c r="O50" s="9">
        <v>3926.72</v>
      </c>
      <c r="P50" s="9">
        <v>242.35</v>
      </c>
      <c r="Q50" s="9">
        <v>26.94</v>
      </c>
      <c r="R50" s="9">
        <f t="shared" si="8"/>
        <v>1.7826583000570451</v>
      </c>
      <c r="S50" s="10"/>
      <c r="U50" s="8"/>
    </row>
    <row r="51" spans="2:21" ht="15.75" customHeight="1" x14ac:dyDescent="0.25">
      <c r="B51" s="9">
        <f t="shared" si="9"/>
        <v>1200</v>
      </c>
      <c r="C51" s="9">
        <v>1226.71</v>
      </c>
      <c r="D51" s="9">
        <v>163.68</v>
      </c>
      <c r="E51" s="9">
        <v>9.48</v>
      </c>
      <c r="F51" s="9">
        <f t="shared" si="6"/>
        <v>0.97822631265743332</v>
      </c>
      <c r="G51" s="10"/>
      <c r="H51" s="9">
        <f t="shared" si="10"/>
        <v>900</v>
      </c>
      <c r="I51" s="9">
        <f>29.16+15.62+160.83</f>
        <v>205.61</v>
      </c>
      <c r="J51" s="9">
        <f>25.6+23.77+58.55</f>
        <v>107.92</v>
      </c>
      <c r="K51" s="9">
        <v>4.2699999999999996</v>
      </c>
      <c r="L51" s="9">
        <f t="shared" si="7"/>
        <v>4.3772190068576426</v>
      </c>
      <c r="M51" s="10"/>
      <c r="N51" s="9">
        <f t="shared" si="11"/>
        <v>6000</v>
      </c>
      <c r="O51" s="9">
        <v>3789</v>
      </c>
      <c r="P51" s="9">
        <v>240.04</v>
      </c>
      <c r="Q51" s="9">
        <v>26.36</v>
      </c>
      <c r="R51" s="9">
        <f t="shared" si="8"/>
        <v>1.5835312747426762</v>
      </c>
      <c r="S51" s="10"/>
      <c r="U51" s="8"/>
    </row>
    <row r="52" spans="2:21" ht="15.75" customHeight="1" x14ac:dyDescent="0.25">
      <c r="B52" s="9">
        <f t="shared" si="9"/>
        <v>1050</v>
      </c>
      <c r="C52" s="9">
        <v>1167.24</v>
      </c>
      <c r="D52" s="9">
        <v>161.26</v>
      </c>
      <c r="E52" s="9">
        <v>9.17</v>
      </c>
      <c r="F52" s="9">
        <f t="shared" si="6"/>
        <v>0.89955793153079056</v>
      </c>
      <c r="G52" s="10"/>
      <c r="H52" s="9">
        <f t="shared" si="10"/>
        <v>750</v>
      </c>
      <c r="I52" s="9">
        <f>22.05+9.26+144.18</f>
        <v>175.49</v>
      </c>
      <c r="J52" s="9">
        <f>22.24+17.67+55.75</f>
        <v>95.66</v>
      </c>
      <c r="K52" s="9">
        <v>3.94</v>
      </c>
      <c r="L52" s="9">
        <f t="shared" si="7"/>
        <v>4.273747791896974</v>
      </c>
      <c r="M52" s="10"/>
      <c r="N52" s="9">
        <f t="shared" si="11"/>
        <v>5000</v>
      </c>
      <c r="O52" s="9">
        <v>3788.23</v>
      </c>
      <c r="P52" s="9">
        <v>240.62</v>
      </c>
      <c r="Q52" s="9">
        <v>26.21</v>
      </c>
      <c r="R52" s="9">
        <f t="shared" si="8"/>
        <v>1.3198776209469858</v>
      </c>
      <c r="S52" s="10"/>
      <c r="U52" s="8"/>
    </row>
    <row r="53" spans="2:21" ht="15.75" customHeight="1" x14ac:dyDescent="0.25">
      <c r="B53" s="9">
        <f t="shared" si="9"/>
        <v>900</v>
      </c>
      <c r="C53" s="9">
        <v>1101</v>
      </c>
      <c r="D53" s="9">
        <v>158.59</v>
      </c>
      <c r="E53" s="9">
        <v>8.75</v>
      </c>
      <c r="F53" s="9">
        <f t="shared" si="6"/>
        <v>0.81743869209809261</v>
      </c>
      <c r="G53" s="10"/>
      <c r="H53" s="9">
        <f t="shared" si="10"/>
        <v>600</v>
      </c>
      <c r="I53" s="9">
        <f>14.85+4.05+125.35</f>
        <v>144.25</v>
      </c>
      <c r="J53" s="9">
        <f>18.21+11.7+52.33</f>
        <v>82.24</v>
      </c>
      <c r="K53" s="9">
        <v>3.58</v>
      </c>
      <c r="L53" s="9">
        <f t="shared" si="7"/>
        <v>4.1594454072790299</v>
      </c>
      <c r="M53" s="10"/>
      <c r="N53" s="9">
        <f t="shared" si="11"/>
        <v>4000</v>
      </c>
      <c r="O53" s="9">
        <v>3454.92</v>
      </c>
      <c r="P53" s="9">
        <v>233.29</v>
      </c>
      <c r="Q53" s="9">
        <v>24.95</v>
      </c>
      <c r="R53" s="9">
        <f t="shared" si="8"/>
        <v>1.1577692102856216</v>
      </c>
      <c r="S53" s="10"/>
      <c r="U53" s="8"/>
    </row>
    <row r="54" spans="2:21" ht="15.75" customHeight="1" x14ac:dyDescent="0.25">
      <c r="B54" s="9">
        <f t="shared" si="9"/>
        <v>750</v>
      </c>
      <c r="C54" s="9">
        <v>1033.08</v>
      </c>
      <c r="D54" s="9">
        <v>155.28</v>
      </c>
      <c r="E54" s="9">
        <v>8.2899999999999991</v>
      </c>
      <c r="F54" s="9">
        <f t="shared" si="6"/>
        <v>0.72598443489371589</v>
      </c>
      <c r="G54" s="10"/>
      <c r="H54" s="9">
        <f t="shared" si="10"/>
        <v>450</v>
      </c>
      <c r="I54" s="9">
        <f>7.56+0.43+102.33</f>
        <v>110.32</v>
      </c>
      <c r="J54" s="9">
        <f>12.74+3.79+47.73</f>
        <v>64.259999999999991</v>
      </c>
      <c r="K54" s="9">
        <v>3.13</v>
      </c>
      <c r="L54" s="9">
        <f t="shared" si="7"/>
        <v>4.0790427846265409</v>
      </c>
      <c r="M54" s="10"/>
      <c r="N54" s="9">
        <f t="shared" si="11"/>
        <v>3000</v>
      </c>
      <c r="O54" s="9">
        <v>3256.61</v>
      </c>
      <c r="P54" s="9">
        <v>230.4</v>
      </c>
      <c r="Q54" s="9">
        <v>24.01</v>
      </c>
      <c r="R54" s="9">
        <f t="shared" si="8"/>
        <v>0.92120333721262293</v>
      </c>
      <c r="S54" s="10"/>
      <c r="U54" s="8"/>
    </row>
    <row r="55" spans="2:21" ht="15.75" customHeight="1" x14ac:dyDescent="0.25">
      <c r="B55" s="9">
        <f t="shared" si="9"/>
        <v>600</v>
      </c>
      <c r="C55" s="9">
        <v>950.25</v>
      </c>
      <c r="D55" s="9">
        <v>152.1</v>
      </c>
      <c r="E55" s="9">
        <v>7.72</v>
      </c>
      <c r="F55" s="9">
        <f t="shared" si="6"/>
        <v>0.63141278610891871</v>
      </c>
      <c r="G55" s="10"/>
      <c r="H55" s="9">
        <f t="shared" si="10"/>
        <v>300</v>
      </c>
      <c r="I55" s="9">
        <f>73.92+1.82</f>
        <v>75.739999999999995</v>
      </c>
      <c r="J55" s="9">
        <f>41.71+6.21</f>
        <v>47.92</v>
      </c>
      <c r="K55" s="9">
        <v>2.5099999999999998</v>
      </c>
      <c r="L55" s="9">
        <f t="shared" si="7"/>
        <v>3.960918933192501</v>
      </c>
      <c r="M55" s="10"/>
      <c r="N55" s="9">
        <f t="shared" si="11"/>
        <v>2000</v>
      </c>
      <c r="O55" s="9">
        <v>3024.9</v>
      </c>
      <c r="P55" s="9">
        <v>226.35</v>
      </c>
      <c r="Q55" s="9">
        <v>22.91</v>
      </c>
      <c r="R55" s="9">
        <f t="shared" si="8"/>
        <v>0.66117888194651064</v>
      </c>
      <c r="S55" s="10"/>
      <c r="U55" s="8"/>
    </row>
    <row r="56" spans="2:21" ht="15.75" customHeight="1" x14ac:dyDescent="0.25">
      <c r="B56" s="9">
        <f t="shared" si="9"/>
        <v>450</v>
      </c>
      <c r="C56" s="9">
        <v>864.04</v>
      </c>
      <c r="D56" s="9">
        <v>147.38999999999999</v>
      </c>
      <c r="E56" s="9">
        <v>7.2</v>
      </c>
      <c r="F56" s="9">
        <f t="shared" si="6"/>
        <v>0.52080922179528732</v>
      </c>
      <c r="G56" s="10"/>
      <c r="H56" s="9">
        <f t="shared" si="10"/>
        <v>150</v>
      </c>
      <c r="I56" s="9">
        <v>42.5</v>
      </c>
      <c r="J56" s="9">
        <v>33.89</v>
      </c>
      <c r="K56" s="9">
        <v>1.68</v>
      </c>
      <c r="L56" s="9">
        <f t="shared" si="7"/>
        <v>3.5294117647058822</v>
      </c>
      <c r="M56" s="10"/>
      <c r="N56" s="9">
        <f t="shared" si="11"/>
        <v>1000</v>
      </c>
      <c r="O56" s="9">
        <v>2679.93</v>
      </c>
      <c r="P56" s="9">
        <v>218.83</v>
      </c>
      <c r="Q56" s="9">
        <v>21.59</v>
      </c>
      <c r="R56" s="9">
        <f t="shared" si="8"/>
        <v>0.3731440746586665</v>
      </c>
      <c r="S56" s="10"/>
      <c r="U56" s="8"/>
    </row>
    <row r="57" spans="2:21" ht="15.75" customHeight="1" x14ac:dyDescent="0.25">
      <c r="B57" s="9">
        <f t="shared" si="9"/>
        <v>300</v>
      </c>
      <c r="C57" s="9">
        <v>764.57</v>
      </c>
      <c r="D57" s="9">
        <v>143.02000000000001</v>
      </c>
      <c r="E57" s="9">
        <v>6.52</v>
      </c>
      <c r="F57" s="9">
        <f t="shared" si="6"/>
        <v>0.39237741475600663</v>
      </c>
      <c r="G57" s="10"/>
      <c r="H57" s="9">
        <v>0</v>
      </c>
      <c r="I57" s="9">
        <v>0</v>
      </c>
      <c r="J57" s="9">
        <v>0</v>
      </c>
      <c r="K57" s="9">
        <v>0</v>
      </c>
      <c r="L57" s="9">
        <v>0</v>
      </c>
      <c r="N57" s="9">
        <f t="shared" ref="N57:N59" si="12">N56-100</f>
        <v>900</v>
      </c>
      <c r="O57" s="9">
        <v>2651.39</v>
      </c>
      <c r="P57" s="9">
        <v>218.25</v>
      </c>
      <c r="Q57" s="9">
        <v>21.39</v>
      </c>
      <c r="R57" s="9">
        <f t="shared" si="8"/>
        <v>0.33944459321337112</v>
      </c>
      <c r="S57" s="10"/>
      <c r="U57" s="8"/>
    </row>
    <row r="58" spans="2:21" ht="15.75" customHeight="1" x14ac:dyDescent="0.25">
      <c r="B58" s="9">
        <f t="shared" si="9"/>
        <v>150</v>
      </c>
      <c r="C58" s="9">
        <v>640.16999999999996</v>
      </c>
      <c r="D58" s="9">
        <v>136.61000000000001</v>
      </c>
      <c r="E58" s="9">
        <v>5.62</v>
      </c>
      <c r="F58" s="9">
        <f t="shared" si="6"/>
        <v>0.23431276067294626</v>
      </c>
      <c r="G58" s="10"/>
      <c r="N58" s="9">
        <f t="shared" si="12"/>
        <v>800</v>
      </c>
      <c r="O58" s="9">
        <v>2604.4499999999998</v>
      </c>
      <c r="P58" s="9">
        <v>217.48</v>
      </c>
      <c r="Q58" s="9">
        <v>21.12</v>
      </c>
      <c r="R58" s="9">
        <f t="shared" si="8"/>
        <v>0.30716658027606597</v>
      </c>
      <c r="S58" s="10"/>
      <c r="U58" s="8"/>
    </row>
    <row r="59" spans="2:21" ht="15.75" customHeight="1" x14ac:dyDescent="0.25">
      <c r="B59" s="9">
        <v>0</v>
      </c>
      <c r="C59" s="9">
        <v>0</v>
      </c>
      <c r="D59" s="9">
        <v>0</v>
      </c>
      <c r="E59" s="9">
        <v>0</v>
      </c>
      <c r="F59" s="9">
        <v>0</v>
      </c>
      <c r="N59" s="9">
        <f t="shared" si="12"/>
        <v>700</v>
      </c>
      <c r="O59" s="9">
        <v>2549.56</v>
      </c>
      <c r="P59" s="9">
        <v>216.18</v>
      </c>
      <c r="Q59" s="9">
        <v>20.91</v>
      </c>
      <c r="R59" s="9">
        <f t="shared" si="8"/>
        <v>0.274557178493544</v>
      </c>
      <c r="S59" s="10"/>
      <c r="U59" s="8"/>
    </row>
    <row r="60" spans="2:21" ht="15.75" customHeight="1" x14ac:dyDescent="0.25">
      <c r="N60" s="9">
        <v>500</v>
      </c>
      <c r="O60" s="9">
        <v>2419.9299999999998</v>
      </c>
      <c r="P60" s="9">
        <v>212.89</v>
      </c>
      <c r="Q60" s="9">
        <v>20.23</v>
      </c>
      <c r="R60" s="9">
        <f t="shared" si="8"/>
        <v>0.20661754678854349</v>
      </c>
      <c r="S60" s="10"/>
      <c r="U60" s="8"/>
    </row>
    <row r="61" spans="2:21" ht="15.75" customHeight="1" x14ac:dyDescent="0.25">
      <c r="N61" s="9">
        <v>300</v>
      </c>
      <c r="O61" s="9">
        <v>2251.89</v>
      </c>
      <c r="P61" s="9">
        <v>201.77</v>
      </c>
      <c r="Q61" s="9">
        <v>19.38</v>
      </c>
      <c r="R61" s="9">
        <f t="shared" si="8"/>
        <v>0.13322142733437248</v>
      </c>
      <c r="S61" s="10"/>
      <c r="U61" s="8"/>
    </row>
    <row r="62" spans="2:21" ht="15.75" customHeight="1" x14ac:dyDescent="0.25">
      <c r="B62" s="1" t="s">
        <v>0</v>
      </c>
      <c r="C62" s="2">
        <v>1673</v>
      </c>
      <c r="D62" s="3"/>
      <c r="E62" s="3"/>
      <c r="F62" s="3"/>
      <c r="H62" s="1" t="s">
        <v>0</v>
      </c>
      <c r="I62" s="2">
        <v>1673</v>
      </c>
      <c r="J62" s="3"/>
      <c r="K62" s="3"/>
      <c r="L62" s="3"/>
      <c r="N62" s="9">
        <v>100</v>
      </c>
      <c r="O62" s="9">
        <v>1967.37</v>
      </c>
      <c r="P62" s="9">
        <v>186.26</v>
      </c>
      <c r="Q62" s="9">
        <v>18.059999999999999</v>
      </c>
      <c r="R62" s="9">
        <f t="shared" si="8"/>
        <v>5.0829279698277399E-2</v>
      </c>
      <c r="S62" s="10"/>
      <c r="U62" s="8"/>
    </row>
    <row r="63" spans="2:21" ht="15.75" customHeight="1" x14ac:dyDescent="0.25">
      <c r="B63" s="4" t="s">
        <v>1</v>
      </c>
      <c r="C63" s="2">
        <v>2085.8200000000002</v>
      </c>
      <c r="D63" s="3"/>
      <c r="E63" s="3"/>
      <c r="F63" s="3"/>
      <c r="H63" s="4" t="s">
        <v>1</v>
      </c>
      <c r="I63" s="12">
        <v>2971.99</v>
      </c>
      <c r="J63" s="3"/>
      <c r="K63" s="3"/>
      <c r="L63" s="3"/>
      <c r="N63" s="9">
        <v>0</v>
      </c>
      <c r="O63" s="9">
        <v>0</v>
      </c>
      <c r="P63" s="9">
        <v>0</v>
      </c>
      <c r="Q63" s="9">
        <v>0</v>
      </c>
      <c r="R63" s="9">
        <v>0</v>
      </c>
      <c r="U63" s="8"/>
    </row>
    <row r="64" spans="2:21" ht="15.75" customHeight="1" x14ac:dyDescent="0.25">
      <c r="B64" s="3"/>
      <c r="C64" s="3"/>
      <c r="D64" s="3"/>
      <c r="E64" s="3"/>
      <c r="F64" s="3"/>
      <c r="H64" s="3"/>
      <c r="I64" s="3"/>
      <c r="J64" s="3"/>
      <c r="K64" s="3"/>
      <c r="L64" s="3"/>
      <c r="O64" s="3"/>
      <c r="P64" s="3"/>
      <c r="Q64" s="3"/>
      <c r="U64" s="8"/>
    </row>
    <row r="65" spans="2:21" ht="15.75" customHeight="1" x14ac:dyDescent="0.25">
      <c r="B65" s="6" t="s">
        <v>2</v>
      </c>
      <c r="C65" s="6" t="s">
        <v>3</v>
      </c>
      <c r="D65" s="6" t="s">
        <v>4</v>
      </c>
      <c r="E65" s="6" t="s">
        <v>5</v>
      </c>
      <c r="F65" s="6" t="s">
        <v>6</v>
      </c>
      <c r="G65" s="7"/>
      <c r="H65" s="6" t="s">
        <v>2</v>
      </c>
      <c r="I65" s="6" t="s">
        <v>3</v>
      </c>
      <c r="J65" s="6" t="s">
        <v>4</v>
      </c>
      <c r="K65" s="6" t="s">
        <v>5</v>
      </c>
      <c r="L65" s="6" t="s">
        <v>6</v>
      </c>
      <c r="M65" s="7"/>
      <c r="O65" s="3"/>
      <c r="P65" s="3"/>
      <c r="Q65" s="3"/>
      <c r="U65" s="8"/>
    </row>
    <row r="66" spans="2:21" ht="15.75" customHeight="1" x14ac:dyDescent="0.25">
      <c r="B66" s="9">
        <v>500</v>
      </c>
      <c r="C66" s="9">
        <f>1163.33+325.87</f>
        <v>1489.1999999999998</v>
      </c>
      <c r="D66" s="9">
        <f>159.7+144.84</f>
        <v>304.53999999999996</v>
      </c>
      <c r="E66" s="9">
        <v>10.48</v>
      </c>
      <c r="F66" s="9">
        <f t="shared" ref="F66:F85" si="13">B66/C66</f>
        <v>0.33575073865162508</v>
      </c>
      <c r="G66" s="10"/>
      <c r="H66" s="9">
        <v>2500</v>
      </c>
      <c r="I66" s="9">
        <v>4282.17</v>
      </c>
      <c r="J66" s="9">
        <v>269.75</v>
      </c>
      <c r="K66" s="9">
        <v>47.22</v>
      </c>
      <c r="L66" s="9">
        <f t="shared" ref="L66:L90" si="14">H66/I66</f>
        <v>0.58381614928879511</v>
      </c>
      <c r="M66" s="10"/>
      <c r="N66" s="1" t="s">
        <v>0</v>
      </c>
      <c r="O66" s="2">
        <v>1673</v>
      </c>
      <c r="P66" s="3"/>
      <c r="Q66" s="3"/>
      <c r="R66" s="3"/>
      <c r="U66" s="8"/>
    </row>
    <row r="67" spans="2:21" ht="15.75" customHeight="1" x14ac:dyDescent="0.25">
      <c r="B67" s="9">
        <v>475</v>
      </c>
      <c r="C67" s="9">
        <f>2.8+310.18+1143.14</f>
        <v>1456.1200000000001</v>
      </c>
      <c r="D67" s="9">
        <f>11.82+132.27+158.99</f>
        <v>303.08000000000004</v>
      </c>
      <c r="E67" s="9">
        <v>10.39</v>
      </c>
      <c r="F67" s="9">
        <f t="shared" si="13"/>
        <v>0.32620937834793834</v>
      </c>
      <c r="G67" s="10"/>
      <c r="H67" s="9">
        <v>2400</v>
      </c>
      <c r="I67" s="9">
        <v>4256.95</v>
      </c>
      <c r="J67" s="9">
        <v>267.08999999999997</v>
      </c>
      <c r="K67" s="9">
        <v>47.06</v>
      </c>
      <c r="L67" s="9">
        <f t="shared" si="14"/>
        <v>0.5637839298089008</v>
      </c>
      <c r="M67" s="10"/>
      <c r="N67" s="4" t="s">
        <v>1</v>
      </c>
      <c r="O67" s="11">
        <v>4466.4399999999996</v>
      </c>
      <c r="P67" s="3"/>
      <c r="Q67" s="3"/>
      <c r="R67" s="3"/>
      <c r="U67" s="8"/>
    </row>
    <row r="68" spans="2:21" ht="15.75" customHeight="1" x14ac:dyDescent="0.25">
      <c r="B68" s="9">
        <v>450</v>
      </c>
      <c r="C68" s="9">
        <f>299.38+1.883+1132.12</f>
        <v>1433.3829999999998</v>
      </c>
      <c r="D68" s="9">
        <f>131.13+9.4+158.85</f>
        <v>299.38</v>
      </c>
      <c r="E68" s="9">
        <v>10.33</v>
      </c>
      <c r="F68" s="9">
        <f t="shared" si="13"/>
        <v>0.31394260989561062</v>
      </c>
      <c r="G68" s="10"/>
      <c r="H68" s="9">
        <v>2300</v>
      </c>
      <c r="I68" s="9">
        <v>4233.2299999999996</v>
      </c>
      <c r="J68" s="9">
        <v>264.73</v>
      </c>
      <c r="K68" s="9">
        <v>47.06</v>
      </c>
      <c r="L68" s="9">
        <f t="shared" si="14"/>
        <v>0.5433203487644187</v>
      </c>
      <c r="M68" s="10"/>
      <c r="N68" s="3"/>
      <c r="O68" s="3"/>
      <c r="P68" s="3"/>
      <c r="Q68" s="3"/>
      <c r="R68" s="3"/>
      <c r="U68" s="8"/>
    </row>
    <row r="69" spans="2:21" ht="15.75" customHeight="1" x14ac:dyDescent="0.25">
      <c r="B69" s="9">
        <v>425</v>
      </c>
      <c r="C69" s="9">
        <f>1117.31+289.86+1.02</f>
        <v>1408.19</v>
      </c>
      <c r="D69" s="9">
        <f>158.69+130.41+6.93</f>
        <v>296.03000000000003</v>
      </c>
      <c r="E69" s="9">
        <v>10.26</v>
      </c>
      <c r="F69" s="9">
        <f t="shared" si="13"/>
        <v>0.30180586426547551</v>
      </c>
      <c r="G69" s="10"/>
      <c r="H69" s="9">
        <v>2200</v>
      </c>
      <c r="I69" s="9">
        <v>4177.12</v>
      </c>
      <c r="J69" s="9">
        <v>263.55</v>
      </c>
      <c r="K69" s="9">
        <v>46.89</v>
      </c>
      <c r="L69" s="9">
        <f t="shared" si="14"/>
        <v>0.52667866855632595</v>
      </c>
      <c r="M69" s="10"/>
      <c r="N69" s="6" t="s">
        <v>2</v>
      </c>
      <c r="O69" s="6" t="s">
        <v>3</v>
      </c>
      <c r="P69" s="6" t="s">
        <v>4</v>
      </c>
      <c r="Q69" s="6" t="s">
        <v>5</v>
      </c>
      <c r="R69" s="6" t="s">
        <v>6</v>
      </c>
      <c r="S69" s="7"/>
      <c r="U69" s="8"/>
    </row>
    <row r="70" spans="2:21" ht="15.75" customHeight="1" x14ac:dyDescent="0.25">
      <c r="B70" s="9">
        <v>400</v>
      </c>
      <c r="C70" s="9">
        <f>0.46+273.82+1099.8</f>
        <v>1374.08</v>
      </c>
      <c r="D70" s="9">
        <f>4.06+128.65+158.22</f>
        <v>290.93</v>
      </c>
      <c r="E70" s="9">
        <v>10.18</v>
      </c>
      <c r="F70" s="9">
        <f t="shared" si="13"/>
        <v>0.29110386585933862</v>
      </c>
      <c r="G70" s="10"/>
      <c r="H70" s="9">
        <v>2100</v>
      </c>
      <c r="I70" s="9">
        <v>4153.13</v>
      </c>
      <c r="J70" s="9">
        <v>259.7</v>
      </c>
      <c r="K70" s="9">
        <v>46.65</v>
      </c>
      <c r="L70" s="9">
        <f t="shared" si="14"/>
        <v>0.50564273210807265</v>
      </c>
      <c r="M70" s="10"/>
      <c r="N70" s="9">
        <v>1000</v>
      </c>
      <c r="O70" s="9">
        <v>3156.66</v>
      </c>
      <c r="P70" s="9">
        <v>285.27999999999997</v>
      </c>
      <c r="Q70" s="9">
        <v>22.79</v>
      </c>
      <c r="R70" s="9">
        <f t="shared" ref="R70:R89" si="15">N70/O70</f>
        <v>0.31679053176458666</v>
      </c>
      <c r="S70" s="10"/>
      <c r="U70" s="8"/>
    </row>
    <row r="71" spans="2:21" ht="15.75" customHeight="1" x14ac:dyDescent="0.25">
      <c r="B71" s="9">
        <v>375</v>
      </c>
      <c r="C71" s="9">
        <f>257.57+1087.35</f>
        <v>1344.9199999999998</v>
      </c>
      <c r="D71" s="9">
        <f>127.3+158.53</f>
        <v>285.83</v>
      </c>
      <c r="E71" s="9">
        <v>10.11</v>
      </c>
      <c r="F71" s="9">
        <f t="shared" si="13"/>
        <v>0.27882699342711836</v>
      </c>
      <c r="G71" s="10"/>
      <c r="H71" s="9">
        <v>2000</v>
      </c>
      <c r="I71" s="9">
        <v>4139.1000000000004</v>
      </c>
      <c r="J71" s="9">
        <v>259.41000000000003</v>
      </c>
      <c r="K71" s="9">
        <v>46.73</v>
      </c>
      <c r="L71" s="9">
        <f t="shared" si="14"/>
        <v>0.48319683022879367</v>
      </c>
      <c r="M71" s="10"/>
      <c r="N71" s="9">
        <v>950</v>
      </c>
      <c r="O71" s="9">
        <v>3105.8</v>
      </c>
      <c r="P71" s="9">
        <v>284.58</v>
      </c>
      <c r="Q71" s="9">
        <v>22.59</v>
      </c>
      <c r="R71" s="9">
        <f t="shared" si="15"/>
        <v>0.3058793225577951</v>
      </c>
      <c r="S71" s="10"/>
      <c r="U71" s="8"/>
    </row>
    <row r="72" spans="2:21" ht="15.75" customHeight="1" x14ac:dyDescent="0.25">
      <c r="B72" s="9">
        <v>350</v>
      </c>
      <c r="C72" s="9">
        <f>244.36+1058.93</f>
        <v>1303.29</v>
      </c>
      <c r="D72" s="9">
        <f>125.24+157.7</f>
        <v>282.94</v>
      </c>
      <c r="E72" s="9">
        <v>9.86</v>
      </c>
      <c r="F72" s="9">
        <f t="shared" si="13"/>
        <v>0.26855112829838335</v>
      </c>
      <c r="G72" s="10"/>
      <c r="H72" s="9">
        <v>1900</v>
      </c>
      <c r="I72" s="9">
        <v>4094.96</v>
      </c>
      <c r="J72" s="9">
        <v>257.33999999999997</v>
      </c>
      <c r="K72" s="9">
        <v>46.49</v>
      </c>
      <c r="L72" s="9">
        <f t="shared" si="14"/>
        <v>0.46398499619043898</v>
      </c>
      <c r="M72" s="10"/>
      <c r="N72" s="9">
        <v>900</v>
      </c>
      <c r="O72" s="9">
        <v>3094.14</v>
      </c>
      <c r="P72" s="9">
        <v>285.05</v>
      </c>
      <c r="Q72" s="9">
        <v>22.43</v>
      </c>
      <c r="R72" s="9">
        <f t="shared" si="15"/>
        <v>0.29087242335511648</v>
      </c>
      <c r="S72" s="10"/>
      <c r="U72" s="8"/>
    </row>
    <row r="73" spans="2:21" ht="15.75" customHeight="1" x14ac:dyDescent="0.25">
      <c r="B73" s="9">
        <v>325</v>
      </c>
      <c r="C73" s="9">
        <f>230.25+1043.38</f>
        <v>1273.6300000000001</v>
      </c>
      <c r="D73" s="9">
        <f>124.1+157.57</f>
        <v>281.66999999999996</v>
      </c>
      <c r="E73" s="9">
        <v>9.74</v>
      </c>
      <c r="F73" s="9">
        <f t="shared" si="13"/>
        <v>0.25517615005927935</v>
      </c>
      <c r="G73" s="10"/>
      <c r="H73" s="9">
        <v>1800</v>
      </c>
      <c r="I73" s="9">
        <v>4013.16</v>
      </c>
      <c r="J73" s="9">
        <v>255.86</v>
      </c>
      <c r="K73" s="9">
        <v>46.25</v>
      </c>
      <c r="L73" s="9">
        <f t="shared" si="14"/>
        <v>0.44852435487246961</v>
      </c>
      <c r="M73" s="10"/>
      <c r="N73" s="9">
        <v>850</v>
      </c>
      <c r="O73" s="9">
        <f>67.31+2987.9</f>
        <v>3055.21</v>
      </c>
      <c r="P73" s="9">
        <f>49.31+226.4</f>
        <v>275.71000000000004</v>
      </c>
      <c r="Q73" s="9">
        <v>22.35</v>
      </c>
      <c r="R73" s="9">
        <f t="shared" si="15"/>
        <v>0.27821328157475261</v>
      </c>
      <c r="S73" s="10"/>
      <c r="U73" s="8"/>
    </row>
    <row r="74" spans="2:21" ht="15.75" customHeight="1" x14ac:dyDescent="0.25">
      <c r="B74" s="9">
        <v>300</v>
      </c>
      <c r="C74" s="9">
        <f>208.93+1021.95</f>
        <v>1230.8800000000001</v>
      </c>
      <c r="D74" s="9">
        <f>122.13+157.19</f>
        <v>279.32</v>
      </c>
      <c r="E74" s="9">
        <v>9.6199999999999992</v>
      </c>
      <c r="F74" s="9">
        <f t="shared" si="13"/>
        <v>0.24372806447419729</v>
      </c>
      <c r="G74" s="10"/>
      <c r="H74" s="9">
        <v>1700</v>
      </c>
      <c r="I74" s="9">
        <v>4025.26</v>
      </c>
      <c r="J74" s="9">
        <v>253.2</v>
      </c>
      <c r="K74" s="9">
        <v>46.25</v>
      </c>
      <c r="L74" s="9">
        <f t="shared" si="14"/>
        <v>0.42233296731142833</v>
      </c>
      <c r="M74" s="10"/>
      <c r="N74" s="9">
        <v>800</v>
      </c>
      <c r="O74" s="9">
        <f>2968.59+61.68</f>
        <v>3030.27</v>
      </c>
      <c r="P74" s="9">
        <f>224.07+48.6</f>
        <v>272.67</v>
      </c>
      <c r="Q74" s="9">
        <v>22.39</v>
      </c>
      <c r="R74" s="9">
        <f t="shared" si="15"/>
        <v>0.26400287763136621</v>
      </c>
      <c r="S74" s="10"/>
      <c r="U74" s="8"/>
    </row>
    <row r="75" spans="2:21" ht="15.75" customHeight="1" x14ac:dyDescent="0.25">
      <c r="B75" s="9">
        <v>275</v>
      </c>
      <c r="C75" s="9">
        <f>195.73+995.67</f>
        <v>1191.3999999999999</v>
      </c>
      <c r="D75" s="9">
        <f>120.58+156.05</f>
        <v>276.63</v>
      </c>
      <c r="E75" s="9">
        <v>9.4499999999999993</v>
      </c>
      <c r="F75" s="9">
        <f t="shared" si="13"/>
        <v>0.23082088299479606</v>
      </c>
      <c r="G75" s="10"/>
      <c r="H75" s="9">
        <v>1600</v>
      </c>
      <c r="I75" s="9">
        <v>3951.54</v>
      </c>
      <c r="J75" s="9">
        <v>250.25</v>
      </c>
      <c r="K75" s="9">
        <v>46.01</v>
      </c>
      <c r="L75" s="9">
        <f t="shared" si="14"/>
        <v>0.4049054292756748</v>
      </c>
      <c r="M75" s="10"/>
      <c r="N75" s="9">
        <v>750</v>
      </c>
      <c r="O75" s="9">
        <f>2951.01+55.57</f>
        <v>3006.5800000000004</v>
      </c>
      <c r="P75" s="9">
        <f>222.43+47.66</f>
        <v>270.09000000000003</v>
      </c>
      <c r="Q75" s="9">
        <v>22.23</v>
      </c>
      <c r="R75" s="9">
        <f t="shared" si="15"/>
        <v>0.24945286671234423</v>
      </c>
      <c r="S75" s="10"/>
      <c r="U75" s="8"/>
    </row>
    <row r="76" spans="2:21" ht="15.75" customHeight="1" x14ac:dyDescent="0.25">
      <c r="B76" s="9">
        <v>250</v>
      </c>
      <c r="C76" s="9">
        <f>176.32+982.16</f>
        <v>1158.48</v>
      </c>
      <c r="D76" s="9">
        <f>118.93+156.05</f>
        <v>274.98</v>
      </c>
      <c r="E76" s="9">
        <v>9.43</v>
      </c>
      <c r="F76" s="9">
        <f t="shared" si="13"/>
        <v>0.21580001381120087</v>
      </c>
      <c r="G76" s="10"/>
      <c r="H76" s="9">
        <v>1500</v>
      </c>
      <c r="I76" s="9">
        <v>3921.92</v>
      </c>
      <c r="J76" s="9">
        <v>248.77</v>
      </c>
      <c r="K76" s="9">
        <v>45.93</v>
      </c>
      <c r="L76" s="9">
        <f t="shared" si="14"/>
        <v>0.38246573107049608</v>
      </c>
      <c r="M76" s="10"/>
      <c r="N76" s="9">
        <v>700</v>
      </c>
      <c r="O76" s="9">
        <f>2914.33+49.73</f>
        <v>2964.06</v>
      </c>
      <c r="P76" s="9">
        <f>220.79+42.47</f>
        <v>263.26</v>
      </c>
      <c r="Q76" s="9">
        <v>22.15</v>
      </c>
      <c r="R76" s="9">
        <f t="shared" si="15"/>
        <v>0.23616256081185941</v>
      </c>
      <c r="S76" s="10"/>
      <c r="U76" s="8"/>
    </row>
    <row r="77" spans="2:21" ht="15.75" customHeight="1" x14ac:dyDescent="0.25">
      <c r="B77" s="9">
        <v>225</v>
      </c>
      <c r="C77" s="9">
        <f>952.38+158.68</f>
        <v>1111.06</v>
      </c>
      <c r="D77" s="9">
        <f>155.03+116.88</f>
        <v>271.90999999999997</v>
      </c>
      <c r="E77" s="9">
        <v>9.2200000000000006</v>
      </c>
      <c r="F77" s="9">
        <f t="shared" si="13"/>
        <v>0.20250931542850972</v>
      </c>
      <c r="G77" s="10"/>
      <c r="H77" s="9">
        <v>1400</v>
      </c>
      <c r="I77" s="9">
        <v>3903.8</v>
      </c>
      <c r="J77" s="9">
        <v>245.82</v>
      </c>
      <c r="K77" s="9">
        <v>45.68</v>
      </c>
      <c r="L77" s="9">
        <f t="shared" si="14"/>
        <v>0.35862492955581737</v>
      </c>
      <c r="M77" s="10"/>
      <c r="N77" s="9">
        <v>650</v>
      </c>
      <c r="O77" s="9">
        <f>2889.56+43.36</f>
        <v>2932.92</v>
      </c>
      <c r="P77" s="9">
        <f>219.86+41.36</f>
        <v>261.22000000000003</v>
      </c>
      <c r="Q77" s="9">
        <v>21.87</v>
      </c>
      <c r="R77" s="9">
        <f t="shared" si="15"/>
        <v>0.22162213766485278</v>
      </c>
      <c r="S77" s="10"/>
      <c r="U77" s="8"/>
    </row>
    <row r="78" spans="2:21" ht="15.75" customHeight="1" x14ac:dyDescent="0.25">
      <c r="B78" s="9">
        <v>200</v>
      </c>
      <c r="C78" s="9">
        <f>139.43+925.89</f>
        <v>1065.32</v>
      </c>
      <c r="D78" s="9">
        <f>114.53+150.57</f>
        <v>265.10000000000002</v>
      </c>
      <c r="E78" s="9">
        <v>9.01</v>
      </c>
      <c r="F78" s="9">
        <f t="shared" si="13"/>
        <v>0.18773701798520634</v>
      </c>
      <c r="G78" s="10"/>
      <c r="H78" s="9">
        <v>1300</v>
      </c>
      <c r="I78" s="9">
        <v>3887.3</v>
      </c>
      <c r="J78" s="9">
        <v>244.45</v>
      </c>
      <c r="K78" s="9">
        <v>45.57</v>
      </c>
      <c r="L78" s="9">
        <f t="shared" si="14"/>
        <v>0.3344223497028786</v>
      </c>
      <c r="M78" s="10"/>
      <c r="N78" s="9">
        <v>600</v>
      </c>
      <c r="O78" s="9">
        <f>2856.19+38.43</f>
        <v>2894.62</v>
      </c>
      <c r="P78" s="9">
        <f>218.69+31.58</f>
        <v>250.26999999999998</v>
      </c>
      <c r="Q78" s="9">
        <v>21.91</v>
      </c>
      <c r="R78" s="9">
        <f t="shared" si="15"/>
        <v>0.20728109389142618</v>
      </c>
      <c r="S78" s="10"/>
      <c r="U78" s="8"/>
    </row>
    <row r="79" spans="2:21" ht="15.75" customHeight="1" x14ac:dyDescent="0.25">
      <c r="B79" s="9">
        <v>175</v>
      </c>
      <c r="C79" s="9">
        <f>116.82+894.95</f>
        <v>1011.77</v>
      </c>
      <c r="D79" s="9">
        <f>112.26+149.55</f>
        <v>261.81</v>
      </c>
      <c r="E79" s="9">
        <v>8.82</v>
      </c>
      <c r="F79" s="9">
        <f t="shared" si="13"/>
        <v>0.17296421123377842</v>
      </c>
      <c r="G79" s="10"/>
      <c r="H79" s="9">
        <v>1200</v>
      </c>
      <c r="I79" s="9">
        <v>3825.68</v>
      </c>
      <c r="J79" s="9">
        <v>240.95</v>
      </c>
      <c r="K79" s="9">
        <v>45.49</v>
      </c>
      <c r="L79" s="9">
        <f t="shared" si="14"/>
        <v>0.31366972668911147</v>
      </c>
      <c r="M79" s="10"/>
      <c r="N79" s="9">
        <v>550</v>
      </c>
      <c r="O79" s="9">
        <f>34+2817.4</f>
        <v>2851.4</v>
      </c>
      <c r="P79" s="9">
        <f>216.36+28.84</f>
        <v>245.20000000000002</v>
      </c>
      <c r="Q79" s="9">
        <v>21.6</v>
      </c>
      <c r="R79" s="9">
        <f t="shared" si="15"/>
        <v>0.19288770428561408</v>
      </c>
      <c r="S79" s="10"/>
      <c r="U79" s="8"/>
    </row>
    <row r="80" spans="2:21" ht="15.75" customHeight="1" x14ac:dyDescent="0.25">
      <c r="B80" s="9">
        <v>150</v>
      </c>
      <c r="C80" s="9">
        <f>17.54+870.01+77.88</f>
        <v>965.43</v>
      </c>
      <c r="D80" s="9">
        <f>20.81+152.61+76.12</f>
        <v>249.54000000000002</v>
      </c>
      <c r="E80" s="9">
        <v>8.6300000000000008</v>
      </c>
      <c r="F80" s="9">
        <f t="shared" si="13"/>
        <v>0.15537118175320841</v>
      </c>
      <c r="G80" s="10"/>
      <c r="H80" s="9">
        <v>1100</v>
      </c>
      <c r="I80" s="9">
        <v>3784.03</v>
      </c>
      <c r="J80" s="9">
        <v>238.32</v>
      </c>
      <c r="K80" s="9">
        <v>45.18</v>
      </c>
      <c r="L80" s="9">
        <f t="shared" si="14"/>
        <v>0.29069536975129689</v>
      </c>
      <c r="M80" s="10"/>
      <c r="N80" s="9">
        <v>500</v>
      </c>
      <c r="O80" s="9">
        <f>2794.04+29.33</f>
        <v>2823.37</v>
      </c>
      <c r="P80" s="9">
        <f>214.49+25.71</f>
        <v>240.20000000000002</v>
      </c>
      <c r="Q80" s="9">
        <v>21.4</v>
      </c>
      <c r="R80" s="9">
        <f t="shared" si="15"/>
        <v>0.17709333172768713</v>
      </c>
      <c r="S80" s="10"/>
      <c r="U80" s="8"/>
    </row>
    <row r="81" spans="2:21" ht="15.75" customHeight="1" x14ac:dyDescent="0.25">
      <c r="B81" s="9">
        <v>125</v>
      </c>
      <c r="C81" s="9">
        <f>833.95+13.21+61.99</f>
        <v>909.15000000000009</v>
      </c>
      <c r="D81" s="9">
        <f>150.83+18.68+67.95</f>
        <v>237.46000000000004</v>
      </c>
      <c r="E81" s="9">
        <v>8.41</v>
      </c>
      <c r="F81" s="9">
        <f t="shared" si="13"/>
        <v>0.13749106308089973</v>
      </c>
      <c r="G81" s="10"/>
      <c r="H81" s="9">
        <v>1000</v>
      </c>
      <c r="I81" s="9">
        <v>3758.1</v>
      </c>
      <c r="J81" s="9">
        <v>237.44</v>
      </c>
      <c r="K81" s="9">
        <v>45.02</v>
      </c>
      <c r="L81" s="9">
        <f t="shared" si="14"/>
        <v>0.26609190814507333</v>
      </c>
      <c r="M81" s="10"/>
      <c r="N81" s="9">
        <v>450</v>
      </c>
      <c r="O81" s="9">
        <f>2746.17+24.95</f>
        <v>2771.12</v>
      </c>
      <c r="P81" s="9">
        <f>212.62+24.19</f>
        <v>236.81</v>
      </c>
      <c r="Q81" s="9">
        <v>21.2</v>
      </c>
      <c r="R81" s="9">
        <f t="shared" si="15"/>
        <v>0.16238921446923987</v>
      </c>
      <c r="S81" s="10"/>
      <c r="U81" s="8"/>
    </row>
    <row r="82" spans="2:21" ht="15.75" customHeight="1" x14ac:dyDescent="0.25">
      <c r="B82" s="9">
        <v>100</v>
      </c>
      <c r="C82" s="9">
        <f>8.89+46.21+795.52</f>
        <v>850.62</v>
      </c>
      <c r="D82" s="9">
        <f>15.2+58.73+148.54</f>
        <v>222.46999999999997</v>
      </c>
      <c r="E82" s="9">
        <v>8.15</v>
      </c>
      <c r="F82" s="9">
        <f t="shared" si="13"/>
        <v>0.1175613082222379</v>
      </c>
      <c r="G82" s="10"/>
      <c r="H82" s="9">
        <v>900</v>
      </c>
      <c r="I82" s="9">
        <v>3695.48</v>
      </c>
      <c r="J82" s="9">
        <v>234.23</v>
      </c>
      <c r="K82" s="9">
        <v>44.78</v>
      </c>
      <c r="L82" s="9">
        <f t="shared" si="14"/>
        <v>0.24354075789883858</v>
      </c>
      <c r="M82" s="10"/>
      <c r="N82" s="9">
        <v>400</v>
      </c>
      <c r="O82" s="9">
        <f>2696.35+20.23</f>
        <v>2716.58</v>
      </c>
      <c r="P82" s="9">
        <f>211.22+22.26</f>
        <v>233.48</v>
      </c>
      <c r="Q82" s="9">
        <v>20.96</v>
      </c>
      <c r="R82" s="9">
        <f t="shared" si="15"/>
        <v>0.14724396115704305</v>
      </c>
      <c r="S82" s="10"/>
      <c r="U82" s="8"/>
    </row>
    <row r="83" spans="2:21" ht="15.75" customHeight="1" x14ac:dyDescent="0.25">
      <c r="B83" s="9">
        <v>75</v>
      </c>
      <c r="C83" s="9">
        <f>755.98+31.1+5.14</f>
        <v>792.22</v>
      </c>
      <c r="D83" s="9">
        <f>145.48+48.31+11.36</f>
        <v>205.14999999999998</v>
      </c>
      <c r="E83" s="9">
        <v>7.87</v>
      </c>
      <c r="F83" s="9">
        <f t="shared" si="13"/>
        <v>9.4670672288000801E-2</v>
      </c>
      <c r="G83" s="10"/>
      <c r="H83" s="9">
        <v>800</v>
      </c>
      <c r="I83" s="9">
        <v>3611.21</v>
      </c>
      <c r="J83" s="9">
        <v>229.56</v>
      </c>
      <c r="K83" s="9">
        <v>44.54</v>
      </c>
      <c r="L83" s="9">
        <f t="shared" si="14"/>
        <v>0.22153239495903035</v>
      </c>
      <c r="M83" s="10"/>
      <c r="N83" s="9">
        <v>350</v>
      </c>
      <c r="O83" s="9">
        <f>15.39+2646.93</f>
        <v>2662.3199999999997</v>
      </c>
      <c r="P83" s="9">
        <f>20.26+207.48</f>
        <v>227.73999999999998</v>
      </c>
      <c r="Q83" s="9">
        <v>20.76</v>
      </c>
      <c r="R83" s="9">
        <f t="shared" si="15"/>
        <v>0.13146428678746358</v>
      </c>
      <c r="S83" s="10"/>
      <c r="U83" s="8"/>
    </row>
    <row r="84" spans="2:21" ht="15.75" customHeight="1" x14ac:dyDescent="0.25">
      <c r="B84" s="9">
        <v>50</v>
      </c>
      <c r="C84" s="9">
        <f>2.15+17.11+706.43</f>
        <v>725.68999999999994</v>
      </c>
      <c r="D84" s="9">
        <f>6.93+36.39+142.17</f>
        <v>185.48999999999998</v>
      </c>
      <c r="E84" s="9">
        <v>7.53</v>
      </c>
      <c r="F84" s="9">
        <f t="shared" si="13"/>
        <v>6.889994350204634E-2</v>
      </c>
      <c r="G84" s="10"/>
      <c r="H84" s="9">
        <v>700</v>
      </c>
      <c r="I84" s="9">
        <v>3550.78</v>
      </c>
      <c r="J84" s="9">
        <v>226.64</v>
      </c>
      <c r="K84" s="9">
        <v>44.38</v>
      </c>
      <c r="L84" s="9">
        <f t="shared" si="14"/>
        <v>0.19713978337154089</v>
      </c>
      <c r="M84" s="10"/>
      <c r="N84" s="9">
        <v>300</v>
      </c>
      <c r="O84" s="9">
        <f>10.77+2606.64</f>
        <v>2617.41</v>
      </c>
      <c r="P84" s="9">
        <f>15.35+206.08</f>
        <v>221.43</v>
      </c>
      <c r="Q84" s="9">
        <v>20.56</v>
      </c>
      <c r="R84" s="9">
        <f t="shared" si="15"/>
        <v>0.11461712150561051</v>
      </c>
      <c r="S84" s="10"/>
      <c r="U84" s="8"/>
    </row>
    <row r="85" spans="2:21" ht="15.75" customHeight="1" x14ac:dyDescent="0.25">
      <c r="B85" s="9">
        <v>25</v>
      </c>
      <c r="C85" s="9">
        <f>650.31+5.22+0.13</f>
        <v>655.66</v>
      </c>
      <c r="D85" s="9">
        <f>138.61+19.46+2.36</f>
        <v>160.43000000000004</v>
      </c>
      <c r="E85" s="9">
        <v>7.13</v>
      </c>
      <c r="F85" s="9">
        <f t="shared" si="13"/>
        <v>3.8129518347924232E-2</v>
      </c>
      <c r="G85" s="10"/>
      <c r="H85" s="9">
        <v>600</v>
      </c>
      <c r="I85" s="9">
        <v>3527.25</v>
      </c>
      <c r="J85" s="9">
        <v>224.3</v>
      </c>
      <c r="K85" s="9">
        <v>44.14</v>
      </c>
      <c r="L85" s="9">
        <f t="shared" si="14"/>
        <v>0.17010418881564959</v>
      </c>
      <c r="M85" s="10"/>
      <c r="N85" s="9">
        <v>250</v>
      </c>
      <c r="O85" s="9">
        <f>6.84+2538.41</f>
        <v>2545.25</v>
      </c>
      <c r="P85" s="9">
        <f>12.76+202.8</f>
        <v>215.56</v>
      </c>
      <c r="Q85" s="9">
        <v>20.25</v>
      </c>
      <c r="R85" s="9">
        <f t="shared" si="15"/>
        <v>9.8222178567920634E-2</v>
      </c>
      <c r="S85" s="10"/>
      <c r="U85" s="8"/>
    </row>
    <row r="86" spans="2:21" ht="15.75" customHeight="1" x14ac:dyDescent="0.25"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8"/>
      <c r="H86" s="9">
        <v>500</v>
      </c>
      <c r="I86" s="9">
        <v>3441.13</v>
      </c>
      <c r="J86" s="9">
        <v>219.33</v>
      </c>
      <c r="K86" s="9">
        <v>43.75</v>
      </c>
      <c r="L86" s="9">
        <f t="shared" si="14"/>
        <v>0.14530110748504124</v>
      </c>
      <c r="M86" s="10"/>
      <c r="N86" s="9">
        <v>200</v>
      </c>
      <c r="O86" s="9">
        <f>3.15+2458.97</f>
        <v>2462.12</v>
      </c>
      <c r="P86" s="9">
        <f>9.43+199.53</f>
        <v>208.96</v>
      </c>
      <c r="Q86" s="9">
        <v>19.89</v>
      </c>
      <c r="R86" s="9">
        <f t="shared" si="15"/>
        <v>8.1230809221321462E-2</v>
      </c>
      <c r="S86" s="10"/>
      <c r="U86" s="8"/>
    </row>
    <row r="87" spans="2:21" ht="15.75" customHeight="1" x14ac:dyDescent="0.25">
      <c r="H87" s="9">
        <v>400</v>
      </c>
      <c r="I87" s="9">
        <v>3383.29</v>
      </c>
      <c r="J87" s="9">
        <v>214.95</v>
      </c>
      <c r="K87" s="9">
        <v>43.59</v>
      </c>
      <c r="L87" s="9">
        <f t="shared" si="14"/>
        <v>0.11822811523694392</v>
      </c>
      <c r="M87" s="10"/>
      <c r="N87" s="9">
        <v>150</v>
      </c>
      <c r="O87" s="9">
        <v>2387.34</v>
      </c>
      <c r="P87" s="9">
        <v>195.53</v>
      </c>
      <c r="Q87" s="9">
        <v>19.48</v>
      </c>
      <c r="R87" s="9">
        <f t="shared" si="15"/>
        <v>6.2831435823971452E-2</v>
      </c>
      <c r="S87" s="10"/>
      <c r="U87" s="8"/>
    </row>
    <row r="88" spans="2:21" ht="15.75" customHeight="1" x14ac:dyDescent="0.25">
      <c r="H88" s="9">
        <v>300</v>
      </c>
      <c r="I88" s="9">
        <v>3259.56</v>
      </c>
      <c r="J88" s="9">
        <v>208.53</v>
      </c>
      <c r="K88" s="9">
        <v>42.87</v>
      </c>
      <c r="L88" s="9">
        <f t="shared" si="14"/>
        <v>9.2036962043956852E-2</v>
      </c>
      <c r="M88" s="10"/>
      <c r="N88" s="9">
        <v>100</v>
      </c>
      <c r="O88" s="9">
        <v>2305.62</v>
      </c>
      <c r="P88" s="9">
        <v>190.79</v>
      </c>
      <c r="Q88" s="9">
        <v>19</v>
      </c>
      <c r="R88" s="9">
        <f t="shared" si="15"/>
        <v>4.3372281642248073E-2</v>
      </c>
      <c r="S88" s="10"/>
      <c r="U88" s="8"/>
    </row>
    <row r="89" spans="2:21" ht="15.75" customHeight="1" x14ac:dyDescent="0.25">
      <c r="H89" s="9">
        <v>200</v>
      </c>
      <c r="I89" s="9">
        <v>3135.99</v>
      </c>
      <c r="J89" s="9">
        <v>200.35</v>
      </c>
      <c r="K89" s="9">
        <v>42.4</v>
      </c>
      <c r="L89" s="9">
        <f t="shared" si="14"/>
        <v>6.3775713570515216E-2</v>
      </c>
      <c r="M89" s="10"/>
      <c r="N89" s="9">
        <v>50</v>
      </c>
      <c r="O89" s="9">
        <v>2191.6</v>
      </c>
      <c r="P89" s="9">
        <v>184.14</v>
      </c>
      <c r="Q89" s="9">
        <v>18.420000000000002</v>
      </c>
      <c r="R89" s="9">
        <f t="shared" si="15"/>
        <v>2.2814382186530389E-2</v>
      </c>
      <c r="S89" s="10"/>
      <c r="U89" s="8"/>
    </row>
    <row r="90" spans="2:21" ht="15.75" customHeight="1" x14ac:dyDescent="0.25">
      <c r="H90" s="9">
        <v>100</v>
      </c>
      <c r="I90" s="9">
        <v>2972.57</v>
      </c>
      <c r="J90" s="9">
        <v>186.92</v>
      </c>
      <c r="K90" s="9">
        <v>41.52</v>
      </c>
      <c r="L90" s="9">
        <f t="shared" si="14"/>
        <v>3.3640923510632213E-2</v>
      </c>
      <c r="M90" s="10"/>
      <c r="N90" s="9">
        <v>0</v>
      </c>
      <c r="O90" s="9">
        <v>0</v>
      </c>
      <c r="P90" s="9">
        <v>0</v>
      </c>
      <c r="Q90" s="9">
        <v>0</v>
      </c>
      <c r="R90" s="9">
        <v>0</v>
      </c>
      <c r="U90" s="8"/>
    </row>
    <row r="91" spans="2:21" ht="15.75" customHeight="1" x14ac:dyDescent="0.25">
      <c r="H91" s="9">
        <v>0</v>
      </c>
      <c r="I91" s="9">
        <v>0</v>
      </c>
      <c r="J91" s="9">
        <v>0</v>
      </c>
      <c r="K91" s="9">
        <v>0</v>
      </c>
      <c r="L91" s="9">
        <v>0</v>
      </c>
      <c r="U91" s="8"/>
    </row>
    <row r="92" spans="2:21" ht="15.75" customHeight="1" x14ac:dyDescent="0.25">
      <c r="U92" s="8"/>
    </row>
    <row r="93" spans="2:21" ht="15.75" customHeight="1" x14ac:dyDescent="0.25">
      <c r="U93" s="8"/>
    </row>
    <row r="94" spans="2:21" ht="15.75" customHeight="1" x14ac:dyDescent="0.25">
      <c r="U94" s="8"/>
    </row>
    <row r="95" spans="2:21" ht="15.75" customHeight="1" x14ac:dyDescent="0.25">
      <c r="U95" s="8"/>
    </row>
    <row r="96" spans="2:21" ht="15.75" customHeight="1" x14ac:dyDescent="0.25">
      <c r="U96" s="8"/>
    </row>
    <row r="97" spans="21:21" ht="15.75" customHeight="1" x14ac:dyDescent="0.25">
      <c r="U97" s="8"/>
    </row>
    <row r="98" spans="21:21" ht="15.75" customHeight="1" x14ac:dyDescent="0.25">
      <c r="U98" s="8"/>
    </row>
    <row r="99" spans="21:21" ht="15.75" customHeight="1" x14ac:dyDescent="0.25">
      <c r="U99" s="8"/>
    </row>
    <row r="100" spans="21:21" ht="15.75" customHeight="1" x14ac:dyDescent="0.25">
      <c r="U100" s="8"/>
    </row>
    <row r="101" spans="21:21" ht="15.75" customHeight="1" x14ac:dyDescent="0.25">
      <c r="U101" s="8"/>
    </row>
    <row r="102" spans="21:21" ht="15.75" customHeight="1" x14ac:dyDescent="0.25">
      <c r="U102" s="8"/>
    </row>
    <row r="103" spans="21:21" ht="15.75" customHeight="1" x14ac:dyDescent="0.25">
      <c r="U103" s="8"/>
    </row>
    <row r="104" spans="21:21" ht="15.75" customHeight="1" x14ac:dyDescent="0.25">
      <c r="U104" s="8"/>
    </row>
    <row r="105" spans="21:21" ht="15.75" customHeight="1" x14ac:dyDescent="0.25">
      <c r="U105" s="8"/>
    </row>
    <row r="106" spans="21:21" ht="15.75" customHeight="1" x14ac:dyDescent="0.25">
      <c r="U106" s="8"/>
    </row>
    <row r="107" spans="21:21" ht="15.75" customHeight="1" x14ac:dyDescent="0.25">
      <c r="U107" s="8"/>
    </row>
    <row r="108" spans="21:21" ht="15.75" customHeight="1" x14ac:dyDescent="0.25">
      <c r="U108" s="8"/>
    </row>
    <row r="109" spans="21:21" ht="15.75" customHeight="1" x14ac:dyDescent="0.25">
      <c r="U109" s="8"/>
    </row>
    <row r="110" spans="21:21" ht="15.75" customHeight="1" x14ac:dyDescent="0.25">
      <c r="U110" s="8"/>
    </row>
    <row r="111" spans="21:21" ht="15.75" customHeight="1" x14ac:dyDescent="0.25">
      <c r="U111" s="8"/>
    </row>
    <row r="112" spans="21:21" ht="15.75" customHeight="1" x14ac:dyDescent="0.25">
      <c r="U112" s="8"/>
    </row>
    <row r="113" spans="21:21" ht="15.75" customHeight="1" x14ac:dyDescent="0.25">
      <c r="U113" s="8"/>
    </row>
    <row r="114" spans="21:21" ht="15.75" customHeight="1" x14ac:dyDescent="0.25">
      <c r="U114" s="8"/>
    </row>
    <row r="115" spans="21:21" ht="15.75" customHeight="1" x14ac:dyDescent="0.25">
      <c r="U115" s="8"/>
    </row>
    <row r="116" spans="21:21" ht="15.75" customHeight="1" x14ac:dyDescent="0.25">
      <c r="U116" s="8"/>
    </row>
    <row r="117" spans="21:21" ht="15.75" customHeight="1" x14ac:dyDescent="0.25">
      <c r="U117" s="8"/>
    </row>
    <row r="118" spans="21:21" ht="15.75" customHeight="1" x14ac:dyDescent="0.25">
      <c r="U118" s="8"/>
    </row>
    <row r="119" spans="21:21" ht="15.75" customHeight="1" x14ac:dyDescent="0.25">
      <c r="U119" s="8"/>
    </row>
    <row r="120" spans="21:21" ht="15.75" customHeight="1" x14ac:dyDescent="0.25">
      <c r="U120" s="8"/>
    </row>
    <row r="121" spans="21:21" ht="15.75" customHeight="1" x14ac:dyDescent="0.25">
      <c r="U121" s="8"/>
    </row>
    <row r="122" spans="21:21" ht="15.75" customHeight="1" x14ac:dyDescent="0.25">
      <c r="U122" s="8"/>
    </row>
    <row r="123" spans="21:21" ht="15.75" customHeight="1" x14ac:dyDescent="0.25">
      <c r="U123" s="8"/>
    </row>
    <row r="124" spans="21:21" ht="15.75" customHeight="1" x14ac:dyDescent="0.25">
      <c r="U124" s="8"/>
    </row>
    <row r="125" spans="21:21" ht="15.75" customHeight="1" x14ac:dyDescent="0.25">
      <c r="U125" s="8"/>
    </row>
    <row r="126" spans="21:21" ht="15.75" customHeight="1" x14ac:dyDescent="0.25">
      <c r="U126" s="8"/>
    </row>
    <row r="127" spans="21:21" ht="15.75" customHeight="1" x14ac:dyDescent="0.25">
      <c r="U127" s="8"/>
    </row>
    <row r="128" spans="21:21" ht="15.75" customHeight="1" x14ac:dyDescent="0.25">
      <c r="U128" s="8"/>
    </row>
    <row r="129" spans="21:21" ht="15.75" customHeight="1" x14ac:dyDescent="0.25">
      <c r="U129" s="8"/>
    </row>
    <row r="130" spans="21:21" ht="15.75" customHeight="1" x14ac:dyDescent="0.25">
      <c r="U130" s="8"/>
    </row>
    <row r="131" spans="21:21" ht="15.75" customHeight="1" x14ac:dyDescent="0.25">
      <c r="U131" s="8"/>
    </row>
    <row r="132" spans="21:21" ht="15.75" customHeight="1" x14ac:dyDescent="0.25">
      <c r="U132" s="8"/>
    </row>
    <row r="133" spans="21:21" ht="15.75" customHeight="1" x14ac:dyDescent="0.25">
      <c r="U133" s="8"/>
    </row>
    <row r="134" spans="21:21" ht="15.75" customHeight="1" x14ac:dyDescent="0.25">
      <c r="U134" s="8"/>
    </row>
    <row r="135" spans="21:21" ht="15.75" customHeight="1" x14ac:dyDescent="0.25">
      <c r="U135" s="8"/>
    </row>
    <row r="136" spans="21:21" ht="15.75" customHeight="1" x14ac:dyDescent="0.25">
      <c r="U136" s="8"/>
    </row>
    <row r="137" spans="21:21" ht="15.75" customHeight="1" x14ac:dyDescent="0.25">
      <c r="U137" s="8"/>
    </row>
    <row r="138" spans="21:21" ht="15.75" customHeight="1" x14ac:dyDescent="0.25">
      <c r="U138" s="8"/>
    </row>
    <row r="139" spans="21:21" ht="15.75" customHeight="1" x14ac:dyDescent="0.25">
      <c r="U139" s="8"/>
    </row>
    <row r="140" spans="21:21" ht="15.75" customHeight="1" x14ac:dyDescent="0.25">
      <c r="U140" s="8"/>
    </row>
    <row r="141" spans="21:21" ht="15.75" customHeight="1" x14ac:dyDescent="0.25">
      <c r="U141" s="8"/>
    </row>
    <row r="142" spans="21:21" ht="15.75" customHeight="1" x14ac:dyDescent="0.25">
      <c r="U142" s="8"/>
    </row>
    <row r="143" spans="21:21" ht="15.75" customHeight="1" x14ac:dyDescent="0.25">
      <c r="U143" s="8"/>
    </row>
    <row r="144" spans="21:21" ht="15.75" customHeight="1" x14ac:dyDescent="0.25">
      <c r="U144" s="8"/>
    </row>
    <row r="145" spans="21:21" ht="15.75" customHeight="1" x14ac:dyDescent="0.25">
      <c r="U145" s="8"/>
    </row>
    <row r="146" spans="21:21" ht="15.75" customHeight="1" x14ac:dyDescent="0.25">
      <c r="U146" s="8"/>
    </row>
    <row r="147" spans="21:21" ht="15.75" customHeight="1" x14ac:dyDescent="0.25">
      <c r="U147" s="8"/>
    </row>
    <row r="148" spans="21:21" ht="15.75" customHeight="1" x14ac:dyDescent="0.25">
      <c r="U148" s="8"/>
    </row>
    <row r="149" spans="21:21" ht="15.75" customHeight="1" x14ac:dyDescent="0.25">
      <c r="U149" s="8"/>
    </row>
    <row r="150" spans="21:21" ht="15.75" customHeight="1" x14ac:dyDescent="0.25">
      <c r="U150" s="8"/>
    </row>
    <row r="151" spans="21:21" ht="15.75" customHeight="1" x14ac:dyDescent="0.25">
      <c r="U151" s="8"/>
    </row>
    <row r="152" spans="21:21" ht="15.75" customHeight="1" x14ac:dyDescent="0.25">
      <c r="U152" s="8"/>
    </row>
    <row r="153" spans="21:21" ht="15.75" customHeight="1" x14ac:dyDescent="0.25">
      <c r="U153" s="8"/>
    </row>
    <row r="154" spans="21:21" ht="15.75" customHeight="1" x14ac:dyDescent="0.25">
      <c r="U154" s="8"/>
    </row>
    <row r="155" spans="21:21" ht="15.75" customHeight="1" x14ac:dyDescent="0.25">
      <c r="U155" s="8"/>
    </row>
    <row r="156" spans="21:21" ht="15.75" customHeight="1" x14ac:dyDescent="0.25">
      <c r="U156" s="8"/>
    </row>
    <row r="157" spans="21:21" ht="15.75" customHeight="1" x14ac:dyDescent="0.25">
      <c r="U157" s="8"/>
    </row>
    <row r="158" spans="21:21" ht="15.75" customHeight="1" x14ac:dyDescent="0.25">
      <c r="U158" s="8"/>
    </row>
    <row r="159" spans="21:21" ht="15.75" customHeight="1" x14ac:dyDescent="0.25">
      <c r="U159" s="8"/>
    </row>
    <row r="160" spans="21:21" ht="15.75" customHeight="1" x14ac:dyDescent="0.25">
      <c r="U160" s="8"/>
    </row>
    <row r="161" spans="21:21" ht="15.75" customHeight="1" x14ac:dyDescent="0.25">
      <c r="U161" s="8"/>
    </row>
    <row r="162" spans="21:21" ht="15.75" customHeight="1" x14ac:dyDescent="0.25">
      <c r="U162" s="8"/>
    </row>
    <row r="163" spans="21:21" ht="15.75" customHeight="1" x14ac:dyDescent="0.25">
      <c r="U163" s="8"/>
    </row>
    <row r="164" spans="21:21" ht="15.75" customHeight="1" x14ac:dyDescent="0.25">
      <c r="U164" s="8"/>
    </row>
    <row r="165" spans="21:21" ht="15.75" customHeight="1" x14ac:dyDescent="0.25">
      <c r="U165" s="8"/>
    </row>
    <row r="166" spans="21:21" ht="15.75" customHeight="1" x14ac:dyDescent="0.25">
      <c r="U166" s="8"/>
    </row>
    <row r="167" spans="21:21" ht="15.75" customHeight="1" x14ac:dyDescent="0.25">
      <c r="U167" s="8"/>
    </row>
    <row r="168" spans="21:21" ht="15.75" customHeight="1" x14ac:dyDescent="0.25">
      <c r="U168" s="8"/>
    </row>
    <row r="169" spans="21:21" ht="15.75" customHeight="1" x14ac:dyDescent="0.25">
      <c r="U169" s="8"/>
    </row>
    <row r="170" spans="21:21" ht="15.75" customHeight="1" x14ac:dyDescent="0.25">
      <c r="U170" s="8"/>
    </row>
    <row r="171" spans="21:21" ht="15.75" customHeight="1" x14ac:dyDescent="0.25">
      <c r="U171" s="8"/>
    </row>
    <row r="172" spans="21:21" ht="15.75" customHeight="1" x14ac:dyDescent="0.25">
      <c r="U172" s="8"/>
    </row>
    <row r="173" spans="21:21" ht="15.75" customHeight="1" x14ac:dyDescent="0.25">
      <c r="U173" s="8"/>
    </row>
    <row r="174" spans="21:21" ht="15.75" customHeight="1" x14ac:dyDescent="0.25">
      <c r="U174" s="8"/>
    </row>
    <row r="175" spans="21:21" ht="15.75" customHeight="1" x14ac:dyDescent="0.25">
      <c r="U175" s="8"/>
    </row>
    <row r="176" spans="21:21" ht="15.75" customHeight="1" x14ac:dyDescent="0.25">
      <c r="U176" s="8"/>
    </row>
    <row r="177" spans="21:21" ht="15.75" customHeight="1" x14ac:dyDescent="0.25">
      <c r="U177" s="8"/>
    </row>
    <row r="178" spans="21:21" ht="15.75" customHeight="1" x14ac:dyDescent="0.25">
      <c r="U178" s="8"/>
    </row>
    <row r="179" spans="21:21" ht="15.75" customHeight="1" x14ac:dyDescent="0.25">
      <c r="U179" s="8"/>
    </row>
    <row r="180" spans="21:21" ht="15.75" customHeight="1" x14ac:dyDescent="0.25">
      <c r="U180" s="8"/>
    </row>
    <row r="181" spans="21:21" ht="15.75" customHeight="1" x14ac:dyDescent="0.25">
      <c r="U181" s="8"/>
    </row>
    <row r="182" spans="21:21" ht="15.75" customHeight="1" x14ac:dyDescent="0.25">
      <c r="U182" s="8"/>
    </row>
    <row r="183" spans="21:21" ht="15.75" customHeight="1" x14ac:dyDescent="0.25">
      <c r="U183" s="8"/>
    </row>
    <row r="184" spans="21:21" ht="15.75" customHeight="1" x14ac:dyDescent="0.25">
      <c r="U184" s="8"/>
    </row>
    <row r="185" spans="21:21" ht="15.75" customHeight="1" x14ac:dyDescent="0.25">
      <c r="U185" s="8"/>
    </row>
    <row r="186" spans="21:21" ht="15.75" customHeight="1" x14ac:dyDescent="0.25">
      <c r="U186" s="8"/>
    </row>
    <row r="187" spans="21:21" ht="15.75" customHeight="1" x14ac:dyDescent="0.25">
      <c r="U187" s="8"/>
    </row>
    <row r="188" spans="21:21" ht="15.75" customHeight="1" x14ac:dyDescent="0.25">
      <c r="U188" s="8"/>
    </row>
    <row r="189" spans="21:21" ht="15.75" customHeight="1" x14ac:dyDescent="0.25">
      <c r="U189" s="8"/>
    </row>
    <row r="190" spans="21:21" ht="15.75" customHeight="1" x14ac:dyDescent="0.25">
      <c r="U190" s="8"/>
    </row>
    <row r="191" spans="21:21" ht="15.75" customHeight="1" x14ac:dyDescent="0.25">
      <c r="U191" s="8"/>
    </row>
    <row r="192" spans="21:21" ht="15.75" customHeight="1" x14ac:dyDescent="0.25">
      <c r="U192" s="8"/>
    </row>
    <row r="193" spans="20:21" ht="15.75" customHeight="1" x14ac:dyDescent="0.25">
      <c r="U193" s="8"/>
    </row>
    <row r="194" spans="20:21" ht="15.75" customHeight="1" x14ac:dyDescent="0.25">
      <c r="U194" s="8"/>
    </row>
    <row r="195" spans="20:21" ht="15.75" customHeight="1" x14ac:dyDescent="0.25">
      <c r="U195" s="8"/>
    </row>
    <row r="196" spans="20:21" ht="15.75" customHeight="1" x14ac:dyDescent="0.25">
      <c r="U196" s="8"/>
    </row>
    <row r="197" spans="20:21" ht="15.75" customHeight="1" x14ac:dyDescent="0.25">
      <c r="U197" s="8"/>
    </row>
    <row r="198" spans="20:21" ht="15.75" customHeight="1" x14ac:dyDescent="0.25">
      <c r="U198" s="8"/>
    </row>
    <row r="199" spans="20:21" ht="15.75" customHeight="1" x14ac:dyDescent="0.25">
      <c r="T199" s="13" t="s">
        <v>7</v>
      </c>
      <c r="U199" s="8"/>
    </row>
    <row r="200" spans="20:21" ht="15.75" customHeight="1" x14ac:dyDescent="0.25"/>
    <row r="201" spans="20:21" ht="15.75" customHeight="1" x14ac:dyDescent="0.25"/>
    <row r="202" spans="20:21" ht="15.75" customHeight="1" x14ac:dyDescent="0.25"/>
    <row r="203" spans="20:21" ht="15.75" customHeight="1" x14ac:dyDescent="0.25"/>
    <row r="204" spans="20:21" ht="15.75" customHeight="1" x14ac:dyDescent="0.25"/>
    <row r="205" spans="20:21" ht="15.75" customHeight="1" x14ac:dyDescent="0.25"/>
    <row r="206" spans="20:21" ht="15.75" customHeight="1" x14ac:dyDescent="0.25"/>
    <row r="207" spans="20:21" ht="15.75" customHeight="1" x14ac:dyDescent="0.25"/>
    <row r="208" spans="20:21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topLeftCell="F1" workbookViewId="0"/>
  </sheetViews>
  <sheetFormatPr defaultColWidth="14.44140625" defaultRowHeight="15" customHeight="1" x14ac:dyDescent="0.25"/>
  <cols>
    <col min="1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topLeftCell="A28" workbookViewId="0"/>
  </sheetViews>
  <sheetFormatPr defaultColWidth="14.44140625" defaultRowHeight="15" customHeight="1" x14ac:dyDescent="0.25"/>
  <cols>
    <col min="1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topLeftCell="C25" workbookViewId="0"/>
  </sheetViews>
  <sheetFormatPr defaultColWidth="14.44140625" defaultRowHeight="15" customHeight="1" x14ac:dyDescent="0.25"/>
  <cols>
    <col min="1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tabSelected="1" topLeftCell="F25" workbookViewId="0"/>
  </sheetViews>
  <sheetFormatPr defaultColWidth="14.44140625" defaultRowHeight="15" customHeight="1" x14ac:dyDescent="0.25"/>
  <cols>
    <col min="1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1673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Fahmidah Ashraf</dc:creator>
  <cp:lastModifiedBy>Ruma</cp:lastModifiedBy>
  <dcterms:created xsi:type="dcterms:W3CDTF">2021-07-17T01:22:10Z</dcterms:created>
  <dcterms:modified xsi:type="dcterms:W3CDTF">2021-07-17T01:22:10Z</dcterms:modified>
</cp:coreProperties>
</file>