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EW JOURNAL\Power\"/>
    </mc:Choice>
  </mc:AlternateContent>
  <bookViews>
    <workbookView xWindow="0" yWindow="0" windowWidth="23040" windowHeight="8760" activeTab="4"/>
  </bookViews>
  <sheets>
    <sheet name="Collected Data Site 360" sheetId="1" r:id="rId1"/>
    <sheet name="Discharge vs Depth" sheetId="2" r:id="rId2"/>
    <sheet name="Discharge vs Width" sheetId="3" r:id="rId3"/>
    <sheet name="Discharge vs Area" sheetId="4" r:id="rId4"/>
    <sheet name="Discharge vs Velocit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9" i="1" l="1"/>
  <c r="O79" i="1"/>
  <c r="P78" i="1"/>
  <c r="O78" i="1"/>
  <c r="P77" i="1"/>
  <c r="O77" i="1"/>
  <c r="P76" i="1"/>
  <c r="O76" i="1"/>
  <c r="P75" i="1"/>
  <c r="O75" i="1"/>
  <c r="P74" i="1" l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 l="1"/>
  <c r="O66" i="1"/>
  <c r="P65" i="1"/>
  <c r="O65" i="1"/>
  <c r="R65" i="1" s="1"/>
  <c r="P64" i="1"/>
  <c r="O64" i="1"/>
  <c r="P63" i="1"/>
  <c r="O63" i="1"/>
  <c r="R63" i="1"/>
  <c r="R64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62" i="1"/>
  <c r="P62" i="1"/>
  <c r="O62" i="1"/>
  <c r="J79" i="1"/>
  <c r="I79" i="1"/>
  <c r="J78" i="1"/>
  <c r="I78" i="1"/>
  <c r="J77" i="1"/>
  <c r="I77" i="1"/>
  <c r="J76" i="1" l="1"/>
  <c r="I76" i="1"/>
  <c r="J75" i="1"/>
  <c r="I75" i="1"/>
  <c r="J74" i="1"/>
  <c r="I74" i="1"/>
  <c r="J73" i="1"/>
  <c r="I73" i="1"/>
  <c r="J72" i="1"/>
  <c r="I72" i="1"/>
  <c r="J71" i="1"/>
  <c r="I71" i="1"/>
  <c r="L71" i="1" s="1"/>
  <c r="J70" i="1"/>
  <c r="I70" i="1"/>
  <c r="L70" i="1" s="1"/>
  <c r="J69" i="1"/>
  <c r="I69" i="1"/>
  <c r="J68" i="1"/>
  <c r="I68" i="1"/>
  <c r="L79" i="1"/>
  <c r="L78" i="1"/>
  <c r="L77" i="1"/>
  <c r="L76" i="1"/>
  <c r="L75" i="1"/>
  <c r="L74" i="1"/>
  <c r="L73" i="1"/>
  <c r="L72" i="1"/>
  <c r="D71" i="1"/>
  <c r="C71" i="1"/>
  <c r="F71" i="1" s="1"/>
  <c r="D70" i="1"/>
  <c r="C70" i="1"/>
  <c r="F70" i="1" s="1"/>
  <c r="L69" i="1"/>
  <c r="D69" i="1"/>
  <c r="C69" i="1"/>
  <c r="F69" i="1" s="1"/>
  <c r="L68" i="1"/>
  <c r="D68" i="1"/>
  <c r="C68" i="1"/>
  <c r="F68" i="1" s="1"/>
  <c r="J67" i="1"/>
  <c r="I67" i="1"/>
  <c r="L67" i="1" s="1"/>
  <c r="F67" i="1"/>
  <c r="D67" i="1"/>
  <c r="C67" i="1"/>
  <c r="L66" i="1"/>
  <c r="J66" i="1"/>
  <c r="I66" i="1"/>
  <c r="D66" i="1"/>
  <c r="C66" i="1"/>
  <c r="F66" i="1" s="1"/>
  <c r="J65" i="1"/>
  <c r="I65" i="1"/>
  <c r="L65" i="1" s="1"/>
  <c r="F65" i="1"/>
  <c r="D65" i="1"/>
  <c r="C65" i="1"/>
  <c r="L64" i="1"/>
  <c r="J64" i="1"/>
  <c r="I64" i="1"/>
  <c r="D64" i="1"/>
  <c r="C64" i="1"/>
  <c r="F64" i="1" s="1"/>
  <c r="J63" i="1"/>
  <c r="I63" i="1"/>
  <c r="L63" i="1" s="1"/>
  <c r="F63" i="1"/>
  <c r="D63" i="1"/>
  <c r="C63" i="1"/>
  <c r="L62" i="1"/>
  <c r="J62" i="1"/>
  <c r="I62" i="1"/>
  <c r="D62" i="1"/>
  <c r="C62" i="1"/>
  <c r="F62" i="1" s="1"/>
  <c r="AB56" i="1"/>
  <c r="AA56" i="1"/>
  <c r="AD56" i="1" s="1"/>
  <c r="X56" i="1"/>
  <c r="AB55" i="1"/>
  <c r="AA55" i="1"/>
  <c r="AD55" i="1" s="1"/>
  <c r="X55" i="1"/>
  <c r="AB54" i="1"/>
  <c r="AA54" i="1"/>
  <c r="AD54" i="1" s="1"/>
  <c r="X54" i="1"/>
  <c r="F54" i="1"/>
  <c r="AB53" i="1"/>
  <c r="AA53" i="1"/>
  <c r="AD53" i="1" s="1"/>
  <c r="V53" i="1"/>
  <c r="U53" i="1"/>
  <c r="X53" i="1" s="1"/>
  <c r="F53" i="1"/>
  <c r="AB52" i="1"/>
  <c r="AA52" i="1"/>
  <c r="AD52" i="1" s="1"/>
  <c r="X52" i="1"/>
  <c r="V52" i="1"/>
  <c r="U52" i="1"/>
  <c r="R52" i="1"/>
  <c r="L52" i="1"/>
  <c r="F52" i="1"/>
  <c r="AB51" i="1"/>
  <c r="AA51" i="1"/>
  <c r="AD51" i="1" s="1"/>
  <c r="V51" i="1"/>
  <c r="U51" i="1"/>
  <c r="X51" i="1" s="1"/>
  <c r="R51" i="1"/>
  <c r="L51" i="1"/>
  <c r="F51" i="1"/>
  <c r="AD50" i="1"/>
  <c r="AB50" i="1"/>
  <c r="AA50" i="1"/>
  <c r="V50" i="1"/>
  <c r="U50" i="1"/>
  <c r="X50" i="1" s="1"/>
  <c r="R50" i="1"/>
  <c r="L50" i="1"/>
  <c r="F50" i="1"/>
  <c r="AD49" i="1"/>
  <c r="AB49" i="1"/>
  <c r="AA49" i="1"/>
  <c r="X49" i="1"/>
  <c r="V49" i="1"/>
  <c r="U49" i="1"/>
  <c r="R49" i="1"/>
  <c r="L49" i="1"/>
  <c r="F49" i="1"/>
  <c r="D49" i="1"/>
  <c r="C49" i="1"/>
  <c r="AD48" i="1"/>
  <c r="AB48" i="1"/>
  <c r="AA48" i="1"/>
  <c r="V48" i="1"/>
  <c r="U48" i="1"/>
  <c r="X48" i="1" s="1"/>
  <c r="R48" i="1"/>
  <c r="L48" i="1"/>
  <c r="F48" i="1"/>
  <c r="D48" i="1"/>
  <c r="C48" i="1"/>
  <c r="AB47" i="1"/>
  <c r="AA47" i="1"/>
  <c r="AD47" i="1" s="1"/>
  <c r="V47" i="1"/>
  <c r="U47" i="1"/>
  <c r="X47" i="1" s="1"/>
  <c r="R47" i="1"/>
  <c r="L47" i="1"/>
  <c r="D47" i="1"/>
  <c r="C47" i="1"/>
  <c r="F47" i="1" s="1"/>
  <c r="AB46" i="1"/>
  <c r="AA46" i="1"/>
  <c r="AD46" i="1" s="1"/>
  <c r="X46" i="1"/>
  <c r="V46" i="1"/>
  <c r="U46" i="1"/>
  <c r="R46" i="1"/>
  <c r="L46" i="1"/>
  <c r="J46" i="1"/>
  <c r="I46" i="1"/>
  <c r="F46" i="1"/>
  <c r="D46" i="1"/>
  <c r="C46" i="1"/>
  <c r="AB45" i="1"/>
  <c r="AA45" i="1"/>
  <c r="AD45" i="1" s="1"/>
  <c r="V45" i="1"/>
  <c r="U45" i="1"/>
  <c r="X45" i="1" s="1"/>
  <c r="R45" i="1"/>
  <c r="J45" i="1"/>
  <c r="I45" i="1"/>
  <c r="L45" i="1" s="1"/>
  <c r="F45" i="1"/>
  <c r="D45" i="1"/>
  <c r="C45" i="1"/>
  <c r="AD44" i="1"/>
  <c r="AB44" i="1"/>
  <c r="AA44" i="1"/>
  <c r="V44" i="1"/>
  <c r="U44" i="1"/>
  <c r="X44" i="1" s="1"/>
  <c r="R44" i="1"/>
  <c r="J44" i="1"/>
  <c r="I44" i="1"/>
  <c r="L44" i="1" s="1"/>
  <c r="D44" i="1"/>
  <c r="C44" i="1"/>
  <c r="F44" i="1" s="1"/>
  <c r="AD43" i="1"/>
  <c r="AB43" i="1"/>
  <c r="AA43" i="1"/>
  <c r="X43" i="1"/>
  <c r="V43" i="1"/>
  <c r="U43" i="1"/>
  <c r="P43" i="1"/>
  <c r="O43" i="1"/>
  <c r="R43" i="1" s="1"/>
  <c r="J43" i="1"/>
  <c r="I43" i="1"/>
  <c r="L43" i="1" s="1"/>
  <c r="F43" i="1"/>
  <c r="D43" i="1"/>
  <c r="C43" i="1"/>
  <c r="AD42" i="1"/>
  <c r="AB42" i="1"/>
  <c r="AA42" i="1"/>
  <c r="V42" i="1"/>
  <c r="U42" i="1"/>
  <c r="X42" i="1" s="1"/>
  <c r="P42" i="1"/>
  <c r="O42" i="1"/>
  <c r="R42" i="1" s="1"/>
  <c r="L42" i="1"/>
  <c r="J42" i="1"/>
  <c r="I42" i="1"/>
  <c r="F42" i="1"/>
  <c r="D42" i="1"/>
  <c r="C42" i="1"/>
  <c r="AB41" i="1"/>
  <c r="AA41" i="1"/>
  <c r="AD41" i="1" s="1"/>
  <c r="V41" i="1"/>
  <c r="U41" i="1"/>
  <c r="X41" i="1" s="1"/>
  <c r="R41" i="1"/>
  <c r="P41" i="1"/>
  <c r="O41" i="1"/>
  <c r="L41" i="1"/>
  <c r="J41" i="1"/>
  <c r="I41" i="1"/>
  <c r="D41" i="1"/>
  <c r="C41" i="1"/>
  <c r="F41" i="1" s="1"/>
  <c r="AB40" i="1"/>
  <c r="AA40" i="1"/>
  <c r="AD40" i="1" s="1"/>
  <c r="X40" i="1"/>
  <c r="V40" i="1"/>
  <c r="U40" i="1"/>
  <c r="R40" i="1"/>
  <c r="P40" i="1"/>
  <c r="O40" i="1"/>
  <c r="J40" i="1"/>
  <c r="I40" i="1"/>
  <c r="L40" i="1" s="1"/>
  <c r="D40" i="1"/>
  <c r="C40" i="1"/>
  <c r="F40" i="1" s="1"/>
  <c r="AD39" i="1"/>
  <c r="AB39" i="1"/>
  <c r="AA39" i="1"/>
  <c r="X39" i="1"/>
  <c r="V39" i="1"/>
  <c r="U39" i="1"/>
  <c r="P39" i="1"/>
  <c r="O39" i="1"/>
  <c r="R39" i="1" s="1"/>
  <c r="J39" i="1"/>
  <c r="I39" i="1"/>
  <c r="L39" i="1" s="1"/>
  <c r="F39" i="1"/>
  <c r="D39" i="1"/>
  <c r="C39" i="1"/>
  <c r="AD38" i="1"/>
  <c r="AB38" i="1"/>
  <c r="AA38" i="1"/>
  <c r="V38" i="1"/>
  <c r="U38" i="1"/>
  <c r="X38" i="1" s="1"/>
  <c r="P38" i="1"/>
  <c r="O38" i="1"/>
  <c r="R38" i="1" s="1"/>
  <c r="L38" i="1"/>
  <c r="J38" i="1"/>
  <c r="I38" i="1"/>
  <c r="F38" i="1"/>
  <c r="D38" i="1"/>
  <c r="C38" i="1"/>
  <c r="AB37" i="1"/>
  <c r="AA37" i="1"/>
  <c r="AD37" i="1" s="1"/>
  <c r="V37" i="1"/>
  <c r="U37" i="1"/>
  <c r="X37" i="1" s="1"/>
  <c r="R37" i="1"/>
  <c r="P37" i="1"/>
  <c r="O37" i="1"/>
  <c r="L37" i="1"/>
  <c r="J37" i="1"/>
  <c r="I37" i="1"/>
  <c r="D37" i="1"/>
  <c r="C37" i="1"/>
  <c r="F37" i="1" s="1"/>
  <c r="AB29" i="1"/>
  <c r="AA29" i="1"/>
  <c r="AD29" i="1" s="1"/>
  <c r="AD28" i="1"/>
  <c r="AB28" i="1"/>
  <c r="AA28" i="1"/>
  <c r="AD27" i="1"/>
  <c r="AD26" i="1"/>
  <c r="AD25" i="1"/>
  <c r="O25" i="1"/>
  <c r="R25" i="1" s="1"/>
  <c r="L25" i="1"/>
  <c r="J25" i="1"/>
  <c r="I25" i="1"/>
  <c r="F25" i="1"/>
  <c r="D25" i="1"/>
  <c r="C25" i="1"/>
  <c r="AD24" i="1"/>
  <c r="R24" i="1"/>
  <c r="P24" i="1"/>
  <c r="O24" i="1"/>
  <c r="J24" i="1"/>
  <c r="I24" i="1"/>
  <c r="L24" i="1" s="1"/>
  <c r="D24" i="1"/>
  <c r="C24" i="1"/>
  <c r="F24" i="1" s="1"/>
  <c r="AD23" i="1"/>
  <c r="V23" i="1"/>
  <c r="U23" i="1"/>
  <c r="X23" i="1" s="1"/>
  <c r="R23" i="1"/>
  <c r="P23" i="1"/>
  <c r="O23" i="1"/>
  <c r="L23" i="1"/>
  <c r="J23" i="1"/>
  <c r="I23" i="1"/>
  <c r="D23" i="1"/>
  <c r="C23" i="1"/>
  <c r="F23" i="1" s="1"/>
  <c r="AD22" i="1"/>
  <c r="V22" i="1"/>
  <c r="U22" i="1"/>
  <c r="X22" i="1" s="1"/>
  <c r="P22" i="1"/>
  <c r="O22" i="1"/>
  <c r="R22" i="1" s="1"/>
  <c r="L22" i="1"/>
  <c r="J22" i="1"/>
  <c r="I22" i="1"/>
  <c r="F22" i="1"/>
  <c r="D22" i="1"/>
  <c r="C22" i="1"/>
  <c r="AD21" i="1"/>
  <c r="X21" i="1"/>
  <c r="V21" i="1"/>
  <c r="U21" i="1"/>
  <c r="P21" i="1"/>
  <c r="O21" i="1"/>
  <c r="R21" i="1" s="1"/>
  <c r="J21" i="1"/>
  <c r="I21" i="1"/>
  <c r="L21" i="1" s="1"/>
  <c r="F21" i="1"/>
  <c r="D21" i="1"/>
  <c r="C21" i="1"/>
  <c r="AD20" i="1"/>
  <c r="X20" i="1"/>
  <c r="V20" i="1"/>
  <c r="U20" i="1"/>
  <c r="R20" i="1"/>
  <c r="P20" i="1"/>
  <c r="O20" i="1"/>
  <c r="J20" i="1"/>
  <c r="I20" i="1"/>
  <c r="L20" i="1" s="1"/>
  <c r="D20" i="1"/>
  <c r="C20" i="1"/>
  <c r="F20" i="1" s="1"/>
  <c r="AD19" i="1"/>
  <c r="AB19" i="1"/>
  <c r="AA19" i="1"/>
  <c r="X19" i="1"/>
  <c r="V19" i="1"/>
  <c r="U19" i="1"/>
  <c r="P19" i="1"/>
  <c r="O19" i="1"/>
  <c r="R19" i="1" s="1"/>
  <c r="J19" i="1"/>
  <c r="I19" i="1"/>
  <c r="L19" i="1" s="1"/>
  <c r="F19" i="1"/>
  <c r="D19" i="1"/>
  <c r="C19" i="1"/>
  <c r="AD18" i="1"/>
  <c r="AB18" i="1"/>
  <c r="AA18" i="1"/>
  <c r="V18" i="1"/>
  <c r="U18" i="1"/>
  <c r="X18" i="1" s="1"/>
  <c r="P18" i="1"/>
  <c r="O18" i="1"/>
  <c r="R18" i="1" s="1"/>
  <c r="L18" i="1"/>
  <c r="J18" i="1"/>
  <c r="I18" i="1"/>
  <c r="F18" i="1"/>
  <c r="D18" i="1"/>
  <c r="C18" i="1"/>
  <c r="AB17" i="1"/>
  <c r="AA17" i="1"/>
  <c r="AD17" i="1" s="1"/>
  <c r="V17" i="1"/>
  <c r="U17" i="1"/>
  <c r="X17" i="1" s="1"/>
  <c r="R17" i="1"/>
  <c r="P17" i="1"/>
  <c r="O17" i="1"/>
  <c r="L17" i="1"/>
  <c r="J17" i="1"/>
  <c r="I17" i="1"/>
  <c r="D17" i="1"/>
  <c r="C17" i="1"/>
  <c r="F17" i="1" s="1"/>
  <c r="AB16" i="1"/>
  <c r="AA16" i="1"/>
  <c r="AD16" i="1" s="1"/>
  <c r="X16" i="1"/>
  <c r="V16" i="1"/>
  <c r="U16" i="1"/>
  <c r="R16" i="1"/>
  <c r="P16" i="1"/>
  <c r="O16" i="1"/>
  <c r="J16" i="1"/>
  <c r="I16" i="1"/>
  <c r="L16" i="1" s="1"/>
  <c r="D16" i="1"/>
  <c r="C16" i="1"/>
  <c r="F16" i="1" s="1"/>
  <c r="AD15" i="1"/>
  <c r="AB15" i="1"/>
  <c r="AA15" i="1"/>
  <c r="X15" i="1"/>
  <c r="V15" i="1"/>
  <c r="U15" i="1"/>
  <c r="P15" i="1"/>
  <c r="O15" i="1"/>
  <c r="R15" i="1" s="1"/>
  <c r="J15" i="1"/>
  <c r="I15" i="1"/>
  <c r="L15" i="1" s="1"/>
  <c r="F15" i="1"/>
  <c r="D15" i="1"/>
  <c r="C15" i="1"/>
  <c r="AD14" i="1"/>
  <c r="AB14" i="1"/>
  <c r="AA14" i="1"/>
  <c r="V14" i="1"/>
  <c r="U14" i="1"/>
  <c r="X14" i="1" s="1"/>
  <c r="P14" i="1"/>
  <c r="O14" i="1"/>
  <c r="R14" i="1" s="1"/>
  <c r="L14" i="1"/>
  <c r="J14" i="1"/>
  <c r="I14" i="1"/>
  <c r="F14" i="1"/>
  <c r="D14" i="1"/>
  <c r="C14" i="1"/>
  <c r="AB13" i="1"/>
  <c r="AA13" i="1"/>
  <c r="AD13" i="1" s="1"/>
  <c r="V13" i="1"/>
  <c r="U13" i="1"/>
  <c r="X13" i="1" s="1"/>
  <c r="R13" i="1"/>
  <c r="P13" i="1"/>
  <c r="O13" i="1"/>
  <c r="L13" i="1"/>
  <c r="J13" i="1"/>
  <c r="I13" i="1"/>
  <c r="D13" i="1"/>
  <c r="C13" i="1"/>
  <c r="F13" i="1" s="1"/>
  <c r="AB12" i="1"/>
  <c r="AA12" i="1"/>
  <c r="AD12" i="1" s="1"/>
  <c r="X12" i="1"/>
  <c r="V12" i="1"/>
  <c r="U12" i="1"/>
  <c r="R12" i="1"/>
  <c r="P12" i="1"/>
  <c r="O12" i="1"/>
  <c r="J12" i="1"/>
  <c r="I12" i="1"/>
  <c r="L12" i="1" s="1"/>
  <c r="D12" i="1"/>
  <c r="C12" i="1"/>
  <c r="F12" i="1" s="1"/>
  <c r="AD11" i="1"/>
  <c r="AB11" i="1"/>
  <c r="AA11" i="1"/>
  <c r="X11" i="1"/>
  <c r="V11" i="1"/>
  <c r="U11" i="1"/>
  <c r="P11" i="1"/>
  <c r="O11" i="1"/>
  <c r="R11" i="1" s="1"/>
  <c r="J11" i="1"/>
  <c r="I11" i="1"/>
  <c r="L11" i="1" s="1"/>
  <c r="F11" i="1"/>
  <c r="D11" i="1"/>
  <c r="C11" i="1"/>
  <c r="AD10" i="1"/>
  <c r="AB10" i="1"/>
  <c r="AA10" i="1"/>
  <c r="V10" i="1"/>
  <c r="U10" i="1"/>
  <c r="X10" i="1" s="1"/>
  <c r="P10" i="1"/>
  <c r="O10" i="1"/>
  <c r="R10" i="1" s="1"/>
  <c r="L10" i="1"/>
  <c r="J10" i="1"/>
  <c r="I10" i="1"/>
  <c r="F10" i="1"/>
  <c r="D10" i="1"/>
  <c r="C10" i="1"/>
  <c r="AB9" i="1"/>
  <c r="AA9" i="1"/>
  <c r="AD9" i="1" s="1"/>
  <c r="V9" i="1"/>
  <c r="U9" i="1"/>
  <c r="X9" i="1" s="1"/>
  <c r="R9" i="1"/>
  <c r="P9" i="1"/>
  <c r="O9" i="1"/>
  <c r="L9" i="1"/>
  <c r="J9" i="1"/>
  <c r="I9" i="1"/>
  <c r="D9" i="1"/>
  <c r="C9" i="1"/>
  <c r="F9" i="1" s="1"/>
  <c r="AB8" i="1"/>
  <c r="AA8" i="1"/>
  <c r="AD8" i="1" s="1"/>
  <c r="X8" i="1"/>
  <c r="V8" i="1"/>
  <c r="U8" i="1"/>
  <c r="R8" i="1"/>
  <c r="P8" i="1"/>
  <c r="O8" i="1"/>
  <c r="J8" i="1"/>
  <c r="I8" i="1"/>
  <c r="L8" i="1" s="1"/>
  <c r="D8" i="1"/>
  <c r="C8" i="1"/>
  <c r="F8" i="1" s="1"/>
  <c r="AD7" i="1"/>
  <c r="AB7" i="1"/>
  <c r="AA7" i="1"/>
  <c r="X7" i="1"/>
  <c r="V7" i="1"/>
  <c r="U7" i="1"/>
  <c r="P7" i="1"/>
  <c r="O7" i="1"/>
  <c r="R7" i="1" s="1"/>
  <c r="J7" i="1"/>
  <c r="I7" i="1"/>
  <c r="L7" i="1" s="1"/>
  <c r="F7" i="1"/>
  <c r="D7" i="1"/>
  <c r="C7" i="1"/>
  <c r="AD6" i="1"/>
  <c r="AB6" i="1"/>
  <c r="AA6" i="1"/>
  <c r="V6" i="1"/>
  <c r="U6" i="1"/>
  <c r="X6" i="1" s="1"/>
  <c r="P6" i="1"/>
  <c r="O6" i="1"/>
  <c r="R6" i="1" s="1"/>
  <c r="L6" i="1"/>
  <c r="J6" i="1"/>
  <c r="I6" i="1"/>
  <c r="F6" i="1"/>
  <c r="D6" i="1"/>
  <c r="C6" i="1"/>
</calcChain>
</file>

<file path=xl/sharedStrings.xml><?xml version="1.0" encoding="utf-8"?>
<sst xmlns="http://schemas.openxmlformats.org/spreadsheetml/2006/main" count="91" uniqueCount="7">
  <si>
    <t>Site</t>
  </si>
  <si>
    <t>Cross Section</t>
  </si>
  <si>
    <t>Stream Discharge (m^3/s)</t>
  </si>
  <si>
    <t>Area (m^2)</t>
  </si>
  <si>
    <t>Width (m)</t>
  </si>
  <si>
    <t>Depth (m)</t>
  </si>
  <si>
    <t>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</si>
</sst>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(24.07)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07639982502187"/>
                  <c:y val="0.129166666666666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0.3012x</a:t>
                    </a:r>
                    <a:r>
                      <a:rPr lang="en-US" sz="1200" baseline="30000"/>
                      <a:t>0.4075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0.9487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360'!$B$6:$B$25</c:f>
              <c:numCache>
                <c:formatCode>General</c:formatCode>
                <c:ptCount val="20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</c:numCache>
            </c:numRef>
          </c:xVal>
          <c:yVal>
            <c:numRef>
              <c:f>'Collected Data Site 360'!$E$6:$E$25</c:f>
              <c:numCache>
                <c:formatCode>General</c:formatCode>
                <c:ptCount val="20"/>
                <c:pt idx="0">
                  <c:v>0.7</c:v>
                </c:pt>
                <c:pt idx="1">
                  <c:v>0.69</c:v>
                </c:pt>
                <c:pt idx="2">
                  <c:v>0.69</c:v>
                </c:pt>
                <c:pt idx="3">
                  <c:v>0.68</c:v>
                </c:pt>
                <c:pt idx="4">
                  <c:v>0.67</c:v>
                </c:pt>
                <c:pt idx="5">
                  <c:v>0.66</c:v>
                </c:pt>
                <c:pt idx="6">
                  <c:v>0.65</c:v>
                </c:pt>
                <c:pt idx="7">
                  <c:v>0.65</c:v>
                </c:pt>
                <c:pt idx="8">
                  <c:v>0.64</c:v>
                </c:pt>
                <c:pt idx="9">
                  <c:v>0.62</c:v>
                </c:pt>
                <c:pt idx="10">
                  <c:v>0.61</c:v>
                </c:pt>
                <c:pt idx="11">
                  <c:v>0.6</c:v>
                </c:pt>
                <c:pt idx="12">
                  <c:v>0.59</c:v>
                </c:pt>
                <c:pt idx="13">
                  <c:v>0.56000000000000005</c:v>
                </c:pt>
                <c:pt idx="14">
                  <c:v>0.53</c:v>
                </c:pt>
                <c:pt idx="15">
                  <c:v>0.49</c:v>
                </c:pt>
                <c:pt idx="16">
                  <c:v>0.41</c:v>
                </c:pt>
                <c:pt idx="17">
                  <c:v>0.34</c:v>
                </c:pt>
                <c:pt idx="18">
                  <c:v>0.28000000000000003</c:v>
                </c:pt>
                <c:pt idx="1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30-45AD-9567-CCDD79C65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04160"/>
        <c:axId val="613807440"/>
      </c:scatterChart>
      <c:valAx>
        <c:axId val="6138041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07440"/>
        <c:crosses val="autoZero"/>
        <c:crossBetween val="midCat"/>
      </c:valAx>
      <c:valAx>
        <c:axId val="613807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0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(415.51)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2187510936132983"/>
                  <c:y val="9.18157626130067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0.1619x</a:t>
                    </a:r>
                    <a:r>
                      <a:rPr lang="en-US" sz="1200" baseline="30000"/>
                      <a:t>0.4711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360'!$Z$37:$Z$56</c:f>
              <c:numCache>
                <c:formatCode>General</c:formatCode>
                <c:ptCount val="20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</c:numCache>
            </c:numRef>
          </c:xVal>
          <c:yVal>
            <c:numRef>
              <c:f>'Collected Data Site 360'!$AC$37:$AC$56</c:f>
              <c:numCache>
                <c:formatCode>General</c:formatCode>
                <c:ptCount val="20"/>
                <c:pt idx="0">
                  <c:v>0.5</c:v>
                </c:pt>
                <c:pt idx="1">
                  <c:v>0.49</c:v>
                </c:pt>
                <c:pt idx="2">
                  <c:v>0.48</c:v>
                </c:pt>
                <c:pt idx="3">
                  <c:v>0.47</c:v>
                </c:pt>
                <c:pt idx="4">
                  <c:v>0.46</c:v>
                </c:pt>
                <c:pt idx="5">
                  <c:v>0.44</c:v>
                </c:pt>
                <c:pt idx="6">
                  <c:v>0.43</c:v>
                </c:pt>
                <c:pt idx="7">
                  <c:v>0.39</c:v>
                </c:pt>
                <c:pt idx="8">
                  <c:v>0.37</c:v>
                </c:pt>
                <c:pt idx="9">
                  <c:v>0.33</c:v>
                </c:pt>
                <c:pt idx="10">
                  <c:v>0.32</c:v>
                </c:pt>
                <c:pt idx="11">
                  <c:v>0.3</c:v>
                </c:pt>
                <c:pt idx="12">
                  <c:v>0.28999999999999998</c:v>
                </c:pt>
                <c:pt idx="13">
                  <c:v>0.28000000000000003</c:v>
                </c:pt>
                <c:pt idx="14">
                  <c:v>0.26</c:v>
                </c:pt>
                <c:pt idx="15">
                  <c:v>0.24</c:v>
                </c:pt>
                <c:pt idx="16">
                  <c:v>0.22</c:v>
                </c:pt>
                <c:pt idx="17">
                  <c:v>0.19</c:v>
                </c:pt>
                <c:pt idx="18">
                  <c:v>0.17</c:v>
                </c:pt>
                <c:pt idx="19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BD-4023-A634-F0C8B7A33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71160"/>
        <c:axId val="618774112"/>
      </c:scatterChart>
      <c:valAx>
        <c:axId val="6187711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>
            <c:manualLayout>
              <c:xMode val="edge"/>
              <c:yMode val="edge"/>
              <c:x val="0.37317366579177602"/>
              <c:y val="0.8865740740740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74112"/>
        <c:crosses val="autoZero"/>
        <c:crossBetween val="midCat"/>
      </c:valAx>
      <c:valAx>
        <c:axId val="618774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7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(467.58)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9298337707786525E-2"/>
                  <c:y val="0.13379629629629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0.6795x</a:t>
                    </a:r>
                    <a:r>
                      <a:rPr lang="en-US" sz="1200" baseline="30000"/>
                      <a:t>0.1635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0.9705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360'!$B$62:$B$71</c:f>
              <c:numCache>
                <c:formatCode>General</c:formatCode>
                <c:ptCount val="10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  <c:pt idx="9">
                  <c:v>0.25</c:v>
                </c:pt>
              </c:numCache>
            </c:numRef>
          </c:xVal>
          <c:yVal>
            <c:numRef>
              <c:f>'Collected Data Site 360'!$E$62:$E$71</c:f>
              <c:numCache>
                <c:formatCode>General</c:formatCode>
                <c:ptCount val="10"/>
                <c:pt idx="0">
                  <c:v>0.81</c:v>
                </c:pt>
                <c:pt idx="1">
                  <c:v>0.79</c:v>
                </c:pt>
                <c:pt idx="2">
                  <c:v>0.77</c:v>
                </c:pt>
                <c:pt idx="3">
                  <c:v>0.74</c:v>
                </c:pt>
                <c:pt idx="4">
                  <c:v>0.72</c:v>
                </c:pt>
                <c:pt idx="5">
                  <c:v>0.69</c:v>
                </c:pt>
                <c:pt idx="6">
                  <c:v>0.66</c:v>
                </c:pt>
                <c:pt idx="7">
                  <c:v>0.64</c:v>
                </c:pt>
                <c:pt idx="8">
                  <c:v>0.6</c:v>
                </c:pt>
                <c:pt idx="9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C0-4182-A20F-8200514E8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24904"/>
        <c:axId val="637025232"/>
      </c:scatterChart>
      <c:valAx>
        <c:axId val="637024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25232"/>
        <c:crosses val="autoZero"/>
        <c:crossBetween val="midCat"/>
      </c:valAx>
      <c:valAx>
        <c:axId val="637025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2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(492.07)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96084864391951E-3"/>
                  <c:y val="0.129166666666666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0.684x</a:t>
                    </a:r>
                    <a:r>
                      <a:rPr lang="en-US" sz="1200" baseline="30000"/>
                      <a:t>0.1784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360'!$H$62:$H$79</c:f>
              <c:numCache>
                <c:formatCode>General</c:formatCode>
                <c:ptCount val="18"/>
                <c:pt idx="0">
                  <c:v>4.5</c:v>
                </c:pt>
                <c:pt idx="1">
                  <c:v>4.25</c:v>
                </c:pt>
                <c:pt idx="2">
                  <c:v>4</c:v>
                </c:pt>
                <c:pt idx="3">
                  <c:v>3.75</c:v>
                </c:pt>
                <c:pt idx="4">
                  <c:v>3.5</c:v>
                </c:pt>
                <c:pt idx="5">
                  <c:v>3.25</c:v>
                </c:pt>
                <c:pt idx="6">
                  <c:v>3</c:v>
                </c:pt>
                <c:pt idx="7">
                  <c:v>2.75</c:v>
                </c:pt>
                <c:pt idx="8">
                  <c:v>2.5</c:v>
                </c:pt>
                <c:pt idx="9">
                  <c:v>2.25</c:v>
                </c:pt>
                <c:pt idx="10">
                  <c:v>2</c:v>
                </c:pt>
                <c:pt idx="11">
                  <c:v>1.75</c:v>
                </c:pt>
                <c:pt idx="12">
                  <c:v>1.5</c:v>
                </c:pt>
                <c:pt idx="13">
                  <c:v>1.25</c:v>
                </c:pt>
                <c:pt idx="14">
                  <c:v>1</c:v>
                </c:pt>
                <c:pt idx="15">
                  <c:v>0.75</c:v>
                </c:pt>
                <c:pt idx="16">
                  <c:v>0.5</c:v>
                </c:pt>
                <c:pt idx="17">
                  <c:v>0.25</c:v>
                </c:pt>
              </c:numCache>
            </c:numRef>
          </c:xVal>
          <c:yVal>
            <c:numRef>
              <c:f>'Collected Data Site 360'!$K$62:$K$79</c:f>
              <c:numCache>
                <c:formatCode>General</c:formatCode>
                <c:ptCount val="18"/>
                <c:pt idx="0">
                  <c:v>0.9</c:v>
                </c:pt>
                <c:pt idx="1">
                  <c:v>0.89</c:v>
                </c:pt>
                <c:pt idx="2">
                  <c:v>0.88</c:v>
                </c:pt>
                <c:pt idx="3">
                  <c:v>0.87</c:v>
                </c:pt>
                <c:pt idx="4">
                  <c:v>0.86</c:v>
                </c:pt>
                <c:pt idx="5">
                  <c:v>0.85</c:v>
                </c:pt>
                <c:pt idx="6">
                  <c:v>0.84</c:v>
                </c:pt>
                <c:pt idx="7">
                  <c:v>0.82</c:v>
                </c:pt>
                <c:pt idx="8">
                  <c:v>0.81</c:v>
                </c:pt>
                <c:pt idx="9">
                  <c:v>0.8</c:v>
                </c:pt>
                <c:pt idx="10">
                  <c:v>0.77</c:v>
                </c:pt>
                <c:pt idx="11">
                  <c:v>0.75</c:v>
                </c:pt>
                <c:pt idx="12">
                  <c:v>0.72</c:v>
                </c:pt>
                <c:pt idx="13">
                  <c:v>0.7</c:v>
                </c:pt>
                <c:pt idx="14">
                  <c:v>0.67</c:v>
                </c:pt>
                <c:pt idx="15">
                  <c:v>0.63</c:v>
                </c:pt>
                <c:pt idx="16">
                  <c:v>0.6</c:v>
                </c:pt>
                <c:pt idx="17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CA-4216-9C29-8AC0E62CB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91272"/>
        <c:axId val="628591600"/>
      </c:scatterChart>
      <c:valAx>
        <c:axId val="628591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91600"/>
        <c:crosses val="autoZero"/>
        <c:crossBetween val="midCat"/>
      </c:valAx>
      <c:valAx>
        <c:axId val="628591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9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</a:t>
            </a:r>
            <a:r>
              <a:rPr lang="en-US" baseline="0"/>
              <a:t> vs Depth (512.02)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7469816272965878E-2"/>
                  <c:y val="0.212376057159521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0.5061x</a:t>
                    </a:r>
                    <a:r>
                      <a:rPr lang="en-US" sz="1200" baseline="30000"/>
                      <a:t>0.2426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0.9913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360'!$N$62:$N$79</c:f>
              <c:numCache>
                <c:formatCode>General</c:formatCode>
                <c:ptCount val="18"/>
                <c:pt idx="0">
                  <c:v>4.5</c:v>
                </c:pt>
                <c:pt idx="1">
                  <c:v>4.25</c:v>
                </c:pt>
                <c:pt idx="2">
                  <c:v>4</c:v>
                </c:pt>
                <c:pt idx="3">
                  <c:v>3.75</c:v>
                </c:pt>
                <c:pt idx="4">
                  <c:v>3.5</c:v>
                </c:pt>
                <c:pt idx="5">
                  <c:v>3.25</c:v>
                </c:pt>
                <c:pt idx="6">
                  <c:v>3</c:v>
                </c:pt>
                <c:pt idx="7">
                  <c:v>2.75</c:v>
                </c:pt>
                <c:pt idx="8">
                  <c:v>2.5</c:v>
                </c:pt>
                <c:pt idx="9">
                  <c:v>2.25</c:v>
                </c:pt>
                <c:pt idx="10">
                  <c:v>2</c:v>
                </c:pt>
                <c:pt idx="11">
                  <c:v>1.75</c:v>
                </c:pt>
                <c:pt idx="12">
                  <c:v>1.5</c:v>
                </c:pt>
                <c:pt idx="13">
                  <c:v>1.25</c:v>
                </c:pt>
                <c:pt idx="14">
                  <c:v>1</c:v>
                </c:pt>
                <c:pt idx="15">
                  <c:v>0.75</c:v>
                </c:pt>
                <c:pt idx="16">
                  <c:v>0.5</c:v>
                </c:pt>
                <c:pt idx="17">
                  <c:v>0.25</c:v>
                </c:pt>
              </c:numCache>
            </c:numRef>
          </c:xVal>
          <c:yVal>
            <c:numRef>
              <c:f>'Collected Data Site 360'!$Q$62:$Q$79</c:f>
              <c:numCache>
                <c:formatCode>General</c:formatCode>
                <c:ptCount val="18"/>
                <c:pt idx="0">
                  <c:v>0.73</c:v>
                </c:pt>
                <c:pt idx="1">
                  <c:v>0.72</c:v>
                </c:pt>
                <c:pt idx="2">
                  <c:v>0.71</c:v>
                </c:pt>
                <c:pt idx="3">
                  <c:v>0.7</c:v>
                </c:pt>
                <c:pt idx="4">
                  <c:v>0.69</c:v>
                </c:pt>
                <c:pt idx="5">
                  <c:v>0.68</c:v>
                </c:pt>
                <c:pt idx="6">
                  <c:v>0.66</c:v>
                </c:pt>
                <c:pt idx="7">
                  <c:v>0.65</c:v>
                </c:pt>
                <c:pt idx="8">
                  <c:v>0.64</c:v>
                </c:pt>
                <c:pt idx="9">
                  <c:v>0.62</c:v>
                </c:pt>
                <c:pt idx="10">
                  <c:v>0.6</c:v>
                </c:pt>
                <c:pt idx="11">
                  <c:v>0.57999999999999996</c:v>
                </c:pt>
                <c:pt idx="12">
                  <c:v>0.56000000000000005</c:v>
                </c:pt>
                <c:pt idx="13">
                  <c:v>0.52</c:v>
                </c:pt>
                <c:pt idx="14">
                  <c:v>0.49</c:v>
                </c:pt>
                <c:pt idx="15">
                  <c:v>0.46</c:v>
                </c:pt>
                <c:pt idx="16">
                  <c:v>0.42</c:v>
                </c:pt>
                <c:pt idx="17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AE-4093-ADC3-1A5EFFB3C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297440"/>
        <c:axId val="644306624"/>
      </c:scatterChart>
      <c:valAx>
        <c:axId val="644297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06624"/>
        <c:crosses val="autoZero"/>
        <c:crossBetween val="midCat"/>
      </c:valAx>
      <c:valAx>
        <c:axId val="64430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9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(24.07)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9965288713910754"/>
                  <c:y val="1.356226305045202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13.733x</a:t>
                    </a:r>
                    <a:r>
                      <a:rPr lang="en-US" sz="1200" baseline="30000"/>
                      <a:t>1.0585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0.931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360'!$B$6:$B$25</c:f>
              <c:numCache>
                <c:formatCode>General</c:formatCode>
                <c:ptCount val="20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</c:numCache>
            </c:numRef>
          </c:xVal>
          <c:yVal>
            <c:numRef>
              <c:f>'Collected Data Site 360'!$D$6:$D$25</c:f>
              <c:numCache>
                <c:formatCode>General</c:formatCode>
                <c:ptCount val="20"/>
                <c:pt idx="0">
                  <c:v>129.77999999999997</c:v>
                </c:pt>
                <c:pt idx="1">
                  <c:v>127.37000000000002</c:v>
                </c:pt>
                <c:pt idx="2">
                  <c:v>124.99000000000001</c:v>
                </c:pt>
                <c:pt idx="3">
                  <c:v>122.26</c:v>
                </c:pt>
                <c:pt idx="4">
                  <c:v>117.42999999999999</c:v>
                </c:pt>
                <c:pt idx="5">
                  <c:v>114.19999999999999</c:v>
                </c:pt>
                <c:pt idx="6">
                  <c:v>112.25999999999999</c:v>
                </c:pt>
                <c:pt idx="7">
                  <c:v>109.22</c:v>
                </c:pt>
                <c:pt idx="8">
                  <c:v>104.73</c:v>
                </c:pt>
                <c:pt idx="9">
                  <c:v>95.929999999999993</c:v>
                </c:pt>
                <c:pt idx="10">
                  <c:v>91.450000000000017</c:v>
                </c:pt>
                <c:pt idx="11">
                  <c:v>89.52</c:v>
                </c:pt>
                <c:pt idx="12">
                  <c:v>77.469999999999985</c:v>
                </c:pt>
                <c:pt idx="13">
                  <c:v>61.209999999999994</c:v>
                </c:pt>
                <c:pt idx="14">
                  <c:v>51.690000000000005</c:v>
                </c:pt>
                <c:pt idx="15">
                  <c:v>34.1</c:v>
                </c:pt>
                <c:pt idx="16">
                  <c:v>17.43</c:v>
                </c:pt>
                <c:pt idx="17">
                  <c:v>13.04</c:v>
                </c:pt>
                <c:pt idx="18">
                  <c:v>11.149999999999999</c:v>
                </c:pt>
                <c:pt idx="19">
                  <c:v>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98-4AC2-8521-20130A451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04160"/>
        <c:axId val="613807440"/>
      </c:scatterChart>
      <c:valAx>
        <c:axId val="6138041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07440"/>
        <c:crosses val="autoZero"/>
        <c:crossBetween val="midCat"/>
      </c:valAx>
      <c:valAx>
        <c:axId val="613807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0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(50.87)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2743066491688542"/>
                  <c:y val="0.101388888888888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11.014x</a:t>
                    </a:r>
                    <a:r>
                      <a:rPr lang="en-US" sz="1200" baseline="30000"/>
                      <a:t>0.7919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0.9707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360'!$H$6:$H$25</c:f>
              <c:numCache>
                <c:formatCode>General</c:formatCode>
                <c:ptCount val="20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</c:numCache>
            </c:numRef>
          </c:xVal>
          <c:yVal>
            <c:numRef>
              <c:f>'Collected Data Site 360'!$J$6:$J$25</c:f>
              <c:numCache>
                <c:formatCode>General</c:formatCode>
                <c:ptCount val="20"/>
                <c:pt idx="0">
                  <c:v>65.98</c:v>
                </c:pt>
                <c:pt idx="1">
                  <c:v>64.77</c:v>
                </c:pt>
                <c:pt idx="2">
                  <c:v>63.120000000000005</c:v>
                </c:pt>
                <c:pt idx="3">
                  <c:v>61.739999999999995</c:v>
                </c:pt>
                <c:pt idx="4">
                  <c:v>59.3</c:v>
                </c:pt>
                <c:pt idx="5">
                  <c:v>56.870000000000012</c:v>
                </c:pt>
                <c:pt idx="6">
                  <c:v>54.7</c:v>
                </c:pt>
                <c:pt idx="7">
                  <c:v>52.27</c:v>
                </c:pt>
                <c:pt idx="8">
                  <c:v>47.28</c:v>
                </c:pt>
                <c:pt idx="9">
                  <c:v>42.05</c:v>
                </c:pt>
                <c:pt idx="10">
                  <c:v>39.269999999999996</c:v>
                </c:pt>
                <c:pt idx="11">
                  <c:v>37</c:v>
                </c:pt>
                <c:pt idx="12">
                  <c:v>33.99</c:v>
                </c:pt>
                <c:pt idx="13">
                  <c:v>30.73</c:v>
                </c:pt>
                <c:pt idx="14">
                  <c:v>25.580000000000002</c:v>
                </c:pt>
                <c:pt idx="15">
                  <c:v>20.96</c:v>
                </c:pt>
                <c:pt idx="16">
                  <c:v>15.760000000000002</c:v>
                </c:pt>
                <c:pt idx="17">
                  <c:v>11.43</c:v>
                </c:pt>
                <c:pt idx="18">
                  <c:v>10.6</c:v>
                </c:pt>
                <c:pt idx="19">
                  <c:v>8.6199999999999992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C3-49EC-9417-D4FFA4B7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42048"/>
        <c:axId val="573944016"/>
      </c:scatterChart>
      <c:valAx>
        <c:axId val="573942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44016"/>
        <c:crosses val="autoZero"/>
        <c:crossBetween val="midCat"/>
      </c:valAx>
      <c:valAx>
        <c:axId val="573944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4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(113.56)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6631955380577429"/>
                  <c:y val="0.27268518518518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18.564x</a:t>
                    </a:r>
                    <a:r>
                      <a:rPr lang="en-US" sz="1200" baseline="30000"/>
                      <a:t>0.6478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0.9867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360'!$N$6:$N$25</c:f>
              <c:numCache>
                <c:formatCode>General</c:formatCode>
                <c:ptCount val="20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</c:numCache>
            </c:numRef>
          </c:xVal>
          <c:yVal>
            <c:numRef>
              <c:f>'Collected Data Site 360'!$P$6:$P$25</c:f>
              <c:numCache>
                <c:formatCode>General</c:formatCode>
                <c:ptCount val="20"/>
                <c:pt idx="0">
                  <c:v>84.66</c:v>
                </c:pt>
                <c:pt idx="1">
                  <c:v>81.969999999999985</c:v>
                </c:pt>
                <c:pt idx="2">
                  <c:v>75.48</c:v>
                </c:pt>
                <c:pt idx="3">
                  <c:v>73.099999999999994</c:v>
                </c:pt>
                <c:pt idx="4">
                  <c:v>70.509999999999991</c:v>
                </c:pt>
                <c:pt idx="5">
                  <c:v>68.319999999999993</c:v>
                </c:pt>
                <c:pt idx="6">
                  <c:v>67.260000000000005</c:v>
                </c:pt>
                <c:pt idx="7">
                  <c:v>65.039999999999992</c:v>
                </c:pt>
                <c:pt idx="8">
                  <c:v>62.62</c:v>
                </c:pt>
                <c:pt idx="9">
                  <c:v>54.13</c:v>
                </c:pt>
                <c:pt idx="10">
                  <c:v>49.14</c:v>
                </c:pt>
                <c:pt idx="11">
                  <c:v>45.73</c:v>
                </c:pt>
                <c:pt idx="12">
                  <c:v>42.510000000000005</c:v>
                </c:pt>
                <c:pt idx="13">
                  <c:v>40.249999999999993</c:v>
                </c:pt>
                <c:pt idx="14">
                  <c:v>39.51</c:v>
                </c:pt>
                <c:pt idx="15">
                  <c:v>32.760000000000005</c:v>
                </c:pt>
                <c:pt idx="16">
                  <c:v>30.099999999999998</c:v>
                </c:pt>
                <c:pt idx="17">
                  <c:v>27.36</c:v>
                </c:pt>
                <c:pt idx="18">
                  <c:v>20.619999999999997</c:v>
                </c:pt>
                <c:pt idx="19">
                  <c:v>10.47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1E-4700-8B0D-3B2C61896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73680"/>
        <c:axId val="578774664"/>
      </c:scatterChart>
      <c:valAx>
        <c:axId val="578773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74664"/>
        <c:crosses val="autoZero"/>
        <c:crossBetween val="midCat"/>
      </c:valAx>
      <c:valAx>
        <c:axId val="578774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7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(195.93)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3731189851268595E-2"/>
                  <c:y val="0.226388888888888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15.829x</a:t>
                    </a:r>
                    <a:r>
                      <a:rPr lang="en-US" sz="1200" baseline="30000"/>
                      <a:t>0.6582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0.9815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360'!$T$6:$T$23</c:f>
              <c:numCache>
                <c:formatCode>General</c:formatCode>
                <c:ptCount val="18"/>
                <c:pt idx="0">
                  <c:v>9</c:v>
                </c:pt>
                <c:pt idx="1">
                  <c:v>8.5</c:v>
                </c:pt>
                <c:pt idx="2">
                  <c:v>8</c:v>
                </c:pt>
                <c:pt idx="3">
                  <c:v>7.5</c:v>
                </c:pt>
                <c:pt idx="4">
                  <c:v>7</c:v>
                </c:pt>
                <c:pt idx="5">
                  <c:v>6.5</c:v>
                </c:pt>
                <c:pt idx="6">
                  <c:v>6</c:v>
                </c:pt>
                <c:pt idx="7">
                  <c:v>5.5</c:v>
                </c:pt>
                <c:pt idx="8">
                  <c:v>5</c:v>
                </c:pt>
                <c:pt idx="9">
                  <c:v>4.5</c:v>
                </c:pt>
                <c:pt idx="10">
                  <c:v>4</c:v>
                </c:pt>
                <c:pt idx="11">
                  <c:v>3.5</c:v>
                </c:pt>
                <c:pt idx="12">
                  <c:v>3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>
                  <c:v>0.5</c:v>
                </c:pt>
              </c:numCache>
            </c:numRef>
          </c:xVal>
          <c:yVal>
            <c:numRef>
              <c:f>'Collected Data Site 360'!$V$6:$V$23</c:f>
              <c:numCache>
                <c:formatCode>General</c:formatCode>
                <c:ptCount val="18"/>
                <c:pt idx="0">
                  <c:v>60.32</c:v>
                </c:pt>
                <c:pt idx="1">
                  <c:v>59.730000000000004</c:v>
                </c:pt>
                <c:pt idx="2">
                  <c:v>58.38</c:v>
                </c:pt>
                <c:pt idx="3">
                  <c:v>56.7</c:v>
                </c:pt>
                <c:pt idx="4">
                  <c:v>55.750000000000007</c:v>
                </c:pt>
                <c:pt idx="5">
                  <c:v>54.730000000000004</c:v>
                </c:pt>
                <c:pt idx="6">
                  <c:v>52.92</c:v>
                </c:pt>
                <c:pt idx="7">
                  <c:v>50.36</c:v>
                </c:pt>
                <c:pt idx="8">
                  <c:v>46.42</c:v>
                </c:pt>
                <c:pt idx="9">
                  <c:v>43.440000000000005</c:v>
                </c:pt>
                <c:pt idx="10">
                  <c:v>42.26</c:v>
                </c:pt>
                <c:pt idx="11">
                  <c:v>39.980000000000004</c:v>
                </c:pt>
                <c:pt idx="12">
                  <c:v>37.5</c:v>
                </c:pt>
                <c:pt idx="13">
                  <c:v>32.07</c:v>
                </c:pt>
                <c:pt idx="14">
                  <c:v>24.949999999999996</c:v>
                </c:pt>
                <c:pt idx="15">
                  <c:v>20.100000000000001</c:v>
                </c:pt>
                <c:pt idx="16">
                  <c:v>14.26</c:v>
                </c:pt>
                <c:pt idx="17">
                  <c:v>9.41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E4-4C5D-8FB4-8AD0F1F9A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08264"/>
        <c:axId val="622708920"/>
      </c:scatterChart>
      <c:valAx>
        <c:axId val="622708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08920"/>
        <c:crosses val="autoZero"/>
        <c:crossBetween val="midCat"/>
      </c:valAx>
      <c:valAx>
        <c:axId val="622708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0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(240.85)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7451881014873141"/>
                  <c:y val="-2.24839603382910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7.5659x</a:t>
                    </a:r>
                    <a:r>
                      <a:rPr lang="en-US" sz="1200" baseline="30000"/>
                      <a:t>0.5453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0.6937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360'!$Z$6:$Z$29</c:f>
              <c:numCache>
                <c:formatCode>General</c:formatCode>
                <c:ptCount val="24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  <c:pt idx="22">
                  <c:v>1</c:v>
                </c:pt>
                <c:pt idx="23">
                  <c:v>0.5</c:v>
                </c:pt>
              </c:numCache>
            </c:numRef>
          </c:xVal>
          <c:yVal>
            <c:numRef>
              <c:f>'Collected Data Site 360'!$AB$6:$AB$29</c:f>
              <c:numCache>
                <c:formatCode>General</c:formatCode>
                <c:ptCount val="24"/>
                <c:pt idx="0">
                  <c:v>49.180000000000007</c:v>
                </c:pt>
                <c:pt idx="1">
                  <c:v>45.910000000000004</c:v>
                </c:pt>
                <c:pt idx="2">
                  <c:v>40.889999999999993</c:v>
                </c:pt>
                <c:pt idx="3">
                  <c:v>37.040000000000013</c:v>
                </c:pt>
                <c:pt idx="4">
                  <c:v>32.78</c:v>
                </c:pt>
                <c:pt idx="5">
                  <c:v>28.46</c:v>
                </c:pt>
                <c:pt idx="6">
                  <c:v>25.939999999999998</c:v>
                </c:pt>
                <c:pt idx="7">
                  <c:v>24.13</c:v>
                </c:pt>
                <c:pt idx="8">
                  <c:v>23.080000000000002</c:v>
                </c:pt>
                <c:pt idx="9">
                  <c:v>21.73</c:v>
                </c:pt>
                <c:pt idx="10">
                  <c:v>19.700000000000003</c:v>
                </c:pt>
                <c:pt idx="11">
                  <c:v>16.600000000000001</c:v>
                </c:pt>
                <c:pt idx="12">
                  <c:v>14.02</c:v>
                </c:pt>
                <c:pt idx="13">
                  <c:v>12.57</c:v>
                </c:pt>
                <c:pt idx="14">
                  <c:v>12.33</c:v>
                </c:pt>
                <c:pt idx="15">
                  <c:v>11.43</c:v>
                </c:pt>
                <c:pt idx="16">
                  <c:v>11.43</c:v>
                </c:pt>
                <c:pt idx="17">
                  <c:v>11.28</c:v>
                </c:pt>
                <c:pt idx="18">
                  <c:v>11.21</c:v>
                </c:pt>
                <c:pt idx="19">
                  <c:v>11.12</c:v>
                </c:pt>
                <c:pt idx="20">
                  <c:v>10.9</c:v>
                </c:pt>
                <c:pt idx="21">
                  <c:v>10.77</c:v>
                </c:pt>
                <c:pt idx="22">
                  <c:v>10.309999999999999</c:v>
                </c:pt>
                <c:pt idx="23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89-4761-9F6F-E4770F836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34744"/>
        <c:axId val="363332776"/>
      </c:scatterChart>
      <c:valAx>
        <c:axId val="3633347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32776"/>
        <c:crosses val="autoZero"/>
        <c:crossBetween val="midCat"/>
      </c:valAx>
      <c:valAx>
        <c:axId val="363332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3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(284.25)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743963254593177"/>
                  <c:y val="-1.411781860600758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7.0254x</a:t>
                    </a:r>
                    <a:r>
                      <a:rPr lang="en-US" sz="1200" baseline="30000"/>
                      <a:t>0.678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0.7825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360'!$B$37:$B$54</c:f>
              <c:numCache>
                <c:formatCode>General</c:formatCode>
                <c:ptCount val="18"/>
                <c:pt idx="0">
                  <c:v>9</c:v>
                </c:pt>
                <c:pt idx="1">
                  <c:v>8.5</c:v>
                </c:pt>
                <c:pt idx="2">
                  <c:v>8</c:v>
                </c:pt>
                <c:pt idx="3">
                  <c:v>7.5</c:v>
                </c:pt>
                <c:pt idx="4">
                  <c:v>7</c:v>
                </c:pt>
                <c:pt idx="5">
                  <c:v>6.5</c:v>
                </c:pt>
                <c:pt idx="6">
                  <c:v>6</c:v>
                </c:pt>
                <c:pt idx="7">
                  <c:v>5.5</c:v>
                </c:pt>
                <c:pt idx="8">
                  <c:v>5</c:v>
                </c:pt>
                <c:pt idx="9">
                  <c:v>4.5</c:v>
                </c:pt>
                <c:pt idx="10">
                  <c:v>4</c:v>
                </c:pt>
                <c:pt idx="11">
                  <c:v>3.5</c:v>
                </c:pt>
                <c:pt idx="12">
                  <c:v>3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>
                  <c:v>0.5</c:v>
                </c:pt>
              </c:numCache>
            </c:numRef>
          </c:xVal>
          <c:yVal>
            <c:numRef>
              <c:f>'Collected Data Site 360'!$D$37:$D$54</c:f>
              <c:numCache>
                <c:formatCode>General</c:formatCode>
                <c:ptCount val="18"/>
                <c:pt idx="0">
                  <c:v>42.06</c:v>
                </c:pt>
                <c:pt idx="1">
                  <c:v>41.11</c:v>
                </c:pt>
                <c:pt idx="2">
                  <c:v>39.429999999999993</c:v>
                </c:pt>
                <c:pt idx="3">
                  <c:v>36.730000000000004</c:v>
                </c:pt>
                <c:pt idx="4">
                  <c:v>32.88000000000001</c:v>
                </c:pt>
                <c:pt idx="5">
                  <c:v>27.580000000000002</c:v>
                </c:pt>
                <c:pt idx="6">
                  <c:v>22.63</c:v>
                </c:pt>
                <c:pt idx="7">
                  <c:v>20.679999999999996</c:v>
                </c:pt>
                <c:pt idx="8">
                  <c:v>15.32</c:v>
                </c:pt>
                <c:pt idx="9">
                  <c:v>14.059999999999999</c:v>
                </c:pt>
                <c:pt idx="10">
                  <c:v>12.92</c:v>
                </c:pt>
                <c:pt idx="11">
                  <c:v>11.98</c:v>
                </c:pt>
                <c:pt idx="12">
                  <c:v>11.09</c:v>
                </c:pt>
                <c:pt idx="13">
                  <c:v>9.4600000000000009</c:v>
                </c:pt>
                <c:pt idx="14">
                  <c:v>9.25</c:v>
                </c:pt>
                <c:pt idx="15">
                  <c:v>8.86</c:v>
                </c:pt>
                <c:pt idx="16">
                  <c:v>8.4</c:v>
                </c:pt>
                <c:pt idx="17">
                  <c:v>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11-4939-B44A-5DD532CFF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44680"/>
        <c:axId val="623142384"/>
      </c:scatterChart>
      <c:valAx>
        <c:axId val="623144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42384"/>
        <c:crosses val="autoZero"/>
        <c:crossBetween val="midCat"/>
      </c:valAx>
      <c:valAx>
        <c:axId val="623142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4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(50.87)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2743066491688542"/>
                  <c:y val="0.101388888888888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0.3326x</a:t>
                    </a:r>
                    <a:r>
                      <a:rPr lang="en-US" sz="1200" baseline="30000"/>
                      <a:t>0.3785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0.9584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360'!$H$6:$H$25</c:f>
              <c:numCache>
                <c:formatCode>General</c:formatCode>
                <c:ptCount val="20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</c:numCache>
            </c:numRef>
          </c:xVal>
          <c:yVal>
            <c:numRef>
              <c:f>'Collected Data Site 360'!$K$6:$K$25</c:f>
              <c:numCache>
                <c:formatCode>General</c:formatCode>
                <c:ptCount val="20"/>
                <c:pt idx="0">
                  <c:v>0.73</c:v>
                </c:pt>
                <c:pt idx="1">
                  <c:v>0.73</c:v>
                </c:pt>
                <c:pt idx="2">
                  <c:v>0.72</c:v>
                </c:pt>
                <c:pt idx="3">
                  <c:v>0.71</c:v>
                </c:pt>
                <c:pt idx="4">
                  <c:v>0.7</c:v>
                </c:pt>
                <c:pt idx="5">
                  <c:v>0.7</c:v>
                </c:pt>
                <c:pt idx="6">
                  <c:v>0.68</c:v>
                </c:pt>
                <c:pt idx="7">
                  <c:v>0.68</c:v>
                </c:pt>
                <c:pt idx="8">
                  <c:v>0.67</c:v>
                </c:pt>
                <c:pt idx="9">
                  <c:v>0.65</c:v>
                </c:pt>
                <c:pt idx="10">
                  <c:v>0.64</c:v>
                </c:pt>
                <c:pt idx="11">
                  <c:v>0.62</c:v>
                </c:pt>
                <c:pt idx="12">
                  <c:v>0.61</c:v>
                </c:pt>
                <c:pt idx="13">
                  <c:v>0.57999999999999996</c:v>
                </c:pt>
                <c:pt idx="14">
                  <c:v>0.56000000000000005</c:v>
                </c:pt>
                <c:pt idx="15">
                  <c:v>0.52</c:v>
                </c:pt>
                <c:pt idx="16">
                  <c:v>0.44</c:v>
                </c:pt>
                <c:pt idx="17">
                  <c:v>0.38</c:v>
                </c:pt>
                <c:pt idx="18">
                  <c:v>0.31</c:v>
                </c:pt>
                <c:pt idx="19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3E-4BF3-BC76-9C93D476A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42048"/>
        <c:axId val="573944016"/>
      </c:scatterChart>
      <c:valAx>
        <c:axId val="573942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44016"/>
        <c:crosses val="autoZero"/>
        <c:crossBetween val="midCat"/>
      </c:valAx>
      <c:valAx>
        <c:axId val="573944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4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(310.01)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504899387576554"/>
                  <c:y val="3.334645669291338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8.6797x</a:t>
                    </a:r>
                    <a:r>
                      <a:rPr lang="en-US" sz="1200" baseline="30000"/>
                      <a:t>0.7154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0.6455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360'!$H$37:$H$52</c:f>
              <c:numCache>
                <c:formatCode>General</c:formatCode>
                <c:ptCount val="16"/>
                <c:pt idx="0">
                  <c:v>8</c:v>
                </c:pt>
                <c:pt idx="1">
                  <c:v>7.5</c:v>
                </c:pt>
                <c:pt idx="2">
                  <c:v>7</c:v>
                </c:pt>
                <c:pt idx="3">
                  <c:v>6.5</c:v>
                </c:pt>
                <c:pt idx="4">
                  <c:v>6</c:v>
                </c:pt>
                <c:pt idx="5">
                  <c:v>5.5</c:v>
                </c:pt>
                <c:pt idx="6">
                  <c:v>5</c:v>
                </c:pt>
                <c:pt idx="7">
                  <c:v>4.5</c:v>
                </c:pt>
                <c:pt idx="8">
                  <c:v>4</c:v>
                </c:pt>
                <c:pt idx="9">
                  <c:v>3.5</c:v>
                </c:pt>
                <c:pt idx="10">
                  <c:v>3</c:v>
                </c:pt>
                <c:pt idx="11">
                  <c:v>2.5</c:v>
                </c:pt>
                <c:pt idx="12">
                  <c:v>2</c:v>
                </c:pt>
                <c:pt idx="13">
                  <c:v>1.5</c:v>
                </c:pt>
                <c:pt idx="14">
                  <c:v>1</c:v>
                </c:pt>
                <c:pt idx="15">
                  <c:v>0.5</c:v>
                </c:pt>
              </c:numCache>
            </c:numRef>
          </c:xVal>
          <c:yVal>
            <c:numRef>
              <c:f>'Collected Data Site 360'!$J$37:$J$52</c:f>
              <c:numCache>
                <c:formatCode>General</c:formatCode>
                <c:ptCount val="16"/>
                <c:pt idx="0">
                  <c:v>66.430000000000007</c:v>
                </c:pt>
                <c:pt idx="1">
                  <c:v>62.810000000000009</c:v>
                </c:pt>
                <c:pt idx="2">
                  <c:v>56.980000000000004</c:v>
                </c:pt>
                <c:pt idx="3">
                  <c:v>46.259999999999991</c:v>
                </c:pt>
                <c:pt idx="4">
                  <c:v>37.11</c:v>
                </c:pt>
                <c:pt idx="5">
                  <c:v>26.07</c:v>
                </c:pt>
                <c:pt idx="6">
                  <c:v>19.740000000000002</c:v>
                </c:pt>
                <c:pt idx="7">
                  <c:v>16.53</c:v>
                </c:pt>
                <c:pt idx="8">
                  <c:v>15.180000000000001</c:v>
                </c:pt>
                <c:pt idx="9">
                  <c:v>13.790000000000001</c:v>
                </c:pt>
                <c:pt idx="10">
                  <c:v>11.83</c:v>
                </c:pt>
                <c:pt idx="11">
                  <c:v>11.12</c:v>
                </c:pt>
                <c:pt idx="12">
                  <c:v>10.93</c:v>
                </c:pt>
                <c:pt idx="13">
                  <c:v>10.84</c:v>
                </c:pt>
                <c:pt idx="14">
                  <c:v>10.67</c:v>
                </c:pt>
                <c:pt idx="15">
                  <c:v>10.42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D2-4A2A-9727-FFCF94765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01392"/>
        <c:axId val="624405000"/>
      </c:scatterChart>
      <c:valAx>
        <c:axId val="624401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05000"/>
        <c:crosses val="autoZero"/>
        <c:crossBetween val="midCat"/>
      </c:valAx>
      <c:valAx>
        <c:axId val="624405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(354.94)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5727121609798773"/>
                  <c:y val="1.001348789734616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10.533x</a:t>
                    </a:r>
                    <a:r>
                      <a:rPr lang="en-US" sz="1200" baseline="30000"/>
                      <a:t>0.4767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0.5125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360'!$N$37:$N$52</c:f>
              <c:numCache>
                <c:formatCode>General</c:formatCode>
                <c:ptCount val="16"/>
                <c:pt idx="0">
                  <c:v>8</c:v>
                </c:pt>
                <c:pt idx="1">
                  <c:v>7.5</c:v>
                </c:pt>
                <c:pt idx="2">
                  <c:v>7</c:v>
                </c:pt>
                <c:pt idx="3">
                  <c:v>6.5</c:v>
                </c:pt>
                <c:pt idx="4">
                  <c:v>6</c:v>
                </c:pt>
                <c:pt idx="5">
                  <c:v>5.5</c:v>
                </c:pt>
                <c:pt idx="6">
                  <c:v>5</c:v>
                </c:pt>
                <c:pt idx="7">
                  <c:v>4.5</c:v>
                </c:pt>
                <c:pt idx="8">
                  <c:v>4</c:v>
                </c:pt>
                <c:pt idx="9">
                  <c:v>3.5</c:v>
                </c:pt>
                <c:pt idx="10">
                  <c:v>3</c:v>
                </c:pt>
                <c:pt idx="11">
                  <c:v>2.5</c:v>
                </c:pt>
                <c:pt idx="12">
                  <c:v>2</c:v>
                </c:pt>
                <c:pt idx="13">
                  <c:v>1.5</c:v>
                </c:pt>
                <c:pt idx="14">
                  <c:v>1</c:v>
                </c:pt>
                <c:pt idx="15">
                  <c:v>0.5</c:v>
                </c:pt>
              </c:numCache>
            </c:numRef>
          </c:xVal>
          <c:yVal>
            <c:numRef>
              <c:f>'Collected Data Site 360'!$P$37:$P$52</c:f>
              <c:numCache>
                <c:formatCode>General</c:formatCode>
                <c:ptCount val="16"/>
                <c:pt idx="0">
                  <c:v>48.29999999999999</c:v>
                </c:pt>
                <c:pt idx="1">
                  <c:v>46.199999999999996</c:v>
                </c:pt>
                <c:pt idx="2">
                  <c:v>43.069999999999993</c:v>
                </c:pt>
                <c:pt idx="3">
                  <c:v>34.260000000000005</c:v>
                </c:pt>
                <c:pt idx="4">
                  <c:v>25.47</c:v>
                </c:pt>
                <c:pt idx="5">
                  <c:v>20.080000000000002</c:v>
                </c:pt>
                <c:pt idx="6">
                  <c:v>14.360000000000001</c:v>
                </c:pt>
                <c:pt idx="7">
                  <c:v>13.72</c:v>
                </c:pt>
                <c:pt idx="8">
                  <c:v>13.55</c:v>
                </c:pt>
                <c:pt idx="9">
                  <c:v>13.43</c:v>
                </c:pt>
                <c:pt idx="10">
                  <c:v>13.24</c:v>
                </c:pt>
                <c:pt idx="11">
                  <c:v>13.03</c:v>
                </c:pt>
                <c:pt idx="12">
                  <c:v>12.84</c:v>
                </c:pt>
                <c:pt idx="13">
                  <c:v>12.65</c:v>
                </c:pt>
                <c:pt idx="14">
                  <c:v>12.48</c:v>
                </c:pt>
                <c:pt idx="15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0-4B56-8489-6E44FBDC7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57808"/>
        <c:axId val="624459120"/>
      </c:scatterChart>
      <c:valAx>
        <c:axId val="624457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59120"/>
        <c:crosses val="autoZero"/>
        <c:crossBetween val="midCat"/>
      </c:valAx>
      <c:valAx>
        <c:axId val="624459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5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(393.06)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9965288713910763"/>
                  <c:y val="6.492782152230970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12.694x</a:t>
                    </a:r>
                    <a:r>
                      <a:rPr lang="en-US" sz="1200" baseline="30000"/>
                      <a:t>0.6239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0.9456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360'!$T$37:$T$56</c:f>
              <c:numCache>
                <c:formatCode>General</c:formatCode>
                <c:ptCount val="20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</c:numCache>
            </c:numRef>
          </c:xVal>
          <c:yVal>
            <c:numRef>
              <c:f>'Collected Data Site 360'!$V$37:$V$56</c:f>
              <c:numCache>
                <c:formatCode>General</c:formatCode>
                <c:ptCount val="20"/>
                <c:pt idx="0">
                  <c:v>53.3</c:v>
                </c:pt>
                <c:pt idx="1">
                  <c:v>52.400000000000006</c:v>
                </c:pt>
                <c:pt idx="2">
                  <c:v>51.32</c:v>
                </c:pt>
                <c:pt idx="3">
                  <c:v>50.95</c:v>
                </c:pt>
                <c:pt idx="4">
                  <c:v>50.18</c:v>
                </c:pt>
                <c:pt idx="5">
                  <c:v>48.989999999999995</c:v>
                </c:pt>
                <c:pt idx="6">
                  <c:v>45.59</c:v>
                </c:pt>
                <c:pt idx="7">
                  <c:v>42.289999999999992</c:v>
                </c:pt>
                <c:pt idx="8">
                  <c:v>39.58</c:v>
                </c:pt>
                <c:pt idx="9">
                  <c:v>37.299999999999997</c:v>
                </c:pt>
                <c:pt idx="10">
                  <c:v>34.4</c:v>
                </c:pt>
                <c:pt idx="11">
                  <c:v>30.85</c:v>
                </c:pt>
                <c:pt idx="12">
                  <c:v>29.01</c:v>
                </c:pt>
                <c:pt idx="13">
                  <c:v>26.29</c:v>
                </c:pt>
                <c:pt idx="14">
                  <c:v>23.650000000000002</c:v>
                </c:pt>
                <c:pt idx="15">
                  <c:v>20.8</c:v>
                </c:pt>
                <c:pt idx="16">
                  <c:v>17.61</c:v>
                </c:pt>
                <c:pt idx="17">
                  <c:v>12.07</c:v>
                </c:pt>
                <c:pt idx="18">
                  <c:v>11.95</c:v>
                </c:pt>
                <c:pt idx="19">
                  <c:v>11.86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41-4640-B02A-BD8A3A8F4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52232"/>
        <c:axId val="624453872"/>
      </c:scatterChart>
      <c:valAx>
        <c:axId val="624452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53872"/>
        <c:crosses val="autoZero"/>
        <c:crossBetween val="midCat"/>
      </c:valAx>
      <c:valAx>
        <c:axId val="62445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5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(415.51)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2744444444444446"/>
                  <c:y val="5.97222222222222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12.31x</a:t>
                    </a:r>
                    <a:r>
                      <a:rPr lang="en-US" sz="1200" baseline="30000"/>
                      <a:t>0.7057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0.9246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360'!$Z$37:$Z$56</c:f>
              <c:numCache>
                <c:formatCode>General</c:formatCode>
                <c:ptCount val="20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</c:numCache>
            </c:numRef>
          </c:xVal>
          <c:yVal>
            <c:numRef>
              <c:f>'Collected Data Site 360'!$AB$37:$AB$56</c:f>
              <c:numCache>
                <c:formatCode>General</c:formatCode>
                <c:ptCount val="20"/>
                <c:pt idx="0">
                  <c:v>66.489999999999995</c:v>
                </c:pt>
                <c:pt idx="1">
                  <c:v>65.679999999999993</c:v>
                </c:pt>
                <c:pt idx="2">
                  <c:v>64.86</c:v>
                </c:pt>
                <c:pt idx="3">
                  <c:v>62.86</c:v>
                </c:pt>
                <c:pt idx="4">
                  <c:v>61.24</c:v>
                </c:pt>
                <c:pt idx="5">
                  <c:v>59.040000000000006</c:v>
                </c:pt>
                <c:pt idx="6">
                  <c:v>57.25</c:v>
                </c:pt>
                <c:pt idx="7">
                  <c:v>50.39</c:v>
                </c:pt>
                <c:pt idx="8">
                  <c:v>43.6</c:v>
                </c:pt>
                <c:pt idx="9">
                  <c:v>35.54</c:v>
                </c:pt>
                <c:pt idx="10">
                  <c:v>33.230000000000004</c:v>
                </c:pt>
                <c:pt idx="11">
                  <c:v>31.34</c:v>
                </c:pt>
                <c:pt idx="12">
                  <c:v>28.61</c:v>
                </c:pt>
                <c:pt idx="13">
                  <c:v>25.79</c:v>
                </c:pt>
                <c:pt idx="14">
                  <c:v>22.11</c:v>
                </c:pt>
                <c:pt idx="15">
                  <c:v>18.759999999999998</c:v>
                </c:pt>
                <c:pt idx="16">
                  <c:v>16.22</c:v>
                </c:pt>
                <c:pt idx="17">
                  <c:v>15.1</c:v>
                </c:pt>
                <c:pt idx="18">
                  <c:v>13.57</c:v>
                </c:pt>
                <c:pt idx="19">
                  <c:v>11.16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04-46ED-AA16-D33C7588E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71160"/>
        <c:axId val="618774112"/>
      </c:scatterChart>
      <c:valAx>
        <c:axId val="6187711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>
            <c:manualLayout>
              <c:xMode val="edge"/>
              <c:yMode val="edge"/>
              <c:x val="0.37317366579177602"/>
              <c:y val="0.8865740740740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74112"/>
        <c:crosses val="autoZero"/>
        <c:crossBetween val="midCat"/>
      </c:valAx>
      <c:valAx>
        <c:axId val="618774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7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(467.58)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694444444444444E-2"/>
                  <c:y val="0.240857392825896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22.728x</a:t>
                    </a:r>
                    <a:r>
                      <a:rPr lang="en-US" sz="1200" baseline="30000"/>
                      <a:t>0.6031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0.8738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360'!$B$62:$B$71</c:f>
              <c:numCache>
                <c:formatCode>General</c:formatCode>
                <c:ptCount val="10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  <c:pt idx="9">
                  <c:v>0.25</c:v>
                </c:pt>
              </c:numCache>
            </c:numRef>
          </c:xVal>
          <c:yVal>
            <c:numRef>
              <c:f>'Collected Data Site 360'!$D$62:$D$71</c:f>
              <c:numCache>
                <c:formatCode>General</c:formatCode>
                <c:ptCount val="10"/>
                <c:pt idx="0">
                  <c:v>48.440000000000005</c:v>
                </c:pt>
                <c:pt idx="1">
                  <c:v>43.809999999999995</c:v>
                </c:pt>
                <c:pt idx="2">
                  <c:v>36.149999999999991</c:v>
                </c:pt>
                <c:pt idx="3">
                  <c:v>31.480000000000004</c:v>
                </c:pt>
                <c:pt idx="4">
                  <c:v>27.22</c:v>
                </c:pt>
                <c:pt idx="5">
                  <c:v>21.9</c:v>
                </c:pt>
                <c:pt idx="6">
                  <c:v>18.52</c:v>
                </c:pt>
                <c:pt idx="7">
                  <c:v>15.84</c:v>
                </c:pt>
                <c:pt idx="8">
                  <c:v>14.35</c:v>
                </c:pt>
                <c:pt idx="9">
                  <c:v>12.83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4D-42B6-A47C-479BCFE9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24904"/>
        <c:axId val="637025232"/>
      </c:scatterChart>
      <c:valAx>
        <c:axId val="637024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25232"/>
        <c:crosses val="autoZero"/>
        <c:crossBetween val="midCat"/>
      </c:valAx>
      <c:valAx>
        <c:axId val="637025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2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(492.07)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2623140857392827E-2"/>
                  <c:y val="6.89814814814814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40.126x</a:t>
                    </a:r>
                    <a:r>
                      <a:rPr lang="en-US" sz="1200" baseline="30000"/>
                      <a:t>0.5968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0.966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360'!$H$62:$H$79</c:f>
              <c:numCache>
                <c:formatCode>General</c:formatCode>
                <c:ptCount val="18"/>
                <c:pt idx="0">
                  <c:v>4.5</c:v>
                </c:pt>
                <c:pt idx="1">
                  <c:v>4.25</c:v>
                </c:pt>
                <c:pt idx="2">
                  <c:v>4</c:v>
                </c:pt>
                <c:pt idx="3">
                  <c:v>3.75</c:v>
                </c:pt>
                <c:pt idx="4">
                  <c:v>3.5</c:v>
                </c:pt>
                <c:pt idx="5">
                  <c:v>3.25</c:v>
                </c:pt>
                <c:pt idx="6">
                  <c:v>3</c:v>
                </c:pt>
                <c:pt idx="7">
                  <c:v>2.75</c:v>
                </c:pt>
                <c:pt idx="8">
                  <c:v>2.5</c:v>
                </c:pt>
                <c:pt idx="9">
                  <c:v>2.25</c:v>
                </c:pt>
                <c:pt idx="10">
                  <c:v>2</c:v>
                </c:pt>
                <c:pt idx="11">
                  <c:v>1.75</c:v>
                </c:pt>
                <c:pt idx="12">
                  <c:v>1.5</c:v>
                </c:pt>
                <c:pt idx="13">
                  <c:v>1.25</c:v>
                </c:pt>
                <c:pt idx="14">
                  <c:v>1</c:v>
                </c:pt>
                <c:pt idx="15">
                  <c:v>0.75</c:v>
                </c:pt>
                <c:pt idx="16">
                  <c:v>0.5</c:v>
                </c:pt>
                <c:pt idx="17">
                  <c:v>0.25</c:v>
                </c:pt>
              </c:numCache>
            </c:numRef>
          </c:xVal>
          <c:yVal>
            <c:numRef>
              <c:f>'Collected Data Site 360'!$J$62:$J$79</c:f>
              <c:numCache>
                <c:formatCode>General</c:formatCode>
                <c:ptCount val="18"/>
                <c:pt idx="0">
                  <c:v>87.039999999999992</c:v>
                </c:pt>
                <c:pt idx="1">
                  <c:v>86.060000000000016</c:v>
                </c:pt>
                <c:pt idx="2">
                  <c:v>85.160000000000011</c:v>
                </c:pt>
                <c:pt idx="3">
                  <c:v>83.039999999999992</c:v>
                </c:pt>
                <c:pt idx="4">
                  <c:v>81.34</c:v>
                </c:pt>
                <c:pt idx="5">
                  <c:v>79.89</c:v>
                </c:pt>
                <c:pt idx="6">
                  <c:v>78.489999999999995</c:v>
                </c:pt>
                <c:pt idx="7">
                  <c:v>76.3</c:v>
                </c:pt>
                <c:pt idx="8">
                  <c:v>74.31</c:v>
                </c:pt>
                <c:pt idx="9">
                  <c:v>71.829999999999984</c:v>
                </c:pt>
                <c:pt idx="10">
                  <c:v>67.800000000000011</c:v>
                </c:pt>
                <c:pt idx="11">
                  <c:v>62.400000000000013</c:v>
                </c:pt>
                <c:pt idx="12">
                  <c:v>58.249999999999993</c:v>
                </c:pt>
                <c:pt idx="13">
                  <c:v>49.379999999999995</c:v>
                </c:pt>
                <c:pt idx="14">
                  <c:v>42.170000000000009</c:v>
                </c:pt>
                <c:pt idx="15">
                  <c:v>30.999999999999996</c:v>
                </c:pt>
                <c:pt idx="16">
                  <c:v>22.510000000000005</c:v>
                </c:pt>
                <c:pt idx="17">
                  <c:v>17.05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EC-49A2-95D8-40FE57C06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91272"/>
        <c:axId val="628591600"/>
      </c:scatterChart>
      <c:valAx>
        <c:axId val="628591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91600"/>
        <c:crosses val="autoZero"/>
        <c:crossBetween val="midCat"/>
      </c:valAx>
      <c:valAx>
        <c:axId val="628591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9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</a:t>
            </a:r>
            <a:r>
              <a:rPr lang="en-US" baseline="0"/>
              <a:t> vs Width (512.02)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0898731408573925E-2"/>
                  <c:y val="-7.38743073782443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84.004x</a:t>
                    </a:r>
                    <a:r>
                      <a:rPr lang="en-US" sz="1200" baseline="30000"/>
                      <a:t>0.3533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360'!$N$62:$N$79</c:f>
              <c:numCache>
                <c:formatCode>General</c:formatCode>
                <c:ptCount val="18"/>
                <c:pt idx="0">
                  <c:v>4.5</c:v>
                </c:pt>
                <c:pt idx="1">
                  <c:v>4.25</c:v>
                </c:pt>
                <c:pt idx="2">
                  <c:v>4</c:v>
                </c:pt>
                <c:pt idx="3">
                  <c:v>3.75</c:v>
                </c:pt>
                <c:pt idx="4">
                  <c:v>3.5</c:v>
                </c:pt>
                <c:pt idx="5">
                  <c:v>3.25</c:v>
                </c:pt>
                <c:pt idx="6">
                  <c:v>3</c:v>
                </c:pt>
                <c:pt idx="7">
                  <c:v>2.75</c:v>
                </c:pt>
                <c:pt idx="8">
                  <c:v>2.5</c:v>
                </c:pt>
                <c:pt idx="9">
                  <c:v>2.25</c:v>
                </c:pt>
                <c:pt idx="10">
                  <c:v>2</c:v>
                </c:pt>
                <c:pt idx="11">
                  <c:v>1.75</c:v>
                </c:pt>
                <c:pt idx="12">
                  <c:v>1.5</c:v>
                </c:pt>
                <c:pt idx="13">
                  <c:v>1.25</c:v>
                </c:pt>
                <c:pt idx="14">
                  <c:v>1</c:v>
                </c:pt>
                <c:pt idx="15">
                  <c:v>0.75</c:v>
                </c:pt>
                <c:pt idx="16">
                  <c:v>0.5</c:v>
                </c:pt>
                <c:pt idx="17">
                  <c:v>0.25</c:v>
                </c:pt>
              </c:numCache>
            </c:numRef>
          </c:xVal>
          <c:yVal>
            <c:numRef>
              <c:f>'Collected Data Site 360'!$P$62:$P$79</c:f>
              <c:numCache>
                <c:formatCode>General</c:formatCode>
                <c:ptCount val="18"/>
                <c:pt idx="0">
                  <c:v>138.29</c:v>
                </c:pt>
                <c:pt idx="1">
                  <c:v>136.61000000000001</c:v>
                </c:pt>
                <c:pt idx="2">
                  <c:v>135.19000000000003</c:v>
                </c:pt>
                <c:pt idx="3">
                  <c:v>132.69000000000003</c:v>
                </c:pt>
                <c:pt idx="4">
                  <c:v>129.16</c:v>
                </c:pt>
                <c:pt idx="5">
                  <c:v>127.38999999999999</c:v>
                </c:pt>
                <c:pt idx="6">
                  <c:v>124.87</c:v>
                </c:pt>
                <c:pt idx="7">
                  <c:v>121.98</c:v>
                </c:pt>
                <c:pt idx="8">
                  <c:v>119.89999999999999</c:v>
                </c:pt>
                <c:pt idx="9">
                  <c:v>117.19999999999999</c:v>
                </c:pt>
                <c:pt idx="10">
                  <c:v>115.5</c:v>
                </c:pt>
                <c:pt idx="11">
                  <c:v>110.36</c:v>
                </c:pt>
                <c:pt idx="12">
                  <c:v>98.720000000000013</c:v>
                </c:pt>
                <c:pt idx="13">
                  <c:v>87.060000000000016</c:v>
                </c:pt>
                <c:pt idx="14">
                  <c:v>77.660000000000011</c:v>
                </c:pt>
                <c:pt idx="15">
                  <c:v>69.549999999999983</c:v>
                </c:pt>
                <c:pt idx="16">
                  <c:v>63.29</c:v>
                </c:pt>
                <c:pt idx="17">
                  <c:v>55.33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5D-4D4E-ABBE-9097FD2F1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297440"/>
        <c:axId val="644306624"/>
      </c:scatterChart>
      <c:valAx>
        <c:axId val="644297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06624"/>
        <c:crosses val="autoZero"/>
        <c:crossBetween val="midCat"/>
      </c:valAx>
      <c:valAx>
        <c:axId val="64430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9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(24.07)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1319553805774278E-2"/>
                  <c:y val="-1.164771070282881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2.3764x</a:t>
                    </a:r>
                    <a:r>
                      <a:rPr lang="en-US" sz="1200" baseline="30000"/>
                      <a:t>1.0236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0.9876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360'!$B$6:$B$25</c:f>
              <c:numCache>
                <c:formatCode>General</c:formatCode>
                <c:ptCount val="20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</c:numCache>
            </c:numRef>
          </c:xVal>
          <c:yVal>
            <c:numRef>
              <c:f>'Collected Data Site 360'!$C$6:$C$25</c:f>
              <c:numCache>
                <c:formatCode>General</c:formatCode>
                <c:ptCount val="20"/>
                <c:pt idx="0">
                  <c:v>23.21</c:v>
                </c:pt>
                <c:pt idx="1">
                  <c:v>22.229999999999997</c:v>
                </c:pt>
                <c:pt idx="2">
                  <c:v>21.373999999999999</c:v>
                </c:pt>
                <c:pt idx="3">
                  <c:v>20.430000000000003</c:v>
                </c:pt>
                <c:pt idx="4">
                  <c:v>19.899999999999999</c:v>
                </c:pt>
                <c:pt idx="5">
                  <c:v>18.580000000000005</c:v>
                </c:pt>
                <c:pt idx="6">
                  <c:v>17.700000000000003</c:v>
                </c:pt>
                <c:pt idx="7">
                  <c:v>16.68</c:v>
                </c:pt>
                <c:pt idx="8">
                  <c:v>15.75</c:v>
                </c:pt>
                <c:pt idx="9">
                  <c:v>14.449999999999996</c:v>
                </c:pt>
                <c:pt idx="10">
                  <c:v>13.28</c:v>
                </c:pt>
                <c:pt idx="11">
                  <c:v>12.29</c:v>
                </c:pt>
                <c:pt idx="12">
                  <c:v>10.97</c:v>
                </c:pt>
                <c:pt idx="13">
                  <c:v>9.18</c:v>
                </c:pt>
                <c:pt idx="14">
                  <c:v>7.839999999999999</c:v>
                </c:pt>
                <c:pt idx="15">
                  <c:v>5.95</c:v>
                </c:pt>
                <c:pt idx="16">
                  <c:v>3.93</c:v>
                </c:pt>
                <c:pt idx="17">
                  <c:v>2.9899999999999993</c:v>
                </c:pt>
                <c:pt idx="18">
                  <c:v>2.1999999999999997</c:v>
                </c:pt>
                <c:pt idx="19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A5-4ED1-A68D-D02A5C727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04160"/>
        <c:axId val="613807440"/>
      </c:scatterChart>
      <c:valAx>
        <c:axId val="6138041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07440"/>
        <c:crosses val="autoZero"/>
        <c:crossBetween val="midCat"/>
      </c:valAx>
      <c:valAx>
        <c:axId val="613807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0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(50.87)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965288713910761E-2"/>
                  <c:y val="-2.010680956547098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2.0494x</a:t>
                    </a:r>
                    <a:r>
                      <a:rPr lang="en-US" sz="1200" baseline="30000"/>
                      <a:t>0.8575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0.9902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360'!$H$6:$H$25</c:f>
              <c:numCache>
                <c:formatCode>General</c:formatCode>
                <c:ptCount val="20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</c:numCache>
            </c:numRef>
          </c:xVal>
          <c:yVal>
            <c:numRef>
              <c:f>'Collected Data Site 360'!$I$6:$I$25</c:f>
              <c:numCache>
                <c:formatCode>General</c:formatCode>
                <c:ptCount val="20"/>
                <c:pt idx="0">
                  <c:v>13.649999999999999</c:v>
                </c:pt>
                <c:pt idx="1">
                  <c:v>13.120000000000001</c:v>
                </c:pt>
                <c:pt idx="2">
                  <c:v>12.78</c:v>
                </c:pt>
                <c:pt idx="3">
                  <c:v>12.280000000000001</c:v>
                </c:pt>
                <c:pt idx="4">
                  <c:v>11.79</c:v>
                </c:pt>
                <c:pt idx="5">
                  <c:v>11.3</c:v>
                </c:pt>
                <c:pt idx="6">
                  <c:v>10.799999999999999</c:v>
                </c:pt>
                <c:pt idx="7">
                  <c:v>10.309999999999999</c:v>
                </c:pt>
                <c:pt idx="8">
                  <c:v>9.7799999999999994</c:v>
                </c:pt>
                <c:pt idx="9">
                  <c:v>9.08</c:v>
                </c:pt>
                <c:pt idx="10">
                  <c:v>8.5399999999999991</c:v>
                </c:pt>
                <c:pt idx="11">
                  <c:v>8</c:v>
                </c:pt>
                <c:pt idx="12">
                  <c:v>7.4699999999999989</c:v>
                </c:pt>
                <c:pt idx="13">
                  <c:v>6.629999999999999</c:v>
                </c:pt>
                <c:pt idx="14">
                  <c:v>5.88</c:v>
                </c:pt>
                <c:pt idx="15">
                  <c:v>4.8899999999999997</c:v>
                </c:pt>
                <c:pt idx="16">
                  <c:v>3.4699999999999998</c:v>
                </c:pt>
                <c:pt idx="17">
                  <c:v>2.6199999999999997</c:v>
                </c:pt>
                <c:pt idx="18">
                  <c:v>1.87</c:v>
                </c:pt>
                <c:pt idx="19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F1-4CC7-B8B6-DCF0F8CDE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42048"/>
        <c:axId val="573944016"/>
      </c:scatterChart>
      <c:valAx>
        <c:axId val="573942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44016"/>
        <c:crosses val="autoZero"/>
        <c:crossBetween val="midCat"/>
      </c:valAx>
      <c:valAx>
        <c:axId val="573944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4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(113.56)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354177602799652"/>
                  <c:y val="1.699730242053076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3.6311x</a:t>
                    </a:r>
                    <a:r>
                      <a:rPr lang="en-US" sz="1200" baseline="30000"/>
                      <a:t>0.8276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360'!$N$6:$N$25</c:f>
              <c:numCache>
                <c:formatCode>General</c:formatCode>
                <c:ptCount val="20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</c:numCache>
            </c:numRef>
          </c:xVal>
          <c:yVal>
            <c:numRef>
              <c:f>'Collected Data Site 360'!$O$6:$O$25</c:f>
              <c:numCache>
                <c:formatCode>General</c:formatCode>
                <c:ptCount val="20"/>
                <c:pt idx="0">
                  <c:v>23.37</c:v>
                </c:pt>
                <c:pt idx="1">
                  <c:v>22.509999999999998</c:v>
                </c:pt>
                <c:pt idx="2">
                  <c:v>21.490000000000006</c:v>
                </c:pt>
                <c:pt idx="3">
                  <c:v>20.69</c:v>
                </c:pt>
                <c:pt idx="4">
                  <c:v>19.830000000000002</c:v>
                </c:pt>
                <c:pt idx="5">
                  <c:v>18.569999999999997</c:v>
                </c:pt>
                <c:pt idx="6">
                  <c:v>18.180000000000003</c:v>
                </c:pt>
                <c:pt idx="7">
                  <c:v>17.239999999999995</c:v>
                </c:pt>
                <c:pt idx="8">
                  <c:v>16.3</c:v>
                </c:pt>
                <c:pt idx="9">
                  <c:v>15.049999999999997</c:v>
                </c:pt>
                <c:pt idx="10">
                  <c:v>13.959999999999999</c:v>
                </c:pt>
                <c:pt idx="11">
                  <c:v>13.05</c:v>
                </c:pt>
                <c:pt idx="12">
                  <c:v>12.05</c:v>
                </c:pt>
                <c:pt idx="13">
                  <c:v>10.92</c:v>
                </c:pt>
                <c:pt idx="14">
                  <c:v>9.81</c:v>
                </c:pt>
                <c:pt idx="15">
                  <c:v>8.23</c:v>
                </c:pt>
                <c:pt idx="16">
                  <c:v>6.4700000000000006</c:v>
                </c:pt>
                <c:pt idx="17">
                  <c:v>4.91</c:v>
                </c:pt>
                <c:pt idx="18">
                  <c:v>3.41</c:v>
                </c:pt>
                <c:pt idx="19">
                  <c:v>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07-4844-B7CF-7670EB27C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73680"/>
        <c:axId val="578774664"/>
      </c:scatterChart>
      <c:valAx>
        <c:axId val="578773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74664"/>
        <c:crosses val="autoZero"/>
        <c:crossBetween val="midCat"/>
      </c:valAx>
      <c:valAx>
        <c:axId val="578774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7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(113.56)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1319553805774278E-2"/>
                  <c:y val="0.263425925925925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0.3793x</a:t>
                    </a:r>
                    <a:r>
                      <a:rPr lang="en-US" sz="1200" baseline="30000"/>
                      <a:t>0.3612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0.9847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360'!$N$6:$N$25</c:f>
              <c:numCache>
                <c:formatCode>General</c:formatCode>
                <c:ptCount val="20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</c:numCache>
            </c:numRef>
          </c:xVal>
          <c:yVal>
            <c:numRef>
              <c:f>'Collected Data Site 360'!$Q$6:$Q$25</c:f>
              <c:numCache>
                <c:formatCode>General</c:formatCode>
                <c:ptCount val="20"/>
                <c:pt idx="0">
                  <c:v>0.83</c:v>
                </c:pt>
                <c:pt idx="1">
                  <c:v>0.82</c:v>
                </c:pt>
                <c:pt idx="2">
                  <c:v>0.81</c:v>
                </c:pt>
                <c:pt idx="3">
                  <c:v>0.8</c:v>
                </c:pt>
                <c:pt idx="4">
                  <c:v>0.79</c:v>
                </c:pt>
                <c:pt idx="5">
                  <c:v>0.77</c:v>
                </c:pt>
                <c:pt idx="6">
                  <c:v>0.76</c:v>
                </c:pt>
                <c:pt idx="7">
                  <c:v>0.75</c:v>
                </c:pt>
                <c:pt idx="8">
                  <c:v>0.74</c:v>
                </c:pt>
                <c:pt idx="9">
                  <c:v>0.72</c:v>
                </c:pt>
                <c:pt idx="10">
                  <c:v>0.69</c:v>
                </c:pt>
                <c:pt idx="11">
                  <c:v>0.67</c:v>
                </c:pt>
                <c:pt idx="12">
                  <c:v>0.65</c:v>
                </c:pt>
                <c:pt idx="13">
                  <c:v>0.62</c:v>
                </c:pt>
                <c:pt idx="14">
                  <c:v>0.59</c:v>
                </c:pt>
                <c:pt idx="15">
                  <c:v>0.56000000000000005</c:v>
                </c:pt>
                <c:pt idx="16">
                  <c:v>0.49</c:v>
                </c:pt>
                <c:pt idx="17">
                  <c:v>0.44</c:v>
                </c:pt>
                <c:pt idx="18">
                  <c:v>0.38</c:v>
                </c:pt>
                <c:pt idx="1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B9-4407-9A8E-4A014C0E6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73680"/>
        <c:axId val="578774664"/>
      </c:scatterChart>
      <c:valAx>
        <c:axId val="578773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74664"/>
        <c:crosses val="autoZero"/>
        <c:crossBetween val="midCat"/>
      </c:valAx>
      <c:valAx>
        <c:axId val="578774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7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(195.93)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6508967629046363E-2"/>
                  <c:y val="-1.292505103528725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3.1105x</a:t>
                    </a:r>
                    <a:r>
                      <a:rPr lang="en-US" sz="1200" baseline="30000"/>
                      <a:t>0.8544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0.9986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360'!$T$6:$T$23</c:f>
              <c:numCache>
                <c:formatCode>General</c:formatCode>
                <c:ptCount val="18"/>
                <c:pt idx="0">
                  <c:v>9</c:v>
                </c:pt>
                <c:pt idx="1">
                  <c:v>8.5</c:v>
                </c:pt>
                <c:pt idx="2">
                  <c:v>8</c:v>
                </c:pt>
                <c:pt idx="3">
                  <c:v>7.5</c:v>
                </c:pt>
                <c:pt idx="4">
                  <c:v>7</c:v>
                </c:pt>
                <c:pt idx="5">
                  <c:v>6.5</c:v>
                </c:pt>
                <c:pt idx="6">
                  <c:v>6</c:v>
                </c:pt>
                <c:pt idx="7">
                  <c:v>5.5</c:v>
                </c:pt>
                <c:pt idx="8">
                  <c:v>5</c:v>
                </c:pt>
                <c:pt idx="9">
                  <c:v>4.5</c:v>
                </c:pt>
                <c:pt idx="10">
                  <c:v>4</c:v>
                </c:pt>
                <c:pt idx="11">
                  <c:v>3.5</c:v>
                </c:pt>
                <c:pt idx="12">
                  <c:v>3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>
                  <c:v>0.5</c:v>
                </c:pt>
              </c:numCache>
            </c:numRef>
          </c:xVal>
          <c:yVal>
            <c:numRef>
              <c:f>'Collected Data Site 360'!$U$6:$U$23</c:f>
              <c:numCache>
                <c:formatCode>General</c:formatCode>
                <c:ptCount val="18"/>
                <c:pt idx="0">
                  <c:v>19.52</c:v>
                </c:pt>
                <c:pt idx="1">
                  <c:v>18.84</c:v>
                </c:pt>
                <c:pt idx="2">
                  <c:v>17.920000000000002</c:v>
                </c:pt>
                <c:pt idx="3">
                  <c:v>17.2</c:v>
                </c:pt>
                <c:pt idx="4">
                  <c:v>16.45</c:v>
                </c:pt>
                <c:pt idx="5">
                  <c:v>15.71</c:v>
                </c:pt>
                <c:pt idx="6">
                  <c:v>14.780000000000001</c:v>
                </c:pt>
                <c:pt idx="7">
                  <c:v>13.69</c:v>
                </c:pt>
                <c:pt idx="8">
                  <c:v>12.51</c:v>
                </c:pt>
                <c:pt idx="9">
                  <c:v>11.47</c:v>
                </c:pt>
                <c:pt idx="10">
                  <c:v>10.440000000000001</c:v>
                </c:pt>
                <c:pt idx="11">
                  <c:v>9.31</c:v>
                </c:pt>
                <c:pt idx="12">
                  <c:v>8.14</c:v>
                </c:pt>
                <c:pt idx="13">
                  <c:v>6.7299999999999995</c:v>
                </c:pt>
                <c:pt idx="14">
                  <c:v>5.3999999999999995</c:v>
                </c:pt>
                <c:pt idx="15">
                  <c:v>4.26</c:v>
                </c:pt>
                <c:pt idx="16">
                  <c:v>3.0599999999999996</c:v>
                </c:pt>
                <c:pt idx="17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AB-4574-A352-C566B61FA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08264"/>
        <c:axId val="622708920"/>
      </c:scatterChart>
      <c:valAx>
        <c:axId val="622708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08920"/>
        <c:crosses val="autoZero"/>
        <c:crossBetween val="midCat"/>
      </c:valAx>
      <c:valAx>
        <c:axId val="622708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0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(240.85)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963254593175854E-2"/>
                  <c:y val="-7.827755905511807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2.2889x</a:t>
                    </a:r>
                    <a:r>
                      <a:rPr lang="en-US" sz="1200" baseline="30000"/>
                      <a:t>0.6077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0.9836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360'!$Z$6:$Z$29</c:f>
              <c:numCache>
                <c:formatCode>General</c:formatCode>
                <c:ptCount val="24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  <c:pt idx="22">
                  <c:v>1</c:v>
                </c:pt>
                <c:pt idx="23">
                  <c:v>0.5</c:v>
                </c:pt>
              </c:numCache>
            </c:numRef>
          </c:xVal>
          <c:yVal>
            <c:numRef>
              <c:f>'Collected Data Site 360'!$AA$6:$AA$29</c:f>
              <c:numCache>
                <c:formatCode>General</c:formatCode>
                <c:ptCount val="24"/>
                <c:pt idx="0">
                  <c:v>11.74</c:v>
                </c:pt>
                <c:pt idx="1">
                  <c:v>11.17</c:v>
                </c:pt>
                <c:pt idx="2">
                  <c:v>10.48</c:v>
                </c:pt>
                <c:pt idx="3">
                  <c:v>9.9499999999999993</c:v>
                </c:pt>
                <c:pt idx="4">
                  <c:v>9.4500000000000011</c:v>
                </c:pt>
                <c:pt idx="5">
                  <c:v>8.7099999999999991</c:v>
                </c:pt>
                <c:pt idx="6">
                  <c:v>8.33</c:v>
                </c:pt>
                <c:pt idx="7">
                  <c:v>7.93</c:v>
                </c:pt>
                <c:pt idx="8">
                  <c:v>7.71</c:v>
                </c:pt>
                <c:pt idx="9">
                  <c:v>7.33</c:v>
                </c:pt>
                <c:pt idx="10">
                  <c:v>7.04</c:v>
                </c:pt>
                <c:pt idx="11">
                  <c:v>6.6899999999999995</c:v>
                </c:pt>
                <c:pt idx="12">
                  <c:v>6.3599999999999994</c:v>
                </c:pt>
                <c:pt idx="13">
                  <c:v>6.06</c:v>
                </c:pt>
                <c:pt idx="14">
                  <c:v>5.74</c:v>
                </c:pt>
                <c:pt idx="15">
                  <c:v>5.48</c:v>
                </c:pt>
                <c:pt idx="16">
                  <c:v>5.31</c:v>
                </c:pt>
                <c:pt idx="17">
                  <c:v>5.01</c:v>
                </c:pt>
                <c:pt idx="18">
                  <c:v>4.6500000000000004</c:v>
                </c:pt>
                <c:pt idx="19">
                  <c:v>4.25</c:v>
                </c:pt>
                <c:pt idx="20">
                  <c:v>3.74</c:v>
                </c:pt>
                <c:pt idx="21">
                  <c:v>3.19</c:v>
                </c:pt>
                <c:pt idx="22">
                  <c:v>2.44</c:v>
                </c:pt>
                <c:pt idx="23">
                  <c:v>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EE-4A92-A0D7-3821F4248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34744"/>
        <c:axId val="363332776"/>
      </c:scatterChart>
      <c:valAx>
        <c:axId val="3633347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32776"/>
        <c:crosses val="autoZero"/>
        <c:crossBetween val="midCat"/>
      </c:valAx>
      <c:valAx>
        <c:axId val="363332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Area (m^2)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3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(284.25)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6667760279965003E-2"/>
                  <c:y val="-6.69160104986876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1.4982x</a:t>
                    </a:r>
                    <a:r>
                      <a:rPr lang="en-US" sz="1200" baseline="30000"/>
                      <a:t>0.8779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0.9768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360'!$B$37:$B$54</c:f>
              <c:numCache>
                <c:formatCode>General</c:formatCode>
                <c:ptCount val="18"/>
                <c:pt idx="0">
                  <c:v>9</c:v>
                </c:pt>
                <c:pt idx="1">
                  <c:v>8.5</c:v>
                </c:pt>
                <c:pt idx="2">
                  <c:v>8</c:v>
                </c:pt>
                <c:pt idx="3">
                  <c:v>7.5</c:v>
                </c:pt>
                <c:pt idx="4">
                  <c:v>7</c:v>
                </c:pt>
                <c:pt idx="5">
                  <c:v>6.5</c:v>
                </c:pt>
                <c:pt idx="6">
                  <c:v>6</c:v>
                </c:pt>
                <c:pt idx="7">
                  <c:v>5.5</c:v>
                </c:pt>
                <c:pt idx="8">
                  <c:v>5</c:v>
                </c:pt>
                <c:pt idx="9">
                  <c:v>4.5</c:v>
                </c:pt>
                <c:pt idx="10">
                  <c:v>4</c:v>
                </c:pt>
                <c:pt idx="11">
                  <c:v>3.5</c:v>
                </c:pt>
                <c:pt idx="12">
                  <c:v>3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>
                  <c:v>0.5</c:v>
                </c:pt>
              </c:numCache>
            </c:numRef>
          </c:xVal>
          <c:yVal>
            <c:numRef>
              <c:f>'Collected Data Site 360'!$C$37:$C$54</c:f>
              <c:numCache>
                <c:formatCode>General</c:formatCode>
                <c:ptCount val="18"/>
                <c:pt idx="0">
                  <c:v>11.92</c:v>
                </c:pt>
                <c:pt idx="1">
                  <c:v>11.219999999999999</c:v>
                </c:pt>
                <c:pt idx="2">
                  <c:v>10.61</c:v>
                </c:pt>
                <c:pt idx="3">
                  <c:v>9.7899999999999974</c:v>
                </c:pt>
                <c:pt idx="4">
                  <c:v>9</c:v>
                </c:pt>
                <c:pt idx="5">
                  <c:v>7.85</c:v>
                </c:pt>
                <c:pt idx="6">
                  <c:v>6.8599999999999994</c:v>
                </c:pt>
                <c:pt idx="7">
                  <c:v>6.1</c:v>
                </c:pt>
                <c:pt idx="8">
                  <c:v>5.3500000000000005</c:v>
                </c:pt>
                <c:pt idx="9">
                  <c:v>4.8599999999999994</c:v>
                </c:pt>
                <c:pt idx="10">
                  <c:v>4.42</c:v>
                </c:pt>
                <c:pt idx="11">
                  <c:v>3.9699999999999998</c:v>
                </c:pt>
                <c:pt idx="12">
                  <c:v>3.61</c:v>
                </c:pt>
                <c:pt idx="13">
                  <c:v>3.14</c:v>
                </c:pt>
                <c:pt idx="14">
                  <c:v>2.67</c:v>
                </c:pt>
                <c:pt idx="15">
                  <c:v>2.2000000000000002</c:v>
                </c:pt>
                <c:pt idx="16">
                  <c:v>1.64</c:v>
                </c:pt>
                <c:pt idx="17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72-4B74-96CE-FDA58951A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44680"/>
        <c:axId val="623142384"/>
      </c:scatterChart>
      <c:valAx>
        <c:axId val="623144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42384"/>
        <c:crosses val="autoZero"/>
        <c:crossBetween val="midCat"/>
      </c:valAx>
      <c:valAx>
        <c:axId val="623142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4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(310.01)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986854768153981E-2"/>
                  <c:y val="-5.805191017789438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2.1937x</a:t>
                    </a:r>
                    <a:r>
                      <a:rPr lang="en-US" sz="1200" baseline="30000"/>
                      <a:t>0.817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0.9554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360'!$H$37:$H$52</c:f>
              <c:numCache>
                <c:formatCode>General</c:formatCode>
                <c:ptCount val="16"/>
                <c:pt idx="0">
                  <c:v>8</c:v>
                </c:pt>
                <c:pt idx="1">
                  <c:v>7.5</c:v>
                </c:pt>
                <c:pt idx="2">
                  <c:v>7</c:v>
                </c:pt>
                <c:pt idx="3">
                  <c:v>6.5</c:v>
                </c:pt>
                <c:pt idx="4">
                  <c:v>6</c:v>
                </c:pt>
                <c:pt idx="5">
                  <c:v>5.5</c:v>
                </c:pt>
                <c:pt idx="6">
                  <c:v>5</c:v>
                </c:pt>
                <c:pt idx="7">
                  <c:v>4.5</c:v>
                </c:pt>
                <c:pt idx="8">
                  <c:v>4</c:v>
                </c:pt>
                <c:pt idx="9">
                  <c:v>3.5</c:v>
                </c:pt>
                <c:pt idx="10">
                  <c:v>3</c:v>
                </c:pt>
                <c:pt idx="11">
                  <c:v>2.5</c:v>
                </c:pt>
                <c:pt idx="12">
                  <c:v>2</c:v>
                </c:pt>
                <c:pt idx="13">
                  <c:v>1.5</c:v>
                </c:pt>
                <c:pt idx="14">
                  <c:v>1</c:v>
                </c:pt>
                <c:pt idx="15">
                  <c:v>0.5</c:v>
                </c:pt>
              </c:numCache>
            </c:numRef>
          </c:xVal>
          <c:yVal>
            <c:numRef>
              <c:f>'Collected Data Site 360'!$I$37:$I$52</c:f>
              <c:numCache>
                <c:formatCode>General</c:formatCode>
                <c:ptCount val="16"/>
                <c:pt idx="0">
                  <c:v>15.169999999999998</c:v>
                </c:pt>
                <c:pt idx="1">
                  <c:v>13.92</c:v>
                </c:pt>
                <c:pt idx="2">
                  <c:v>12.599999999999996</c:v>
                </c:pt>
                <c:pt idx="3">
                  <c:v>11</c:v>
                </c:pt>
                <c:pt idx="4">
                  <c:v>9.5499999999999989</c:v>
                </c:pt>
                <c:pt idx="5">
                  <c:v>8.19</c:v>
                </c:pt>
                <c:pt idx="6">
                  <c:v>7.2</c:v>
                </c:pt>
                <c:pt idx="7">
                  <c:v>6.37</c:v>
                </c:pt>
                <c:pt idx="8">
                  <c:v>5.87</c:v>
                </c:pt>
                <c:pt idx="9">
                  <c:v>5.26</c:v>
                </c:pt>
                <c:pt idx="10">
                  <c:v>4.74</c:v>
                </c:pt>
                <c:pt idx="11">
                  <c:v>4.1900000000000004</c:v>
                </c:pt>
                <c:pt idx="12">
                  <c:v>3.64</c:v>
                </c:pt>
                <c:pt idx="13">
                  <c:v>3.06</c:v>
                </c:pt>
                <c:pt idx="14">
                  <c:v>2.37</c:v>
                </c:pt>
                <c:pt idx="1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E3-4AE2-85FF-2B2117D7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01392"/>
        <c:axId val="624405000"/>
      </c:scatterChart>
      <c:valAx>
        <c:axId val="624401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05000"/>
        <c:crosses val="autoZero"/>
        <c:crossBetween val="midCat"/>
      </c:valAx>
      <c:valAx>
        <c:axId val="624405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(354.94)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6871894138232721"/>
                  <c:y val="-4.850174978127733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1.2434x</a:t>
                    </a:r>
                    <a:r>
                      <a:rPr lang="en-US" sz="1200" baseline="30000"/>
                      <a:t>1.0271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0.9894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360'!$N$37:$N$52</c:f>
              <c:numCache>
                <c:formatCode>General</c:formatCode>
                <c:ptCount val="16"/>
                <c:pt idx="0">
                  <c:v>8</c:v>
                </c:pt>
                <c:pt idx="1">
                  <c:v>7.5</c:v>
                </c:pt>
                <c:pt idx="2">
                  <c:v>7</c:v>
                </c:pt>
                <c:pt idx="3">
                  <c:v>6.5</c:v>
                </c:pt>
                <c:pt idx="4">
                  <c:v>6</c:v>
                </c:pt>
                <c:pt idx="5">
                  <c:v>5.5</c:v>
                </c:pt>
                <c:pt idx="6">
                  <c:v>5</c:v>
                </c:pt>
                <c:pt idx="7">
                  <c:v>4.5</c:v>
                </c:pt>
                <c:pt idx="8">
                  <c:v>4</c:v>
                </c:pt>
                <c:pt idx="9">
                  <c:v>3.5</c:v>
                </c:pt>
                <c:pt idx="10">
                  <c:v>3</c:v>
                </c:pt>
                <c:pt idx="11">
                  <c:v>2.5</c:v>
                </c:pt>
                <c:pt idx="12">
                  <c:v>2</c:v>
                </c:pt>
                <c:pt idx="13">
                  <c:v>1.5</c:v>
                </c:pt>
                <c:pt idx="14">
                  <c:v>1</c:v>
                </c:pt>
                <c:pt idx="15">
                  <c:v>0.5</c:v>
                </c:pt>
              </c:numCache>
            </c:numRef>
          </c:xVal>
          <c:yVal>
            <c:numRef>
              <c:f>'Collected Data Site 360'!$O$37:$O$52</c:f>
              <c:numCache>
                <c:formatCode>General</c:formatCode>
                <c:ptCount val="16"/>
                <c:pt idx="0">
                  <c:v>11.77</c:v>
                </c:pt>
                <c:pt idx="1">
                  <c:v>11.069999999999999</c:v>
                </c:pt>
                <c:pt idx="2">
                  <c:v>10.31</c:v>
                </c:pt>
                <c:pt idx="3">
                  <c:v>9.0299999999999976</c:v>
                </c:pt>
                <c:pt idx="4">
                  <c:v>7.9799999999999986</c:v>
                </c:pt>
                <c:pt idx="5">
                  <c:v>6.8400000000000007</c:v>
                </c:pt>
                <c:pt idx="6">
                  <c:v>5.84</c:v>
                </c:pt>
                <c:pt idx="7">
                  <c:v>5.28</c:v>
                </c:pt>
                <c:pt idx="8">
                  <c:v>4.72</c:v>
                </c:pt>
                <c:pt idx="9">
                  <c:v>4.24</c:v>
                </c:pt>
                <c:pt idx="10">
                  <c:v>3.61</c:v>
                </c:pt>
                <c:pt idx="11">
                  <c:v>3.01</c:v>
                </c:pt>
                <c:pt idx="12">
                  <c:v>2.4500000000000002</c:v>
                </c:pt>
                <c:pt idx="13">
                  <c:v>1.86</c:v>
                </c:pt>
                <c:pt idx="14">
                  <c:v>1.25</c:v>
                </c:pt>
                <c:pt idx="15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90-4AD6-B697-A161F8C09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57808"/>
        <c:axId val="624459120"/>
      </c:scatterChart>
      <c:valAx>
        <c:axId val="624457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59120"/>
        <c:crosses val="autoZero"/>
        <c:crossBetween val="midCat"/>
      </c:valAx>
      <c:valAx>
        <c:axId val="624459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5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(393.06)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6694663167104113E-2"/>
                  <c:y val="-1.324948964712744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2.2932x</a:t>
                    </a:r>
                    <a:r>
                      <a:rPr lang="en-US" sz="1200" baseline="30000"/>
                      <a:t>0.903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0.9701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360'!$T$37:$T$56</c:f>
              <c:numCache>
                <c:formatCode>General</c:formatCode>
                <c:ptCount val="20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</c:numCache>
            </c:numRef>
          </c:xVal>
          <c:yVal>
            <c:numRef>
              <c:f>'Collected Data Site 360'!$U$37:$U$56</c:f>
              <c:numCache>
                <c:formatCode>General</c:formatCode>
                <c:ptCount val="20"/>
                <c:pt idx="0">
                  <c:v>18.86</c:v>
                </c:pt>
                <c:pt idx="1">
                  <c:v>18.190000000000001</c:v>
                </c:pt>
                <c:pt idx="2">
                  <c:v>17.72</c:v>
                </c:pt>
                <c:pt idx="3">
                  <c:v>17.119999999999997</c:v>
                </c:pt>
                <c:pt idx="4">
                  <c:v>16.420000000000002</c:v>
                </c:pt>
                <c:pt idx="5">
                  <c:v>15.760000000000002</c:v>
                </c:pt>
                <c:pt idx="6">
                  <c:v>14.87</c:v>
                </c:pt>
                <c:pt idx="7">
                  <c:v>13.62</c:v>
                </c:pt>
                <c:pt idx="8">
                  <c:v>12.26</c:v>
                </c:pt>
                <c:pt idx="9">
                  <c:v>10.790000000000001</c:v>
                </c:pt>
                <c:pt idx="10">
                  <c:v>9.129999999999999</c:v>
                </c:pt>
                <c:pt idx="11">
                  <c:v>7.9899999999999993</c:v>
                </c:pt>
                <c:pt idx="12">
                  <c:v>7.02</c:v>
                </c:pt>
                <c:pt idx="13">
                  <c:v>6.1300000000000008</c:v>
                </c:pt>
                <c:pt idx="14">
                  <c:v>5.2099999999999991</c:v>
                </c:pt>
                <c:pt idx="15">
                  <c:v>4.47</c:v>
                </c:pt>
                <c:pt idx="16">
                  <c:v>3.6999999999999988</c:v>
                </c:pt>
                <c:pt idx="17">
                  <c:v>2.95</c:v>
                </c:pt>
                <c:pt idx="18">
                  <c:v>2.41</c:v>
                </c:pt>
                <c:pt idx="19">
                  <c:v>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92-432D-9B20-726844A0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52232"/>
        <c:axId val="624453872"/>
      </c:scatterChart>
      <c:valAx>
        <c:axId val="624452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53872"/>
        <c:crosses val="autoZero"/>
        <c:crossBetween val="midCat"/>
      </c:valAx>
      <c:valAx>
        <c:axId val="62445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5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(415.51)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7430664916885383E-2"/>
                  <c:y val="-3.964275298920968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0.9897x</a:t>
                    </a:r>
                    <a:r>
                      <a:rPr lang="en-US" sz="1200" baseline="30000"/>
                      <a:t>1.0809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0.9548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360'!$Z$37:$Z$56</c:f>
              <c:numCache>
                <c:formatCode>General</c:formatCode>
                <c:ptCount val="20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</c:numCache>
            </c:numRef>
          </c:xVal>
          <c:yVal>
            <c:numRef>
              <c:f>'Collected Data Site 360'!$AA$37:$AA$56</c:f>
              <c:numCache>
                <c:formatCode>General</c:formatCode>
                <c:ptCount val="20"/>
                <c:pt idx="0">
                  <c:v>14.23</c:v>
                </c:pt>
                <c:pt idx="1">
                  <c:v>13.469999999999999</c:v>
                </c:pt>
                <c:pt idx="2">
                  <c:v>12.75</c:v>
                </c:pt>
                <c:pt idx="3">
                  <c:v>12.030000000000001</c:v>
                </c:pt>
                <c:pt idx="4">
                  <c:v>11.18</c:v>
                </c:pt>
                <c:pt idx="5">
                  <c:v>10.29</c:v>
                </c:pt>
                <c:pt idx="6">
                  <c:v>9.19</c:v>
                </c:pt>
                <c:pt idx="7">
                  <c:v>7.66</c:v>
                </c:pt>
                <c:pt idx="8">
                  <c:v>6.18</c:v>
                </c:pt>
                <c:pt idx="9">
                  <c:v>4.8</c:v>
                </c:pt>
                <c:pt idx="10">
                  <c:v>4.33</c:v>
                </c:pt>
                <c:pt idx="11">
                  <c:v>3.98</c:v>
                </c:pt>
                <c:pt idx="12">
                  <c:v>3.58</c:v>
                </c:pt>
                <c:pt idx="13">
                  <c:v>3.1900000000000004</c:v>
                </c:pt>
                <c:pt idx="14">
                  <c:v>2.76</c:v>
                </c:pt>
                <c:pt idx="15">
                  <c:v>2.27</c:v>
                </c:pt>
                <c:pt idx="16">
                  <c:v>1.9000000000000001</c:v>
                </c:pt>
                <c:pt idx="17">
                  <c:v>1.52</c:v>
                </c:pt>
                <c:pt idx="18">
                  <c:v>1.1199999999999999</c:v>
                </c:pt>
                <c:pt idx="19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9-463C-AE6C-52676504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71160"/>
        <c:axId val="618774112"/>
      </c:scatterChart>
      <c:valAx>
        <c:axId val="6187711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>
            <c:manualLayout>
              <c:xMode val="edge"/>
              <c:yMode val="edge"/>
              <c:x val="0.37317366579177602"/>
              <c:y val="0.8865740740740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74112"/>
        <c:crosses val="autoZero"/>
        <c:crossBetween val="midCat"/>
      </c:valAx>
      <c:valAx>
        <c:axId val="618774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7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(467.58)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1944444444444445E-2"/>
                  <c:y val="-7.436023622047244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6.3074x</a:t>
                    </a:r>
                    <a:r>
                      <a:rPr lang="en-US" sz="1200" baseline="30000"/>
                      <a:t>0.3897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0.9243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360'!$B$62:$B$71</c:f>
              <c:numCache>
                <c:formatCode>General</c:formatCode>
                <c:ptCount val="10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  <c:pt idx="9">
                  <c:v>0.25</c:v>
                </c:pt>
              </c:numCache>
            </c:numRef>
          </c:xVal>
          <c:yVal>
            <c:numRef>
              <c:f>'Collected Data Site 360'!$C$62:$C$71</c:f>
              <c:numCache>
                <c:formatCode>General</c:formatCode>
                <c:ptCount val="10"/>
                <c:pt idx="0">
                  <c:v>10.059999999999999</c:v>
                </c:pt>
                <c:pt idx="1">
                  <c:v>9.3599999999999977</c:v>
                </c:pt>
                <c:pt idx="2">
                  <c:v>8.57</c:v>
                </c:pt>
                <c:pt idx="3">
                  <c:v>7.7</c:v>
                </c:pt>
                <c:pt idx="4">
                  <c:v>6.9499999999999993</c:v>
                </c:pt>
                <c:pt idx="5">
                  <c:v>6.34</c:v>
                </c:pt>
                <c:pt idx="6">
                  <c:v>5.74</c:v>
                </c:pt>
                <c:pt idx="7">
                  <c:v>5.25</c:v>
                </c:pt>
                <c:pt idx="8">
                  <c:v>4.71</c:v>
                </c:pt>
                <c:pt idx="9">
                  <c:v>4.16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A2-40AE-BE38-E944101A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24904"/>
        <c:axId val="637025232"/>
      </c:scatterChart>
      <c:valAx>
        <c:axId val="637024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25232"/>
        <c:crosses val="autoZero"/>
        <c:crossBetween val="midCat"/>
      </c:valAx>
      <c:valAx>
        <c:axId val="637025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2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(492.07)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6265748031496063E-2"/>
                  <c:y val="-4.735199766695829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8.0845x</a:t>
                    </a:r>
                    <a:r>
                      <a:rPr lang="en-US" sz="1200" baseline="30000"/>
                      <a:t>0.6823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0.9747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360'!$H$62:$H$79</c:f>
              <c:numCache>
                <c:formatCode>General</c:formatCode>
                <c:ptCount val="18"/>
                <c:pt idx="0">
                  <c:v>4.5</c:v>
                </c:pt>
                <c:pt idx="1">
                  <c:v>4.25</c:v>
                </c:pt>
                <c:pt idx="2">
                  <c:v>4</c:v>
                </c:pt>
                <c:pt idx="3">
                  <c:v>3.75</c:v>
                </c:pt>
                <c:pt idx="4">
                  <c:v>3.5</c:v>
                </c:pt>
                <c:pt idx="5">
                  <c:v>3.25</c:v>
                </c:pt>
                <c:pt idx="6">
                  <c:v>3</c:v>
                </c:pt>
                <c:pt idx="7">
                  <c:v>2.75</c:v>
                </c:pt>
                <c:pt idx="8">
                  <c:v>2.5</c:v>
                </c:pt>
                <c:pt idx="9">
                  <c:v>2.25</c:v>
                </c:pt>
                <c:pt idx="10">
                  <c:v>2</c:v>
                </c:pt>
                <c:pt idx="11">
                  <c:v>1.75</c:v>
                </c:pt>
                <c:pt idx="12">
                  <c:v>1.5</c:v>
                </c:pt>
                <c:pt idx="13">
                  <c:v>1.25</c:v>
                </c:pt>
                <c:pt idx="14">
                  <c:v>1</c:v>
                </c:pt>
                <c:pt idx="15">
                  <c:v>0.75</c:v>
                </c:pt>
                <c:pt idx="16">
                  <c:v>0.5</c:v>
                </c:pt>
                <c:pt idx="17">
                  <c:v>0.25</c:v>
                </c:pt>
              </c:numCache>
            </c:numRef>
          </c:xVal>
          <c:yVal>
            <c:numRef>
              <c:f>'Collected Data Site 360'!$I$62:$I$79</c:f>
              <c:numCache>
                <c:formatCode>General</c:formatCode>
                <c:ptCount val="18"/>
                <c:pt idx="0">
                  <c:v>22.919999999999998</c:v>
                </c:pt>
                <c:pt idx="1">
                  <c:v>22.139999999999997</c:v>
                </c:pt>
                <c:pt idx="2">
                  <c:v>21.34</c:v>
                </c:pt>
                <c:pt idx="3">
                  <c:v>20.46</c:v>
                </c:pt>
                <c:pt idx="4">
                  <c:v>19.589999999999996</c:v>
                </c:pt>
                <c:pt idx="5">
                  <c:v>18.769999999999996</c:v>
                </c:pt>
                <c:pt idx="6">
                  <c:v>17.869999999999997</c:v>
                </c:pt>
                <c:pt idx="7">
                  <c:v>16.670000000000002</c:v>
                </c:pt>
                <c:pt idx="8">
                  <c:v>15.58</c:v>
                </c:pt>
                <c:pt idx="9">
                  <c:v>14.499999999999998</c:v>
                </c:pt>
                <c:pt idx="10">
                  <c:v>13.02</c:v>
                </c:pt>
                <c:pt idx="11">
                  <c:v>11.419999999999996</c:v>
                </c:pt>
                <c:pt idx="12">
                  <c:v>9.9699999999999989</c:v>
                </c:pt>
                <c:pt idx="13">
                  <c:v>8.3699999999999974</c:v>
                </c:pt>
                <c:pt idx="14">
                  <c:v>7.0199999999999987</c:v>
                </c:pt>
                <c:pt idx="15">
                  <c:v>5.8599999999999994</c:v>
                </c:pt>
                <c:pt idx="16">
                  <c:v>4.7299999999999995</c:v>
                </c:pt>
                <c:pt idx="17">
                  <c:v>4.0399999999999991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FA-4DD5-B517-734C9B939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91272"/>
        <c:axId val="628591600"/>
      </c:scatterChart>
      <c:valAx>
        <c:axId val="628591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91600"/>
        <c:crosses val="autoZero"/>
        <c:crossBetween val="midCat"/>
      </c:valAx>
      <c:valAx>
        <c:axId val="628591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9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</a:t>
            </a:r>
            <a:r>
              <a:rPr lang="en-US" baseline="0"/>
              <a:t> vs Area (512.02)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459908136482941"/>
                  <c:y val="3.038349372995042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15.883x</a:t>
                    </a:r>
                    <a:r>
                      <a:rPr lang="en-US" sz="1200" baseline="30000"/>
                      <a:t>0.6399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360'!$N$62:$N$79</c:f>
              <c:numCache>
                <c:formatCode>General</c:formatCode>
                <c:ptCount val="18"/>
                <c:pt idx="0">
                  <c:v>4.5</c:v>
                </c:pt>
                <c:pt idx="1">
                  <c:v>4.25</c:v>
                </c:pt>
                <c:pt idx="2">
                  <c:v>4</c:v>
                </c:pt>
                <c:pt idx="3">
                  <c:v>3.75</c:v>
                </c:pt>
                <c:pt idx="4">
                  <c:v>3.5</c:v>
                </c:pt>
                <c:pt idx="5">
                  <c:v>3.25</c:v>
                </c:pt>
                <c:pt idx="6">
                  <c:v>3</c:v>
                </c:pt>
                <c:pt idx="7">
                  <c:v>2.75</c:v>
                </c:pt>
                <c:pt idx="8">
                  <c:v>2.5</c:v>
                </c:pt>
                <c:pt idx="9">
                  <c:v>2.25</c:v>
                </c:pt>
                <c:pt idx="10">
                  <c:v>2</c:v>
                </c:pt>
                <c:pt idx="11">
                  <c:v>1.75</c:v>
                </c:pt>
                <c:pt idx="12">
                  <c:v>1.5</c:v>
                </c:pt>
                <c:pt idx="13">
                  <c:v>1.25</c:v>
                </c:pt>
                <c:pt idx="14">
                  <c:v>1</c:v>
                </c:pt>
                <c:pt idx="15">
                  <c:v>0.75</c:v>
                </c:pt>
                <c:pt idx="16">
                  <c:v>0.5</c:v>
                </c:pt>
                <c:pt idx="17">
                  <c:v>0.25</c:v>
                </c:pt>
              </c:numCache>
            </c:numRef>
          </c:xVal>
          <c:yVal>
            <c:numRef>
              <c:f>'Collected Data Site 360'!$O$62:$O$79</c:f>
              <c:numCache>
                <c:formatCode>General</c:formatCode>
                <c:ptCount val="18"/>
                <c:pt idx="0">
                  <c:v>41.14</c:v>
                </c:pt>
                <c:pt idx="1">
                  <c:v>40.059999999999988</c:v>
                </c:pt>
                <c:pt idx="2">
                  <c:v>38.699999999999989</c:v>
                </c:pt>
                <c:pt idx="3">
                  <c:v>37.19</c:v>
                </c:pt>
                <c:pt idx="4">
                  <c:v>35.940000000000005</c:v>
                </c:pt>
                <c:pt idx="5">
                  <c:v>34.340000000000003</c:v>
                </c:pt>
                <c:pt idx="6">
                  <c:v>32.92</c:v>
                </c:pt>
                <c:pt idx="7">
                  <c:v>31.71</c:v>
                </c:pt>
                <c:pt idx="8">
                  <c:v>29.44</c:v>
                </c:pt>
                <c:pt idx="9">
                  <c:v>27.629999999999995</c:v>
                </c:pt>
                <c:pt idx="10">
                  <c:v>25.15</c:v>
                </c:pt>
                <c:pt idx="11">
                  <c:v>22.34</c:v>
                </c:pt>
                <c:pt idx="12">
                  <c:v>19.850000000000009</c:v>
                </c:pt>
                <c:pt idx="13">
                  <c:v>17.140000000000004</c:v>
                </c:pt>
                <c:pt idx="14">
                  <c:v>14.58</c:v>
                </c:pt>
                <c:pt idx="15">
                  <c:v>12.299999999999995</c:v>
                </c:pt>
                <c:pt idx="16">
                  <c:v>9.9199999999999982</c:v>
                </c:pt>
                <c:pt idx="17">
                  <c:v>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F8-4F7B-9964-E3B347AAA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297440"/>
        <c:axId val="644306624"/>
      </c:scatterChart>
      <c:valAx>
        <c:axId val="644297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06624"/>
        <c:crosses val="autoZero"/>
        <c:crossBetween val="midCat"/>
      </c:valAx>
      <c:valAx>
        <c:axId val="64430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9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(195.93)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5556649168853893E-2"/>
                  <c:y val="0.166203703703703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0.4283x</a:t>
                    </a:r>
                    <a:r>
                      <a:rPr lang="en-US" sz="1200" baseline="30000"/>
                      <a:t>0.3368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360'!$T$6:$T$23</c:f>
              <c:numCache>
                <c:formatCode>General</c:formatCode>
                <c:ptCount val="18"/>
                <c:pt idx="0">
                  <c:v>9</c:v>
                </c:pt>
                <c:pt idx="1">
                  <c:v>8.5</c:v>
                </c:pt>
                <c:pt idx="2">
                  <c:v>8</c:v>
                </c:pt>
                <c:pt idx="3">
                  <c:v>7.5</c:v>
                </c:pt>
                <c:pt idx="4">
                  <c:v>7</c:v>
                </c:pt>
                <c:pt idx="5">
                  <c:v>6.5</c:v>
                </c:pt>
                <c:pt idx="6">
                  <c:v>6</c:v>
                </c:pt>
                <c:pt idx="7">
                  <c:v>5.5</c:v>
                </c:pt>
                <c:pt idx="8">
                  <c:v>5</c:v>
                </c:pt>
                <c:pt idx="9">
                  <c:v>4.5</c:v>
                </c:pt>
                <c:pt idx="10">
                  <c:v>4</c:v>
                </c:pt>
                <c:pt idx="11">
                  <c:v>3.5</c:v>
                </c:pt>
                <c:pt idx="12">
                  <c:v>3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>
                  <c:v>0.5</c:v>
                </c:pt>
              </c:numCache>
            </c:numRef>
          </c:xVal>
          <c:yVal>
            <c:numRef>
              <c:f>'Collected Data Site 360'!$W$6:$W$23</c:f>
              <c:numCache>
                <c:formatCode>General</c:formatCode>
                <c:ptCount val="18"/>
                <c:pt idx="0">
                  <c:v>0.87</c:v>
                </c:pt>
                <c:pt idx="1">
                  <c:v>0.86</c:v>
                </c:pt>
                <c:pt idx="2">
                  <c:v>0.85</c:v>
                </c:pt>
                <c:pt idx="3">
                  <c:v>0.83</c:v>
                </c:pt>
                <c:pt idx="4">
                  <c:v>0.82</c:v>
                </c:pt>
                <c:pt idx="5">
                  <c:v>0.81</c:v>
                </c:pt>
                <c:pt idx="6">
                  <c:v>0.79</c:v>
                </c:pt>
                <c:pt idx="7">
                  <c:v>0.76</c:v>
                </c:pt>
                <c:pt idx="8">
                  <c:v>0.74</c:v>
                </c:pt>
                <c:pt idx="9">
                  <c:v>0.71</c:v>
                </c:pt>
                <c:pt idx="10">
                  <c:v>0.69</c:v>
                </c:pt>
                <c:pt idx="11">
                  <c:v>0.67</c:v>
                </c:pt>
                <c:pt idx="12">
                  <c:v>0.64</c:v>
                </c:pt>
                <c:pt idx="13">
                  <c:v>0.6</c:v>
                </c:pt>
                <c:pt idx="14">
                  <c:v>0.55000000000000004</c:v>
                </c:pt>
                <c:pt idx="15">
                  <c:v>0.5</c:v>
                </c:pt>
                <c:pt idx="16">
                  <c:v>0.43</c:v>
                </c:pt>
                <c:pt idx="17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D2-48C9-A2D0-086C39527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08264"/>
        <c:axId val="622708920"/>
      </c:scatterChart>
      <c:valAx>
        <c:axId val="622708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08920"/>
        <c:crosses val="autoZero"/>
        <c:crossBetween val="midCat"/>
      </c:valAx>
      <c:valAx>
        <c:axId val="622708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0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(24.07)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447244094488189"/>
                  <c:y val="0.124290609507144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0.4208x</a:t>
                    </a:r>
                    <a:r>
                      <a:rPr lang="en-US" sz="1200" baseline="30000"/>
                      <a:t>-0.024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0.0405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360'!$B$6:$B$25</c:f>
              <c:numCache>
                <c:formatCode>General</c:formatCode>
                <c:ptCount val="20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</c:numCache>
            </c:numRef>
          </c:xVal>
          <c:yVal>
            <c:numRef>
              <c:f>'Collected Data Site 360'!$F$6:$F$25</c:f>
              <c:numCache>
                <c:formatCode>General</c:formatCode>
                <c:ptCount val="20"/>
                <c:pt idx="0">
                  <c:v>0.43084877208099953</c:v>
                </c:pt>
                <c:pt idx="1">
                  <c:v>0.42735042735042739</c:v>
                </c:pt>
                <c:pt idx="2">
                  <c:v>0.42107233086928048</c:v>
                </c:pt>
                <c:pt idx="3">
                  <c:v>0.41605482134116489</c:v>
                </c:pt>
                <c:pt idx="4">
                  <c:v>0.4020100502512563</c:v>
                </c:pt>
                <c:pt idx="5">
                  <c:v>0.40365984930032284</c:v>
                </c:pt>
                <c:pt idx="6">
                  <c:v>0.39548022598870053</c:v>
                </c:pt>
                <c:pt idx="7">
                  <c:v>0.38968824940047964</c:v>
                </c:pt>
                <c:pt idx="8">
                  <c:v>0.38095238095238093</c:v>
                </c:pt>
                <c:pt idx="9">
                  <c:v>0.38062283737024233</c:v>
                </c:pt>
                <c:pt idx="10">
                  <c:v>0.37650602409638556</c:v>
                </c:pt>
                <c:pt idx="11">
                  <c:v>0.36615134255492271</c:v>
                </c:pt>
                <c:pt idx="12">
                  <c:v>0.36463081130355512</c:v>
                </c:pt>
                <c:pt idx="13">
                  <c:v>0.38126361655773422</c:v>
                </c:pt>
                <c:pt idx="14">
                  <c:v>0.38265306122448983</c:v>
                </c:pt>
                <c:pt idx="15">
                  <c:v>0.42016806722689076</c:v>
                </c:pt>
                <c:pt idx="16">
                  <c:v>0.5089058524173028</c:v>
                </c:pt>
                <c:pt idx="17">
                  <c:v>0.5016722408026757</c:v>
                </c:pt>
                <c:pt idx="18">
                  <c:v>0.45454545454545459</c:v>
                </c:pt>
                <c:pt idx="19">
                  <c:v>0.37037037037037035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08-46D3-AE92-769540A24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04160"/>
        <c:axId val="613807440"/>
      </c:scatterChart>
      <c:valAx>
        <c:axId val="6138041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07440"/>
        <c:crosses val="autoZero"/>
        <c:crossBetween val="midCat"/>
      </c:valAx>
      <c:valAx>
        <c:axId val="613807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0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(50.87)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7430664916885383E-2"/>
                  <c:y val="0.187504738990959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0.4879x</a:t>
                    </a:r>
                    <a:r>
                      <a:rPr lang="en-US" sz="1200" baseline="30000"/>
                      <a:t>0.1425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0.7369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360'!$H$6:$H$25</c:f>
              <c:numCache>
                <c:formatCode>General</c:formatCode>
                <c:ptCount val="20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</c:numCache>
            </c:numRef>
          </c:xVal>
          <c:yVal>
            <c:numRef>
              <c:f>'Collected Data Site 360'!$L$6:$L$25</c:f>
              <c:numCache>
                <c:formatCode>General</c:formatCode>
                <c:ptCount val="20"/>
                <c:pt idx="0">
                  <c:v>0.73260073260073266</c:v>
                </c:pt>
                <c:pt idx="1">
                  <c:v>0.72408536585365846</c:v>
                </c:pt>
                <c:pt idx="2">
                  <c:v>0.70422535211267612</c:v>
                </c:pt>
                <c:pt idx="3">
                  <c:v>0.69218241042345274</c:v>
                </c:pt>
                <c:pt idx="4">
                  <c:v>0.6785411365564038</c:v>
                </c:pt>
                <c:pt idx="5">
                  <c:v>0.66371681415929196</c:v>
                </c:pt>
                <c:pt idx="6">
                  <c:v>0.64814814814814825</c:v>
                </c:pt>
                <c:pt idx="7">
                  <c:v>0.63045586808923382</c:v>
                </c:pt>
                <c:pt idx="8">
                  <c:v>0.61349693251533743</c:v>
                </c:pt>
                <c:pt idx="9">
                  <c:v>0.60572687224669608</c:v>
                </c:pt>
                <c:pt idx="10">
                  <c:v>0.58548009367681508</c:v>
                </c:pt>
                <c:pt idx="11">
                  <c:v>0.5625</c:v>
                </c:pt>
                <c:pt idx="12">
                  <c:v>0.5354752342704151</c:v>
                </c:pt>
                <c:pt idx="13">
                  <c:v>0.52790346907993979</c:v>
                </c:pt>
                <c:pt idx="14">
                  <c:v>0.51020408163265307</c:v>
                </c:pt>
                <c:pt idx="15">
                  <c:v>0.5112474437627812</c:v>
                </c:pt>
                <c:pt idx="16">
                  <c:v>0.57636887608069165</c:v>
                </c:pt>
                <c:pt idx="17">
                  <c:v>0.57251908396946571</c:v>
                </c:pt>
                <c:pt idx="18">
                  <c:v>0.53475935828876997</c:v>
                </c:pt>
                <c:pt idx="19">
                  <c:v>0.4464285714285714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63-425B-9CF9-E707BFFC9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42048"/>
        <c:axId val="573944016"/>
      </c:scatterChart>
      <c:valAx>
        <c:axId val="573942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44016"/>
        <c:crosses val="autoZero"/>
        <c:crossBetween val="midCat"/>
      </c:valAx>
      <c:valAx>
        <c:axId val="573944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4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(113.56)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6354177602799649"/>
                  <c:y val="-5.337015164771070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0.2754x</a:t>
                    </a:r>
                    <a:r>
                      <a:rPr lang="en-US" sz="1200" baseline="30000"/>
                      <a:t>0.1724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0.9157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360'!$N$6:$N$25</c:f>
              <c:numCache>
                <c:formatCode>General</c:formatCode>
                <c:ptCount val="20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</c:numCache>
            </c:numRef>
          </c:xVal>
          <c:yVal>
            <c:numRef>
              <c:f>'Collected Data Site 360'!$R$6:$R$25</c:f>
              <c:numCache>
                <c:formatCode>General</c:formatCode>
                <c:ptCount val="20"/>
                <c:pt idx="0">
                  <c:v>0.42789901583226359</c:v>
                </c:pt>
                <c:pt idx="1">
                  <c:v>0.42203465126610401</c:v>
                </c:pt>
                <c:pt idx="2">
                  <c:v>0.41879944160074445</c:v>
                </c:pt>
                <c:pt idx="3">
                  <c:v>0.41082648622522955</c:v>
                </c:pt>
                <c:pt idx="4">
                  <c:v>0.40342914775592531</c:v>
                </c:pt>
                <c:pt idx="5">
                  <c:v>0.40387722132471737</c:v>
                </c:pt>
                <c:pt idx="6">
                  <c:v>0.38503850385038496</c:v>
                </c:pt>
                <c:pt idx="7">
                  <c:v>0.37703016241299314</c:v>
                </c:pt>
                <c:pt idx="8">
                  <c:v>0.36809815950920244</c:v>
                </c:pt>
                <c:pt idx="9">
                  <c:v>0.36544850498338877</c:v>
                </c:pt>
                <c:pt idx="10">
                  <c:v>0.35816618911174786</c:v>
                </c:pt>
                <c:pt idx="11">
                  <c:v>0.34482758620689652</c:v>
                </c:pt>
                <c:pt idx="12">
                  <c:v>0.33195020746887965</c:v>
                </c:pt>
                <c:pt idx="13">
                  <c:v>0.32051282051282054</c:v>
                </c:pt>
                <c:pt idx="14">
                  <c:v>0.3058103975535168</c:v>
                </c:pt>
                <c:pt idx="15">
                  <c:v>0.30376670716889426</c:v>
                </c:pt>
                <c:pt idx="16">
                  <c:v>0.30911901081916537</c:v>
                </c:pt>
                <c:pt idx="17">
                  <c:v>0.30549898167006106</c:v>
                </c:pt>
                <c:pt idx="18">
                  <c:v>0.29325513196480935</c:v>
                </c:pt>
                <c:pt idx="19">
                  <c:v>0.25510204081632654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A4-40A4-8D9E-89AB7B4A1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73680"/>
        <c:axId val="578774664"/>
      </c:scatterChart>
      <c:valAx>
        <c:axId val="578773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74664"/>
        <c:crosses val="autoZero"/>
        <c:crossBetween val="midCat"/>
      </c:valAx>
      <c:valAx>
        <c:axId val="578774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7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(195.93)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8334426946631674E-2"/>
                  <c:y val="-7.356299212598425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0.3215x</a:t>
                    </a:r>
                    <a:r>
                      <a:rPr lang="en-US" sz="1200" baseline="30000"/>
                      <a:t>0.1456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0.9549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360'!$T$6:$T$23</c:f>
              <c:numCache>
                <c:formatCode>General</c:formatCode>
                <c:ptCount val="18"/>
                <c:pt idx="0">
                  <c:v>9</c:v>
                </c:pt>
                <c:pt idx="1">
                  <c:v>8.5</c:v>
                </c:pt>
                <c:pt idx="2">
                  <c:v>8</c:v>
                </c:pt>
                <c:pt idx="3">
                  <c:v>7.5</c:v>
                </c:pt>
                <c:pt idx="4">
                  <c:v>7</c:v>
                </c:pt>
                <c:pt idx="5">
                  <c:v>6.5</c:v>
                </c:pt>
                <c:pt idx="6">
                  <c:v>6</c:v>
                </c:pt>
                <c:pt idx="7">
                  <c:v>5.5</c:v>
                </c:pt>
                <c:pt idx="8">
                  <c:v>5</c:v>
                </c:pt>
                <c:pt idx="9">
                  <c:v>4.5</c:v>
                </c:pt>
                <c:pt idx="10">
                  <c:v>4</c:v>
                </c:pt>
                <c:pt idx="11">
                  <c:v>3.5</c:v>
                </c:pt>
                <c:pt idx="12">
                  <c:v>3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>
                  <c:v>0.5</c:v>
                </c:pt>
              </c:numCache>
            </c:numRef>
          </c:xVal>
          <c:yVal>
            <c:numRef>
              <c:f>'Collected Data Site 360'!$X$6:$X$23</c:f>
              <c:numCache>
                <c:formatCode>General</c:formatCode>
                <c:ptCount val="18"/>
                <c:pt idx="0">
                  <c:v>0.46106557377049179</c:v>
                </c:pt>
                <c:pt idx="1">
                  <c:v>0.45116772823779194</c:v>
                </c:pt>
                <c:pt idx="2">
                  <c:v>0.4464285714285714</c:v>
                </c:pt>
                <c:pt idx="3">
                  <c:v>0.43604651162790697</c:v>
                </c:pt>
                <c:pt idx="4">
                  <c:v>0.42553191489361702</c:v>
                </c:pt>
                <c:pt idx="5">
                  <c:v>0.41374920432845319</c:v>
                </c:pt>
                <c:pt idx="6">
                  <c:v>0.40595399188092013</c:v>
                </c:pt>
                <c:pt idx="7">
                  <c:v>0.4017531044558072</c:v>
                </c:pt>
                <c:pt idx="8">
                  <c:v>0.3996802557953637</c:v>
                </c:pt>
                <c:pt idx="9">
                  <c:v>0.39232781168265035</c:v>
                </c:pt>
                <c:pt idx="10">
                  <c:v>0.38314176245210724</c:v>
                </c:pt>
                <c:pt idx="11">
                  <c:v>0.37593984962406013</c:v>
                </c:pt>
                <c:pt idx="12">
                  <c:v>0.36855036855036855</c:v>
                </c:pt>
                <c:pt idx="13">
                  <c:v>0.37147102526002973</c:v>
                </c:pt>
                <c:pt idx="14">
                  <c:v>0.37037037037037041</c:v>
                </c:pt>
                <c:pt idx="15">
                  <c:v>0.35211267605633806</c:v>
                </c:pt>
                <c:pt idx="16">
                  <c:v>0.32679738562091509</c:v>
                </c:pt>
                <c:pt idx="17">
                  <c:v>0.2857142857142857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CA-445B-90F8-A5DF72B23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08264"/>
        <c:axId val="622708920"/>
      </c:scatterChart>
      <c:valAx>
        <c:axId val="622708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08920"/>
        <c:crosses val="autoZero"/>
        <c:crossBetween val="midCat"/>
      </c:valAx>
      <c:valAx>
        <c:axId val="622708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0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(240.85)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3872484689413824E-2"/>
                  <c:y val="-8.139617964421114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0.4369x</a:t>
                    </a:r>
                    <a:r>
                      <a:rPr lang="en-US" sz="1200" baseline="30000"/>
                      <a:t>0.3923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0.9616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360'!$Z$6:$Z$29</c:f>
              <c:numCache>
                <c:formatCode>General</c:formatCode>
                <c:ptCount val="24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  <c:pt idx="22">
                  <c:v>1</c:v>
                </c:pt>
                <c:pt idx="23">
                  <c:v>0.5</c:v>
                </c:pt>
              </c:numCache>
            </c:numRef>
          </c:xVal>
          <c:yVal>
            <c:numRef>
              <c:f>'Collected Data Site 360'!$AD$6:$AD$29</c:f>
              <c:numCache>
                <c:formatCode>General</c:formatCode>
                <c:ptCount val="24"/>
                <c:pt idx="0">
                  <c:v>1.0221465076660987</c:v>
                </c:pt>
                <c:pt idx="1">
                  <c:v>1.0295434198746642</c:v>
                </c:pt>
                <c:pt idx="2">
                  <c:v>1.0496183206106871</c:v>
                </c:pt>
                <c:pt idx="3">
                  <c:v>1.0552763819095479</c:v>
                </c:pt>
                <c:pt idx="4">
                  <c:v>1.0582010582010581</c:v>
                </c:pt>
                <c:pt idx="5">
                  <c:v>1.0907003444316878</c:v>
                </c:pt>
                <c:pt idx="6">
                  <c:v>1.0804321728691477</c:v>
                </c:pt>
                <c:pt idx="7">
                  <c:v>1.0718789407313998</c:v>
                </c:pt>
                <c:pt idx="8">
                  <c:v>1.0376134889753568</c:v>
                </c:pt>
                <c:pt idx="9">
                  <c:v>1.0231923601637107</c:v>
                </c:pt>
                <c:pt idx="10">
                  <c:v>0.99431818181818177</c:v>
                </c:pt>
                <c:pt idx="11">
                  <c:v>0.9715994020926757</c:v>
                </c:pt>
                <c:pt idx="12">
                  <c:v>0.94339622641509446</c:v>
                </c:pt>
                <c:pt idx="13">
                  <c:v>0.90759075907590769</c:v>
                </c:pt>
                <c:pt idx="14">
                  <c:v>0.87108013937282225</c:v>
                </c:pt>
                <c:pt idx="15">
                  <c:v>0.82116788321167877</c:v>
                </c:pt>
                <c:pt idx="16">
                  <c:v>0.75329566854990593</c:v>
                </c:pt>
                <c:pt idx="17">
                  <c:v>0.69860279441117767</c:v>
                </c:pt>
                <c:pt idx="18">
                  <c:v>0.64516129032258063</c:v>
                </c:pt>
                <c:pt idx="19">
                  <c:v>0.58823529411764708</c:v>
                </c:pt>
                <c:pt idx="20">
                  <c:v>0.53475935828876997</c:v>
                </c:pt>
                <c:pt idx="21">
                  <c:v>0.47021943573667713</c:v>
                </c:pt>
                <c:pt idx="22">
                  <c:v>0.4098360655737705</c:v>
                </c:pt>
                <c:pt idx="23">
                  <c:v>0.36764705882352938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3-4539-A2B6-6D6FBD602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34744"/>
        <c:axId val="363332776"/>
      </c:scatterChart>
      <c:valAx>
        <c:axId val="3633347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32776"/>
        <c:crosses val="autoZero"/>
        <c:crossBetween val="midCat"/>
      </c:valAx>
      <c:valAx>
        <c:axId val="363332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3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(284.25)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9445538057742785E-2"/>
                  <c:y val="0.13379629629629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0.6675x</a:t>
                    </a:r>
                    <a:r>
                      <a:rPr lang="en-US" sz="1200" baseline="30000"/>
                      <a:t>0.1221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0.4495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360'!$B$37:$B$54</c:f>
              <c:numCache>
                <c:formatCode>General</c:formatCode>
                <c:ptCount val="18"/>
                <c:pt idx="0">
                  <c:v>9</c:v>
                </c:pt>
                <c:pt idx="1">
                  <c:v>8.5</c:v>
                </c:pt>
                <c:pt idx="2">
                  <c:v>8</c:v>
                </c:pt>
                <c:pt idx="3">
                  <c:v>7.5</c:v>
                </c:pt>
                <c:pt idx="4">
                  <c:v>7</c:v>
                </c:pt>
                <c:pt idx="5">
                  <c:v>6.5</c:v>
                </c:pt>
                <c:pt idx="6">
                  <c:v>6</c:v>
                </c:pt>
                <c:pt idx="7">
                  <c:v>5.5</c:v>
                </c:pt>
                <c:pt idx="8">
                  <c:v>5</c:v>
                </c:pt>
                <c:pt idx="9">
                  <c:v>4.5</c:v>
                </c:pt>
                <c:pt idx="10">
                  <c:v>4</c:v>
                </c:pt>
                <c:pt idx="11">
                  <c:v>3.5</c:v>
                </c:pt>
                <c:pt idx="12">
                  <c:v>3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>
                  <c:v>0.5</c:v>
                </c:pt>
              </c:numCache>
            </c:numRef>
          </c:xVal>
          <c:yVal>
            <c:numRef>
              <c:f>'Collected Data Site 360'!$F$37:$F$54</c:f>
              <c:numCache>
                <c:formatCode>General</c:formatCode>
                <c:ptCount val="18"/>
                <c:pt idx="0">
                  <c:v>0.75503355704697983</c:v>
                </c:pt>
                <c:pt idx="1">
                  <c:v>0.75757575757575768</c:v>
                </c:pt>
                <c:pt idx="2">
                  <c:v>0.7540056550424129</c:v>
                </c:pt>
                <c:pt idx="3">
                  <c:v>0.76608784473953029</c:v>
                </c:pt>
                <c:pt idx="4">
                  <c:v>0.77777777777777779</c:v>
                </c:pt>
                <c:pt idx="5">
                  <c:v>0.82802547770700641</c:v>
                </c:pt>
                <c:pt idx="6">
                  <c:v>0.87463556851311963</c:v>
                </c:pt>
                <c:pt idx="7">
                  <c:v>0.90163934426229508</c:v>
                </c:pt>
                <c:pt idx="8">
                  <c:v>0.93457943925233633</c:v>
                </c:pt>
                <c:pt idx="9">
                  <c:v>0.92592592592592604</c:v>
                </c:pt>
                <c:pt idx="10">
                  <c:v>0.90497737556561086</c:v>
                </c:pt>
                <c:pt idx="11">
                  <c:v>0.88161209068010082</c:v>
                </c:pt>
                <c:pt idx="12">
                  <c:v>0.8310249307479225</c:v>
                </c:pt>
                <c:pt idx="13">
                  <c:v>0.79617834394904452</c:v>
                </c:pt>
                <c:pt idx="14">
                  <c:v>0.74906367041198507</c:v>
                </c:pt>
                <c:pt idx="15">
                  <c:v>0.68181818181818177</c:v>
                </c:pt>
                <c:pt idx="16">
                  <c:v>0.6097560975609756</c:v>
                </c:pt>
                <c:pt idx="17">
                  <c:v>0.5376344086021505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FB-43F0-9476-C35E011F7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44680"/>
        <c:axId val="623142384"/>
      </c:scatterChart>
      <c:valAx>
        <c:axId val="623144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42384"/>
        <c:crosses val="autoZero"/>
        <c:crossBetween val="midCat"/>
      </c:valAx>
      <c:valAx>
        <c:axId val="623142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4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(310.01)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020516185476816"/>
                  <c:y val="0.243407334499854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0.4558x</a:t>
                    </a:r>
                    <a:r>
                      <a:rPr lang="en-US" sz="1200" baseline="30000"/>
                      <a:t>0.183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0.5183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360'!$H$37:$H$52</c:f>
              <c:numCache>
                <c:formatCode>General</c:formatCode>
                <c:ptCount val="16"/>
                <c:pt idx="0">
                  <c:v>8</c:v>
                </c:pt>
                <c:pt idx="1">
                  <c:v>7.5</c:v>
                </c:pt>
                <c:pt idx="2">
                  <c:v>7</c:v>
                </c:pt>
                <c:pt idx="3">
                  <c:v>6.5</c:v>
                </c:pt>
                <c:pt idx="4">
                  <c:v>6</c:v>
                </c:pt>
                <c:pt idx="5">
                  <c:v>5.5</c:v>
                </c:pt>
                <c:pt idx="6">
                  <c:v>5</c:v>
                </c:pt>
                <c:pt idx="7">
                  <c:v>4.5</c:v>
                </c:pt>
                <c:pt idx="8">
                  <c:v>4</c:v>
                </c:pt>
                <c:pt idx="9">
                  <c:v>3.5</c:v>
                </c:pt>
                <c:pt idx="10">
                  <c:v>3</c:v>
                </c:pt>
                <c:pt idx="11">
                  <c:v>2.5</c:v>
                </c:pt>
                <c:pt idx="12">
                  <c:v>2</c:v>
                </c:pt>
                <c:pt idx="13">
                  <c:v>1.5</c:v>
                </c:pt>
                <c:pt idx="14">
                  <c:v>1</c:v>
                </c:pt>
                <c:pt idx="15">
                  <c:v>0.5</c:v>
                </c:pt>
              </c:numCache>
            </c:numRef>
          </c:xVal>
          <c:yVal>
            <c:numRef>
              <c:f>'Collected Data Site 360'!$L$37:$L$52</c:f>
              <c:numCache>
                <c:formatCode>General</c:formatCode>
                <c:ptCount val="16"/>
                <c:pt idx="0">
                  <c:v>0.5273566249176006</c:v>
                </c:pt>
                <c:pt idx="1">
                  <c:v>0.53879310344827591</c:v>
                </c:pt>
                <c:pt idx="2">
                  <c:v>0.55555555555555569</c:v>
                </c:pt>
                <c:pt idx="3">
                  <c:v>0.59090909090909094</c:v>
                </c:pt>
                <c:pt idx="4">
                  <c:v>0.62827225130890063</c:v>
                </c:pt>
                <c:pt idx="5">
                  <c:v>0.67155067155067161</c:v>
                </c:pt>
                <c:pt idx="6">
                  <c:v>0.69444444444444442</c:v>
                </c:pt>
                <c:pt idx="7">
                  <c:v>0.70643642072213497</c:v>
                </c:pt>
                <c:pt idx="8">
                  <c:v>0.68143100511073251</c:v>
                </c:pt>
                <c:pt idx="9">
                  <c:v>0.66539923954372626</c:v>
                </c:pt>
                <c:pt idx="10">
                  <c:v>0.63291139240506322</c:v>
                </c:pt>
                <c:pt idx="11">
                  <c:v>0.59665871121718372</c:v>
                </c:pt>
                <c:pt idx="12">
                  <c:v>0.54945054945054939</c:v>
                </c:pt>
                <c:pt idx="13">
                  <c:v>0.49019607843137253</c:v>
                </c:pt>
                <c:pt idx="14">
                  <c:v>0.42194092827004215</c:v>
                </c:pt>
                <c:pt idx="15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7-4674-B5CD-17C02BE4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01392"/>
        <c:axId val="624405000"/>
      </c:scatterChart>
      <c:valAx>
        <c:axId val="624401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05000"/>
        <c:crosses val="autoZero"/>
        <c:crossBetween val="midCat"/>
      </c:valAx>
      <c:valAx>
        <c:axId val="624405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(m/s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(354.94)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4864391951006"/>
          <c:y val="0.17175925925925928"/>
          <c:w val="0.81038867016622917"/>
          <c:h val="0.6362037037037037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242738407699037E-2"/>
                  <c:y val="9.67592592592592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0.8042x</a:t>
                    </a:r>
                    <a:r>
                      <a:rPr lang="en-US" sz="1200" baseline="30000"/>
                      <a:t>-0.027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0.0606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360'!$N$37:$N$52</c:f>
              <c:numCache>
                <c:formatCode>General</c:formatCode>
                <c:ptCount val="16"/>
                <c:pt idx="0">
                  <c:v>8</c:v>
                </c:pt>
                <c:pt idx="1">
                  <c:v>7.5</c:v>
                </c:pt>
                <c:pt idx="2">
                  <c:v>7</c:v>
                </c:pt>
                <c:pt idx="3">
                  <c:v>6.5</c:v>
                </c:pt>
                <c:pt idx="4">
                  <c:v>6</c:v>
                </c:pt>
                <c:pt idx="5">
                  <c:v>5.5</c:v>
                </c:pt>
                <c:pt idx="6">
                  <c:v>5</c:v>
                </c:pt>
                <c:pt idx="7">
                  <c:v>4.5</c:v>
                </c:pt>
                <c:pt idx="8">
                  <c:v>4</c:v>
                </c:pt>
                <c:pt idx="9">
                  <c:v>3.5</c:v>
                </c:pt>
                <c:pt idx="10">
                  <c:v>3</c:v>
                </c:pt>
                <c:pt idx="11">
                  <c:v>2.5</c:v>
                </c:pt>
                <c:pt idx="12">
                  <c:v>2</c:v>
                </c:pt>
                <c:pt idx="13">
                  <c:v>1.5</c:v>
                </c:pt>
                <c:pt idx="14">
                  <c:v>1</c:v>
                </c:pt>
                <c:pt idx="15">
                  <c:v>0.5</c:v>
                </c:pt>
              </c:numCache>
            </c:numRef>
          </c:xVal>
          <c:yVal>
            <c:numRef>
              <c:f>'Collected Data Site 360'!$R$37:$R$52</c:f>
              <c:numCache>
                <c:formatCode>General</c:formatCode>
                <c:ptCount val="16"/>
                <c:pt idx="0">
                  <c:v>0.67969413763806286</c:v>
                </c:pt>
                <c:pt idx="1">
                  <c:v>0.67750677506775081</c:v>
                </c:pt>
                <c:pt idx="2">
                  <c:v>0.67895247332686703</c:v>
                </c:pt>
                <c:pt idx="3">
                  <c:v>0.71982281284606886</c:v>
                </c:pt>
                <c:pt idx="4">
                  <c:v>0.75187969924812048</c:v>
                </c:pt>
                <c:pt idx="5">
                  <c:v>0.80409356725146186</c:v>
                </c:pt>
                <c:pt idx="6">
                  <c:v>0.85616438356164382</c:v>
                </c:pt>
                <c:pt idx="7">
                  <c:v>0.85227272727272718</c:v>
                </c:pt>
                <c:pt idx="8">
                  <c:v>0.84745762711864414</c:v>
                </c:pt>
                <c:pt idx="9">
                  <c:v>0.82547169811320753</c:v>
                </c:pt>
                <c:pt idx="10">
                  <c:v>0.8310249307479225</c:v>
                </c:pt>
                <c:pt idx="11">
                  <c:v>0.83056478405315626</c:v>
                </c:pt>
                <c:pt idx="12">
                  <c:v>0.81632653061224481</c:v>
                </c:pt>
                <c:pt idx="13">
                  <c:v>0.80645161290322576</c:v>
                </c:pt>
                <c:pt idx="14">
                  <c:v>0.8</c:v>
                </c:pt>
                <c:pt idx="15">
                  <c:v>0.7142857142857143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CE-435C-A674-A73B7A9C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57808"/>
        <c:axId val="624459120"/>
      </c:scatterChart>
      <c:valAx>
        <c:axId val="624457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59120"/>
        <c:crosses val="autoZero"/>
        <c:crossBetween val="midCat"/>
      </c:valAx>
      <c:valAx>
        <c:axId val="624459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(m/s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5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(393.06)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6694663167104113E-2"/>
                  <c:y val="0.196938611840186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0.4361x</a:t>
                    </a:r>
                    <a:r>
                      <a:rPr lang="en-US" sz="1200" baseline="30000"/>
                      <a:t>0.097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0.2719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360'!$T$37:$T$56</c:f>
              <c:numCache>
                <c:formatCode>General</c:formatCode>
                <c:ptCount val="20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</c:numCache>
            </c:numRef>
          </c:xVal>
          <c:yVal>
            <c:numRef>
              <c:f>'Collected Data Site 360'!$X$37:$X$56</c:f>
              <c:numCache>
                <c:formatCode>General</c:formatCode>
                <c:ptCount val="20"/>
                <c:pt idx="0">
                  <c:v>0.53022269353128315</c:v>
                </c:pt>
                <c:pt idx="1">
                  <c:v>0.52226498075865857</c:v>
                </c:pt>
                <c:pt idx="2">
                  <c:v>0.50790067720090293</c:v>
                </c:pt>
                <c:pt idx="3">
                  <c:v>0.49649532710280381</c:v>
                </c:pt>
                <c:pt idx="4">
                  <c:v>0.48721071863580995</c:v>
                </c:pt>
                <c:pt idx="5">
                  <c:v>0.4758883248730964</c:v>
                </c:pt>
                <c:pt idx="6">
                  <c:v>0.47074646940147952</c:v>
                </c:pt>
                <c:pt idx="7">
                  <c:v>0.47723935389133632</c:v>
                </c:pt>
                <c:pt idx="8">
                  <c:v>0.48939641109298532</c:v>
                </c:pt>
                <c:pt idx="9">
                  <c:v>0.50973123262279885</c:v>
                </c:pt>
                <c:pt idx="10">
                  <c:v>0.547645125958379</c:v>
                </c:pt>
                <c:pt idx="11">
                  <c:v>0.56320400500625789</c:v>
                </c:pt>
                <c:pt idx="12">
                  <c:v>0.56980056980056981</c:v>
                </c:pt>
                <c:pt idx="13">
                  <c:v>0.57096247960848279</c:v>
                </c:pt>
                <c:pt idx="14">
                  <c:v>0.57581573896353178</c:v>
                </c:pt>
                <c:pt idx="15">
                  <c:v>0.5592841163310962</c:v>
                </c:pt>
                <c:pt idx="16">
                  <c:v>0.54054054054054068</c:v>
                </c:pt>
                <c:pt idx="17">
                  <c:v>0.50847457627118642</c:v>
                </c:pt>
                <c:pt idx="18">
                  <c:v>0.41493775933609955</c:v>
                </c:pt>
                <c:pt idx="19">
                  <c:v>0.29239766081871343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47-4E39-BE39-EBE70C4DD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52232"/>
        <c:axId val="624453872"/>
      </c:scatterChart>
      <c:valAx>
        <c:axId val="624452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53872"/>
        <c:crosses val="autoZero"/>
        <c:crossBetween val="midCat"/>
      </c:valAx>
      <c:valAx>
        <c:axId val="62445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5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(415.51)</a:t>
            </a:r>
          </a:p>
        </c:rich>
      </c:tx>
      <c:layout>
        <c:manualLayout>
          <c:xMode val="edge"/>
          <c:yMode val="edge"/>
          <c:x val="0.2318401137357830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9472440944881895E-2"/>
                  <c:y val="9.623468941382326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1.0104x</a:t>
                    </a:r>
                    <a:r>
                      <a:rPr lang="en-US" sz="1200" baseline="30000"/>
                      <a:t>-0.081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0.1058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360'!$Z$37:$Z$56</c:f>
              <c:numCache>
                <c:formatCode>General</c:formatCode>
                <c:ptCount val="20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</c:numCache>
            </c:numRef>
          </c:xVal>
          <c:yVal>
            <c:numRef>
              <c:f>'Collected Data Site 360'!$AD$37:$AD$56</c:f>
              <c:numCache>
                <c:formatCode>General</c:formatCode>
                <c:ptCount val="20"/>
                <c:pt idx="0">
                  <c:v>0.70274068868587491</c:v>
                </c:pt>
                <c:pt idx="1">
                  <c:v>0.70527097253155169</c:v>
                </c:pt>
                <c:pt idx="2">
                  <c:v>0.70588235294117652</c:v>
                </c:pt>
                <c:pt idx="3">
                  <c:v>0.70656691604322519</c:v>
                </c:pt>
                <c:pt idx="4">
                  <c:v>0.7155635062611807</c:v>
                </c:pt>
                <c:pt idx="5">
                  <c:v>0.72886297376093301</c:v>
                </c:pt>
                <c:pt idx="6">
                  <c:v>0.76169749727965186</c:v>
                </c:pt>
                <c:pt idx="7">
                  <c:v>0.84856396866840733</c:v>
                </c:pt>
                <c:pt idx="8">
                  <c:v>0.970873786407767</c:v>
                </c:pt>
                <c:pt idx="9">
                  <c:v>1.1458333333333335</c:v>
                </c:pt>
                <c:pt idx="10">
                  <c:v>1.1547344110854503</c:v>
                </c:pt>
                <c:pt idx="11">
                  <c:v>1.1306532663316582</c:v>
                </c:pt>
                <c:pt idx="12">
                  <c:v>1.1173184357541899</c:v>
                </c:pt>
                <c:pt idx="13">
                  <c:v>1.0971786833855799</c:v>
                </c:pt>
                <c:pt idx="14">
                  <c:v>1.0869565217391306</c:v>
                </c:pt>
                <c:pt idx="15">
                  <c:v>1.1013215859030836</c:v>
                </c:pt>
                <c:pt idx="16">
                  <c:v>1.0526315789473684</c:v>
                </c:pt>
                <c:pt idx="17">
                  <c:v>0.98684210526315785</c:v>
                </c:pt>
                <c:pt idx="18">
                  <c:v>0.8928571428571429</c:v>
                </c:pt>
                <c:pt idx="19">
                  <c:v>0.74626865671641784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1-4427-8859-6E9137D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71160"/>
        <c:axId val="618774112"/>
      </c:scatterChart>
      <c:valAx>
        <c:axId val="6187711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>
            <c:manualLayout>
              <c:xMode val="edge"/>
              <c:yMode val="edge"/>
              <c:x val="0.37317366579177602"/>
              <c:y val="0.8865740740740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74112"/>
        <c:crosses val="autoZero"/>
        <c:crossBetween val="midCat"/>
      </c:valAx>
      <c:valAx>
        <c:axId val="618774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7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(240.85)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4608486439195106E-3"/>
                  <c:y val="0.254166666666666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0.3599x</a:t>
                    </a:r>
                    <a:r>
                      <a:rPr lang="en-US" sz="1200" baseline="30000"/>
                      <a:t>0.3776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0.9903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360'!$Z$6:$Z$29</c:f>
              <c:numCache>
                <c:formatCode>General</c:formatCode>
                <c:ptCount val="24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  <c:pt idx="22">
                  <c:v>1</c:v>
                </c:pt>
                <c:pt idx="23">
                  <c:v>0.5</c:v>
                </c:pt>
              </c:numCache>
            </c:numRef>
          </c:xVal>
          <c:yVal>
            <c:numRef>
              <c:f>'Collected Data Site 360'!$AC$6:$AC$29</c:f>
              <c:numCache>
                <c:formatCode>General</c:formatCode>
                <c:ptCount val="24"/>
                <c:pt idx="0">
                  <c:v>0.9</c:v>
                </c:pt>
                <c:pt idx="1">
                  <c:v>0.89</c:v>
                </c:pt>
                <c:pt idx="2">
                  <c:v>0.88</c:v>
                </c:pt>
                <c:pt idx="3">
                  <c:v>0.86</c:v>
                </c:pt>
                <c:pt idx="4">
                  <c:v>0.85</c:v>
                </c:pt>
                <c:pt idx="5">
                  <c:v>0.82</c:v>
                </c:pt>
                <c:pt idx="6">
                  <c:v>0.81</c:v>
                </c:pt>
                <c:pt idx="7">
                  <c:v>0.8</c:v>
                </c:pt>
                <c:pt idx="8">
                  <c:v>0.78</c:v>
                </c:pt>
                <c:pt idx="9">
                  <c:v>0.77</c:v>
                </c:pt>
                <c:pt idx="10">
                  <c:v>0.75</c:v>
                </c:pt>
                <c:pt idx="11">
                  <c:v>0.73</c:v>
                </c:pt>
                <c:pt idx="12">
                  <c:v>0.71</c:v>
                </c:pt>
                <c:pt idx="13">
                  <c:v>0.69</c:v>
                </c:pt>
                <c:pt idx="14">
                  <c:v>0.67</c:v>
                </c:pt>
                <c:pt idx="15">
                  <c:v>0.64</c:v>
                </c:pt>
                <c:pt idx="16">
                  <c:v>0.62</c:v>
                </c:pt>
                <c:pt idx="17">
                  <c:v>0.6</c:v>
                </c:pt>
                <c:pt idx="18">
                  <c:v>0.56999999999999995</c:v>
                </c:pt>
                <c:pt idx="19">
                  <c:v>0.54</c:v>
                </c:pt>
                <c:pt idx="20">
                  <c:v>0.48</c:v>
                </c:pt>
                <c:pt idx="21">
                  <c:v>0.43</c:v>
                </c:pt>
                <c:pt idx="22">
                  <c:v>0.36</c:v>
                </c:pt>
                <c:pt idx="2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99-4785-B254-C6F80A6D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34744"/>
        <c:axId val="363332776"/>
      </c:scatterChart>
      <c:valAx>
        <c:axId val="3633347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32776"/>
        <c:crosses val="autoZero"/>
        <c:crossBetween val="midCat"/>
      </c:valAx>
      <c:valAx>
        <c:axId val="363332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3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(467.58)</a:t>
            </a:r>
          </a:p>
        </c:rich>
      </c:tx>
      <c:layout>
        <c:manualLayout>
          <c:xMode val="edge"/>
          <c:yMode val="edge"/>
          <c:x val="0.258854111986001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710892388451443"/>
                  <c:y val="6.824876057159521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0.1585x</a:t>
                    </a:r>
                    <a:r>
                      <a:rPr lang="en-US" sz="1200" baseline="30000"/>
                      <a:t>0.6103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0.9677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360'!$B$62:$B$71</c:f>
              <c:numCache>
                <c:formatCode>General</c:formatCode>
                <c:ptCount val="10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  <c:pt idx="9">
                  <c:v>0.25</c:v>
                </c:pt>
              </c:numCache>
            </c:numRef>
          </c:xVal>
          <c:yVal>
            <c:numRef>
              <c:f>'Collected Data Site 360'!$F$62:$F$71</c:f>
              <c:numCache>
                <c:formatCode>General</c:formatCode>
                <c:ptCount val="10"/>
                <c:pt idx="0">
                  <c:v>0.24850894632206763</c:v>
                </c:pt>
                <c:pt idx="1">
                  <c:v>0.24038461538461545</c:v>
                </c:pt>
                <c:pt idx="2">
                  <c:v>0.23337222870478413</c:v>
                </c:pt>
                <c:pt idx="3">
                  <c:v>0.22727272727272727</c:v>
                </c:pt>
                <c:pt idx="4">
                  <c:v>0.21582733812949642</c:v>
                </c:pt>
                <c:pt idx="5">
                  <c:v>0.19716088328075709</c:v>
                </c:pt>
                <c:pt idx="6">
                  <c:v>0.17421602787456444</c:v>
                </c:pt>
                <c:pt idx="7">
                  <c:v>0.14285714285714285</c:v>
                </c:pt>
                <c:pt idx="8">
                  <c:v>0.10615711252653928</c:v>
                </c:pt>
                <c:pt idx="9">
                  <c:v>6.0096153846153841E-2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34-4567-B396-AEAD85ED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24904"/>
        <c:axId val="637025232"/>
      </c:scatterChart>
      <c:valAx>
        <c:axId val="637024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25232"/>
        <c:crosses val="autoZero"/>
        <c:crossBetween val="midCat"/>
      </c:valAx>
      <c:valAx>
        <c:axId val="637025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2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(492.07)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115472440944882"/>
                  <c:y val="-2.944335083114610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0.1237x</a:t>
                    </a:r>
                    <a:r>
                      <a:rPr lang="en-US" sz="1200" baseline="30000"/>
                      <a:t>0.3177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0.893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360'!$H$62:$H$79</c:f>
              <c:numCache>
                <c:formatCode>General</c:formatCode>
                <c:ptCount val="18"/>
                <c:pt idx="0">
                  <c:v>4.5</c:v>
                </c:pt>
                <c:pt idx="1">
                  <c:v>4.25</c:v>
                </c:pt>
                <c:pt idx="2">
                  <c:v>4</c:v>
                </c:pt>
                <c:pt idx="3">
                  <c:v>3.75</c:v>
                </c:pt>
                <c:pt idx="4">
                  <c:v>3.5</c:v>
                </c:pt>
                <c:pt idx="5">
                  <c:v>3.25</c:v>
                </c:pt>
                <c:pt idx="6">
                  <c:v>3</c:v>
                </c:pt>
                <c:pt idx="7">
                  <c:v>2.75</c:v>
                </c:pt>
                <c:pt idx="8">
                  <c:v>2.5</c:v>
                </c:pt>
                <c:pt idx="9">
                  <c:v>2.25</c:v>
                </c:pt>
                <c:pt idx="10">
                  <c:v>2</c:v>
                </c:pt>
                <c:pt idx="11">
                  <c:v>1.75</c:v>
                </c:pt>
                <c:pt idx="12">
                  <c:v>1.5</c:v>
                </c:pt>
                <c:pt idx="13">
                  <c:v>1.25</c:v>
                </c:pt>
                <c:pt idx="14">
                  <c:v>1</c:v>
                </c:pt>
                <c:pt idx="15">
                  <c:v>0.75</c:v>
                </c:pt>
                <c:pt idx="16">
                  <c:v>0.5</c:v>
                </c:pt>
                <c:pt idx="17">
                  <c:v>0.25</c:v>
                </c:pt>
              </c:numCache>
            </c:numRef>
          </c:xVal>
          <c:yVal>
            <c:numRef>
              <c:f>'Collected Data Site 360'!$L$62:$L$79</c:f>
              <c:numCache>
                <c:formatCode>General</c:formatCode>
                <c:ptCount val="18"/>
                <c:pt idx="0">
                  <c:v>0.19633507853403143</c:v>
                </c:pt>
                <c:pt idx="1">
                  <c:v>0.19196025293586272</c:v>
                </c:pt>
                <c:pt idx="2">
                  <c:v>0.18744142455482662</c:v>
                </c:pt>
                <c:pt idx="3">
                  <c:v>0.18328445747800587</c:v>
                </c:pt>
                <c:pt idx="4">
                  <c:v>0.17866258295048498</c:v>
                </c:pt>
                <c:pt idx="5">
                  <c:v>0.17314864144912098</c:v>
                </c:pt>
                <c:pt idx="6">
                  <c:v>0.16787912702853947</c:v>
                </c:pt>
                <c:pt idx="7">
                  <c:v>0.16496700659868024</c:v>
                </c:pt>
                <c:pt idx="8">
                  <c:v>0.16046213093709885</c:v>
                </c:pt>
                <c:pt idx="9">
                  <c:v>0.15517241379310348</c:v>
                </c:pt>
                <c:pt idx="10">
                  <c:v>0.15360983102918588</c:v>
                </c:pt>
                <c:pt idx="11">
                  <c:v>0.15323992994746063</c:v>
                </c:pt>
                <c:pt idx="12">
                  <c:v>0.15045135406218657</c:v>
                </c:pt>
                <c:pt idx="13">
                  <c:v>0.14934289127837519</c:v>
                </c:pt>
                <c:pt idx="14">
                  <c:v>0.14245014245014248</c:v>
                </c:pt>
                <c:pt idx="15">
                  <c:v>0.12798634812286691</c:v>
                </c:pt>
                <c:pt idx="16">
                  <c:v>0.10570824524312897</c:v>
                </c:pt>
                <c:pt idx="17">
                  <c:v>6.1881188118811895E-2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47-485A-ACCB-13A548EDB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91272"/>
        <c:axId val="628591600"/>
      </c:scatterChart>
      <c:valAx>
        <c:axId val="628591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91600"/>
        <c:crosses val="autoZero"/>
        <c:crossBetween val="midCat"/>
      </c:valAx>
      <c:valAx>
        <c:axId val="628591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9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</a:t>
            </a:r>
            <a:r>
              <a:rPr lang="en-US" baseline="0"/>
              <a:t> vs Velocity (512.02)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9894356955380579E-2"/>
                  <c:y val="-7.227179935841349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0.063x</a:t>
                    </a:r>
                    <a:r>
                      <a:rPr lang="en-US" sz="1200" baseline="30000"/>
                      <a:t>0.3601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0.9722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360'!$N$62:$N$79</c:f>
              <c:numCache>
                <c:formatCode>General</c:formatCode>
                <c:ptCount val="18"/>
                <c:pt idx="0">
                  <c:v>4.5</c:v>
                </c:pt>
                <c:pt idx="1">
                  <c:v>4.25</c:v>
                </c:pt>
                <c:pt idx="2">
                  <c:v>4</c:v>
                </c:pt>
                <c:pt idx="3">
                  <c:v>3.75</c:v>
                </c:pt>
                <c:pt idx="4">
                  <c:v>3.5</c:v>
                </c:pt>
                <c:pt idx="5">
                  <c:v>3.25</c:v>
                </c:pt>
                <c:pt idx="6">
                  <c:v>3</c:v>
                </c:pt>
                <c:pt idx="7">
                  <c:v>2.75</c:v>
                </c:pt>
                <c:pt idx="8">
                  <c:v>2.5</c:v>
                </c:pt>
                <c:pt idx="9">
                  <c:v>2.25</c:v>
                </c:pt>
                <c:pt idx="10">
                  <c:v>2</c:v>
                </c:pt>
                <c:pt idx="11">
                  <c:v>1.75</c:v>
                </c:pt>
                <c:pt idx="12">
                  <c:v>1.5</c:v>
                </c:pt>
                <c:pt idx="13">
                  <c:v>1.25</c:v>
                </c:pt>
                <c:pt idx="14">
                  <c:v>1</c:v>
                </c:pt>
                <c:pt idx="15">
                  <c:v>0.75</c:v>
                </c:pt>
                <c:pt idx="16">
                  <c:v>0.5</c:v>
                </c:pt>
                <c:pt idx="17">
                  <c:v>0.25</c:v>
                </c:pt>
              </c:numCache>
            </c:numRef>
          </c:xVal>
          <c:yVal>
            <c:numRef>
              <c:f>'Collected Data Site 360'!$R$62:$R$79</c:f>
              <c:numCache>
                <c:formatCode>General</c:formatCode>
                <c:ptCount val="18"/>
                <c:pt idx="0">
                  <c:v>0.10938259601361205</c:v>
                </c:pt>
                <c:pt idx="1">
                  <c:v>0.10609086370444337</c:v>
                </c:pt>
                <c:pt idx="2">
                  <c:v>0.10335917312661502</c:v>
                </c:pt>
                <c:pt idx="3">
                  <c:v>0.10083355740790535</c:v>
                </c:pt>
                <c:pt idx="4">
                  <c:v>9.7384529771841949E-2</c:v>
                </c:pt>
                <c:pt idx="5">
                  <c:v>9.4641817122888744E-2</c:v>
                </c:pt>
                <c:pt idx="6">
                  <c:v>9.113001215066828E-2</c:v>
                </c:pt>
                <c:pt idx="7">
                  <c:v>8.6723431094292022E-2</c:v>
                </c:pt>
                <c:pt idx="8">
                  <c:v>8.4918478260869568E-2</c:v>
                </c:pt>
                <c:pt idx="9">
                  <c:v>8.1433224755700334E-2</c:v>
                </c:pt>
                <c:pt idx="10">
                  <c:v>7.9522862823061632E-2</c:v>
                </c:pt>
                <c:pt idx="11">
                  <c:v>7.8334825425246196E-2</c:v>
                </c:pt>
                <c:pt idx="12">
                  <c:v>7.5566750629722887E-2</c:v>
                </c:pt>
                <c:pt idx="13">
                  <c:v>7.2928821470245028E-2</c:v>
                </c:pt>
                <c:pt idx="14">
                  <c:v>6.8587105624142664E-2</c:v>
                </c:pt>
                <c:pt idx="15">
                  <c:v>6.097560975609758E-2</c:v>
                </c:pt>
                <c:pt idx="16">
                  <c:v>5.0403225806451624E-2</c:v>
                </c:pt>
                <c:pt idx="17">
                  <c:v>3.3738191632928474E-2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DB-4DA7-B2AB-2AF5C707D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297440"/>
        <c:axId val="644306624"/>
      </c:scatterChart>
      <c:valAx>
        <c:axId val="644297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06624"/>
        <c:crosses val="autoZero"/>
        <c:crossBetween val="midCat"/>
      </c:valAx>
      <c:valAx>
        <c:axId val="64430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9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(284.25)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3889982502187228E-2"/>
                  <c:y val="0.249537037037037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0.3375x</a:t>
                    </a:r>
                    <a:r>
                      <a:rPr lang="en-US" sz="1200" baseline="30000"/>
                      <a:t>0.4555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0.9982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360'!$B$37:$B$54</c:f>
              <c:numCache>
                <c:formatCode>General</c:formatCode>
                <c:ptCount val="18"/>
                <c:pt idx="0">
                  <c:v>9</c:v>
                </c:pt>
                <c:pt idx="1">
                  <c:v>8.5</c:v>
                </c:pt>
                <c:pt idx="2">
                  <c:v>8</c:v>
                </c:pt>
                <c:pt idx="3">
                  <c:v>7.5</c:v>
                </c:pt>
                <c:pt idx="4">
                  <c:v>7</c:v>
                </c:pt>
                <c:pt idx="5">
                  <c:v>6.5</c:v>
                </c:pt>
                <c:pt idx="6">
                  <c:v>6</c:v>
                </c:pt>
                <c:pt idx="7">
                  <c:v>5.5</c:v>
                </c:pt>
                <c:pt idx="8">
                  <c:v>5</c:v>
                </c:pt>
                <c:pt idx="9">
                  <c:v>4.5</c:v>
                </c:pt>
                <c:pt idx="10">
                  <c:v>4</c:v>
                </c:pt>
                <c:pt idx="11">
                  <c:v>3.5</c:v>
                </c:pt>
                <c:pt idx="12">
                  <c:v>3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>
                  <c:v>0.5</c:v>
                </c:pt>
              </c:numCache>
            </c:numRef>
          </c:xVal>
          <c:yVal>
            <c:numRef>
              <c:f>'Collected Data Site 360'!$E$37:$E$54</c:f>
              <c:numCache>
                <c:formatCode>General</c:formatCode>
                <c:ptCount val="18"/>
                <c:pt idx="0">
                  <c:v>0.92</c:v>
                </c:pt>
                <c:pt idx="1">
                  <c:v>0.9</c:v>
                </c:pt>
                <c:pt idx="2">
                  <c:v>0.89</c:v>
                </c:pt>
                <c:pt idx="3">
                  <c:v>0.86</c:v>
                </c:pt>
                <c:pt idx="4">
                  <c:v>0.84</c:v>
                </c:pt>
                <c:pt idx="5">
                  <c:v>0.8</c:v>
                </c:pt>
                <c:pt idx="6">
                  <c:v>0.76</c:v>
                </c:pt>
                <c:pt idx="7">
                  <c:v>0.73</c:v>
                </c:pt>
                <c:pt idx="8">
                  <c:v>0.69</c:v>
                </c:pt>
                <c:pt idx="9">
                  <c:v>0.65</c:v>
                </c:pt>
                <c:pt idx="10">
                  <c:v>0.62</c:v>
                </c:pt>
                <c:pt idx="11">
                  <c:v>0.59</c:v>
                </c:pt>
                <c:pt idx="12">
                  <c:v>0.55000000000000004</c:v>
                </c:pt>
                <c:pt idx="13">
                  <c:v>0.51</c:v>
                </c:pt>
                <c:pt idx="14">
                  <c:v>0.46</c:v>
                </c:pt>
                <c:pt idx="15">
                  <c:v>0.41</c:v>
                </c:pt>
                <c:pt idx="16">
                  <c:v>0.34</c:v>
                </c:pt>
                <c:pt idx="1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B6-4B75-912A-7300A0856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44680"/>
        <c:axId val="623142384"/>
      </c:scatterChart>
      <c:valAx>
        <c:axId val="623144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42384"/>
        <c:crosses val="autoZero"/>
        <c:crossBetween val="midCat"/>
      </c:valAx>
      <c:valAx>
        <c:axId val="623142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4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(310.01)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5205227471566053"/>
                  <c:y val="7.361111111111111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0.3318x</a:t>
                    </a:r>
                    <a:r>
                      <a:rPr lang="en-US" sz="1200" baseline="30000"/>
                      <a:t>0.4762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0.9968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360'!$H$37:$H$52</c:f>
              <c:numCache>
                <c:formatCode>General</c:formatCode>
                <c:ptCount val="16"/>
                <c:pt idx="0">
                  <c:v>8</c:v>
                </c:pt>
                <c:pt idx="1">
                  <c:v>7.5</c:v>
                </c:pt>
                <c:pt idx="2">
                  <c:v>7</c:v>
                </c:pt>
                <c:pt idx="3">
                  <c:v>6.5</c:v>
                </c:pt>
                <c:pt idx="4">
                  <c:v>6</c:v>
                </c:pt>
                <c:pt idx="5">
                  <c:v>5.5</c:v>
                </c:pt>
                <c:pt idx="6">
                  <c:v>5</c:v>
                </c:pt>
                <c:pt idx="7">
                  <c:v>4.5</c:v>
                </c:pt>
                <c:pt idx="8">
                  <c:v>4</c:v>
                </c:pt>
                <c:pt idx="9">
                  <c:v>3.5</c:v>
                </c:pt>
                <c:pt idx="10">
                  <c:v>3</c:v>
                </c:pt>
                <c:pt idx="11">
                  <c:v>2.5</c:v>
                </c:pt>
                <c:pt idx="12">
                  <c:v>2</c:v>
                </c:pt>
                <c:pt idx="13">
                  <c:v>1.5</c:v>
                </c:pt>
                <c:pt idx="14">
                  <c:v>1</c:v>
                </c:pt>
                <c:pt idx="15">
                  <c:v>0.5</c:v>
                </c:pt>
              </c:numCache>
            </c:numRef>
          </c:xVal>
          <c:yVal>
            <c:numRef>
              <c:f>'Collected Data Site 360'!$K$37:$K$52</c:f>
              <c:numCache>
                <c:formatCode>General</c:formatCode>
                <c:ptCount val="16"/>
                <c:pt idx="0">
                  <c:v>0.9</c:v>
                </c:pt>
                <c:pt idx="1">
                  <c:v>0.88</c:v>
                </c:pt>
                <c:pt idx="2">
                  <c:v>0.86</c:v>
                </c:pt>
                <c:pt idx="3">
                  <c:v>0.83</c:v>
                </c:pt>
                <c:pt idx="4">
                  <c:v>0.79</c:v>
                </c:pt>
                <c:pt idx="5">
                  <c:v>0.75</c:v>
                </c:pt>
                <c:pt idx="6">
                  <c:v>0.71</c:v>
                </c:pt>
                <c:pt idx="7">
                  <c:v>0.67</c:v>
                </c:pt>
                <c:pt idx="8">
                  <c:v>0.63</c:v>
                </c:pt>
                <c:pt idx="9">
                  <c:v>0.59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0.45</c:v>
                </c:pt>
                <c:pt idx="13">
                  <c:v>0.4</c:v>
                </c:pt>
                <c:pt idx="14">
                  <c:v>0.33</c:v>
                </c:pt>
                <c:pt idx="15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B7-466E-AD06-277B50A5B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01392"/>
        <c:axId val="624405000"/>
      </c:scatterChart>
      <c:valAx>
        <c:axId val="624401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05000"/>
        <c:crosses val="autoZero"/>
        <c:crossBetween val="midCat"/>
      </c:valAx>
      <c:valAx>
        <c:axId val="624405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(354.94)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0205227471566052"/>
                  <c:y val="0.21421988918051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0.1781x</a:t>
                    </a:r>
                    <a:r>
                      <a:rPr lang="en-US" sz="1200" baseline="30000"/>
                      <a:t>0.6729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0.9879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360'!$N$37:$N$52</c:f>
              <c:numCache>
                <c:formatCode>General</c:formatCode>
                <c:ptCount val="16"/>
                <c:pt idx="0">
                  <c:v>8</c:v>
                </c:pt>
                <c:pt idx="1">
                  <c:v>7.5</c:v>
                </c:pt>
                <c:pt idx="2">
                  <c:v>7</c:v>
                </c:pt>
                <c:pt idx="3">
                  <c:v>6.5</c:v>
                </c:pt>
                <c:pt idx="4">
                  <c:v>6</c:v>
                </c:pt>
                <c:pt idx="5">
                  <c:v>5.5</c:v>
                </c:pt>
                <c:pt idx="6">
                  <c:v>5</c:v>
                </c:pt>
                <c:pt idx="7">
                  <c:v>4.5</c:v>
                </c:pt>
                <c:pt idx="8">
                  <c:v>4</c:v>
                </c:pt>
                <c:pt idx="9">
                  <c:v>3.5</c:v>
                </c:pt>
                <c:pt idx="10">
                  <c:v>3</c:v>
                </c:pt>
                <c:pt idx="11">
                  <c:v>2.5</c:v>
                </c:pt>
                <c:pt idx="12">
                  <c:v>2</c:v>
                </c:pt>
                <c:pt idx="13">
                  <c:v>1.5</c:v>
                </c:pt>
                <c:pt idx="14">
                  <c:v>1</c:v>
                </c:pt>
                <c:pt idx="15">
                  <c:v>0.5</c:v>
                </c:pt>
              </c:numCache>
            </c:numRef>
          </c:xVal>
          <c:yVal>
            <c:numRef>
              <c:f>'Collected Data Site 360'!$Q$37:$Q$52</c:f>
              <c:numCache>
                <c:formatCode>General</c:formatCode>
                <c:ptCount val="16"/>
                <c:pt idx="0">
                  <c:v>0.73</c:v>
                </c:pt>
                <c:pt idx="1">
                  <c:v>0.71</c:v>
                </c:pt>
                <c:pt idx="2">
                  <c:v>0.69</c:v>
                </c:pt>
                <c:pt idx="3">
                  <c:v>0.66</c:v>
                </c:pt>
                <c:pt idx="4">
                  <c:v>0.63</c:v>
                </c:pt>
                <c:pt idx="5">
                  <c:v>0.57999999999999996</c:v>
                </c:pt>
                <c:pt idx="6">
                  <c:v>0.52</c:v>
                </c:pt>
                <c:pt idx="7">
                  <c:v>0.48</c:v>
                </c:pt>
                <c:pt idx="8">
                  <c:v>0.44</c:v>
                </c:pt>
                <c:pt idx="9">
                  <c:v>0.4</c:v>
                </c:pt>
                <c:pt idx="10">
                  <c:v>0.35</c:v>
                </c:pt>
                <c:pt idx="11">
                  <c:v>0.31</c:v>
                </c:pt>
                <c:pt idx="12">
                  <c:v>0.27</c:v>
                </c:pt>
                <c:pt idx="13">
                  <c:v>0.22</c:v>
                </c:pt>
                <c:pt idx="14">
                  <c:v>0.17</c:v>
                </c:pt>
                <c:pt idx="15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84-4357-8E71-7348E2673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57808"/>
        <c:axId val="624459120"/>
      </c:scatterChart>
      <c:valAx>
        <c:axId val="624457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59120"/>
        <c:crosses val="autoZero"/>
        <c:crossBetween val="midCat"/>
      </c:valAx>
      <c:valAx>
        <c:axId val="624459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5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(393.06)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2465288713910759"/>
                  <c:y val="0.1384259259259259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0.2607x</a:t>
                    </a:r>
                    <a:r>
                      <a:rPr lang="en-US" sz="1200" baseline="30000"/>
                      <a:t>0.4927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0.9928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360'!$T$37:$T$56</c:f>
              <c:numCache>
                <c:formatCode>General</c:formatCode>
                <c:ptCount val="20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</c:numCache>
            </c:numRef>
          </c:xVal>
          <c:yVal>
            <c:numRef>
              <c:f>'Collected Data Site 360'!$W$37:$W$56</c:f>
              <c:numCache>
                <c:formatCode>General</c:formatCode>
                <c:ptCount val="20"/>
                <c:pt idx="0">
                  <c:v>0.79</c:v>
                </c:pt>
                <c:pt idx="1">
                  <c:v>0.78</c:v>
                </c:pt>
                <c:pt idx="2">
                  <c:v>0.77</c:v>
                </c:pt>
                <c:pt idx="3">
                  <c:v>0.76</c:v>
                </c:pt>
                <c:pt idx="4">
                  <c:v>0.74</c:v>
                </c:pt>
                <c:pt idx="5">
                  <c:v>0.73</c:v>
                </c:pt>
                <c:pt idx="6">
                  <c:v>0.71</c:v>
                </c:pt>
                <c:pt idx="7">
                  <c:v>0.68</c:v>
                </c:pt>
                <c:pt idx="8">
                  <c:v>0.66</c:v>
                </c:pt>
                <c:pt idx="9">
                  <c:v>0.61</c:v>
                </c:pt>
                <c:pt idx="10">
                  <c:v>0.56999999999999995</c:v>
                </c:pt>
                <c:pt idx="11">
                  <c:v>0.53</c:v>
                </c:pt>
                <c:pt idx="12">
                  <c:v>0.5</c:v>
                </c:pt>
                <c:pt idx="13">
                  <c:v>0.47</c:v>
                </c:pt>
                <c:pt idx="14">
                  <c:v>0.43</c:v>
                </c:pt>
                <c:pt idx="15">
                  <c:v>0.4</c:v>
                </c:pt>
                <c:pt idx="16">
                  <c:v>0.35</c:v>
                </c:pt>
                <c:pt idx="17">
                  <c:v>0.31</c:v>
                </c:pt>
                <c:pt idx="18">
                  <c:v>0.26</c:v>
                </c:pt>
                <c:pt idx="1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4E-4F24-9EA3-BAB601229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52232"/>
        <c:axId val="624453872"/>
      </c:scatterChart>
      <c:valAx>
        <c:axId val="624452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53872"/>
        <c:crosses val="autoZero"/>
        <c:crossBetween val="midCat"/>
      </c:valAx>
      <c:valAx>
        <c:axId val="62445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5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609600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C5916-64B3-47F7-AD31-38B3C764C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0</xdr:row>
      <xdr:rowOff>0</xdr:rowOff>
    </xdr:from>
    <xdr:to>
      <xdr:col>9</xdr:col>
      <xdr:colOff>228600</xdr:colOff>
      <xdr:row>13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29AE1-1497-4A56-ACD4-9897AE483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236220</xdr:colOff>
      <xdr:row>0</xdr:row>
      <xdr:rowOff>0</xdr:rowOff>
    </xdr:from>
    <xdr:to>
      <xdr:col>13</xdr:col>
      <xdr:colOff>845820</xdr:colOff>
      <xdr:row>13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9BD35B-08C7-4EBB-BAD6-F7A3758D5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830580</xdr:colOff>
      <xdr:row>0</xdr:row>
      <xdr:rowOff>0</xdr:rowOff>
    </xdr:from>
    <xdr:to>
      <xdr:col>18</xdr:col>
      <xdr:colOff>449580</xdr:colOff>
      <xdr:row>13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F60A92-4111-493A-98A9-564E3B31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434340</xdr:colOff>
      <xdr:row>0</xdr:row>
      <xdr:rowOff>0</xdr:rowOff>
    </xdr:from>
    <xdr:to>
      <xdr:col>23</xdr:col>
      <xdr:colOff>53340</xdr:colOff>
      <xdr:row>13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D484EA-CDBB-43DF-84DB-7AC26EA6D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4</xdr:col>
      <xdr:colOff>609600</xdr:colOff>
      <xdr:row>27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820A1A-DDCC-4FEE-9AF0-A4AC60B9F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594360</xdr:colOff>
      <xdr:row>14</xdr:row>
      <xdr:rowOff>15240</xdr:rowOff>
    </xdr:from>
    <xdr:to>
      <xdr:col>9</xdr:col>
      <xdr:colOff>213360</xdr:colOff>
      <xdr:row>27</xdr:row>
      <xdr:rowOff>182880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3E2046-60A2-48F7-87FD-CD24D146C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205740</xdr:colOff>
      <xdr:row>13</xdr:row>
      <xdr:rowOff>175260</xdr:rowOff>
    </xdr:from>
    <xdr:to>
      <xdr:col>13</xdr:col>
      <xdr:colOff>815340</xdr:colOff>
      <xdr:row>27</xdr:row>
      <xdr:rowOff>144780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8436BF-FDB3-46EC-9FF2-FFC3236FF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800100</xdr:colOff>
      <xdr:row>14</xdr:row>
      <xdr:rowOff>0</xdr:rowOff>
    </xdr:from>
    <xdr:to>
      <xdr:col>18</xdr:col>
      <xdr:colOff>419100</xdr:colOff>
      <xdr:row>27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BEB0B2-97BE-45B1-BE52-5399A5727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411480</xdr:colOff>
      <xdr:row>14</xdr:row>
      <xdr:rowOff>0</xdr:rowOff>
    </xdr:from>
    <xdr:to>
      <xdr:col>23</xdr:col>
      <xdr:colOff>30480</xdr:colOff>
      <xdr:row>27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D83E4C-0ADD-47DF-9A7F-6CC9A7435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609600</xdr:colOff>
      <xdr:row>41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B6705A-7D14-4258-B937-0A89C6D07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609600</xdr:colOff>
      <xdr:row>28</xdr:row>
      <xdr:rowOff>0</xdr:rowOff>
    </xdr:from>
    <xdr:to>
      <xdr:col>9</xdr:col>
      <xdr:colOff>228600</xdr:colOff>
      <xdr:row>41</xdr:row>
      <xdr:rowOff>167640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EC2378-C623-410C-91A8-A0B4AF9F9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175260</xdr:colOff>
      <xdr:row>28</xdr:row>
      <xdr:rowOff>7620</xdr:rowOff>
    </xdr:from>
    <xdr:to>
      <xdr:col>13</xdr:col>
      <xdr:colOff>784860</xdr:colOff>
      <xdr:row>41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3F3F52-5459-443A-95A2-930C0E40A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609600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0B957-8F26-4FF7-BF80-EB78EFA62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0</xdr:row>
      <xdr:rowOff>0</xdr:rowOff>
    </xdr:from>
    <xdr:to>
      <xdr:col>9</xdr:col>
      <xdr:colOff>228600</xdr:colOff>
      <xdr:row>13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9A2372-C5B6-4EF5-B35B-9214A4CB9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0</xdr:row>
      <xdr:rowOff>0</xdr:rowOff>
    </xdr:from>
    <xdr:to>
      <xdr:col>13</xdr:col>
      <xdr:colOff>822960</xdr:colOff>
      <xdr:row>13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3D3A88-E1A0-459A-A224-5C175B9DC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822960</xdr:colOff>
      <xdr:row>0</xdr:row>
      <xdr:rowOff>0</xdr:rowOff>
    </xdr:from>
    <xdr:to>
      <xdr:col>18</xdr:col>
      <xdr:colOff>441960</xdr:colOff>
      <xdr:row>13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714F8D-B4BB-4B62-9BE7-5EF80645B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441960</xdr:colOff>
      <xdr:row>0</xdr:row>
      <xdr:rowOff>0</xdr:rowOff>
    </xdr:from>
    <xdr:to>
      <xdr:col>23</xdr:col>
      <xdr:colOff>60960</xdr:colOff>
      <xdr:row>13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B45BCD-78F8-404F-A06F-7F2FD8353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4</xdr:col>
      <xdr:colOff>609600</xdr:colOff>
      <xdr:row>27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1DAF07-0F44-4CB6-887C-8BEC52DC7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609600</xdr:colOff>
      <xdr:row>14</xdr:row>
      <xdr:rowOff>15240</xdr:rowOff>
    </xdr:from>
    <xdr:to>
      <xdr:col>9</xdr:col>
      <xdr:colOff>228600</xdr:colOff>
      <xdr:row>27</xdr:row>
      <xdr:rowOff>182880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518560-420A-445C-AE57-B23BB3530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190500</xdr:colOff>
      <xdr:row>14</xdr:row>
      <xdr:rowOff>15240</xdr:rowOff>
    </xdr:from>
    <xdr:to>
      <xdr:col>13</xdr:col>
      <xdr:colOff>800100</xdr:colOff>
      <xdr:row>27</xdr:row>
      <xdr:rowOff>182880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B6150D-0990-423A-9C3B-59C48D304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784860</xdr:colOff>
      <xdr:row>14</xdr:row>
      <xdr:rowOff>0</xdr:rowOff>
    </xdr:from>
    <xdr:to>
      <xdr:col>18</xdr:col>
      <xdr:colOff>403860</xdr:colOff>
      <xdr:row>27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0F939C-A266-43B2-8A83-C875ED1B4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419100</xdr:colOff>
      <xdr:row>13</xdr:row>
      <xdr:rowOff>190500</xdr:rowOff>
    </xdr:from>
    <xdr:to>
      <xdr:col>23</xdr:col>
      <xdr:colOff>38100</xdr:colOff>
      <xdr:row>27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1896FCE-6A0A-462E-9EE9-9C3C2CF5D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609600</xdr:colOff>
      <xdr:row>41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48A3AB-0FB3-42E7-8156-5F72D78E7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586740</xdr:colOff>
      <xdr:row>27</xdr:row>
      <xdr:rowOff>190500</xdr:rowOff>
    </xdr:from>
    <xdr:to>
      <xdr:col>9</xdr:col>
      <xdr:colOff>205740</xdr:colOff>
      <xdr:row>41</xdr:row>
      <xdr:rowOff>160020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91F726-3DEC-4FAB-90DD-A1F2777AC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205740</xdr:colOff>
      <xdr:row>27</xdr:row>
      <xdr:rowOff>190500</xdr:rowOff>
    </xdr:from>
    <xdr:to>
      <xdr:col>13</xdr:col>
      <xdr:colOff>815340</xdr:colOff>
      <xdr:row>41</xdr:row>
      <xdr:rowOff>160020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DD3CA10-F15B-48F9-B528-751CBE002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609600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6B419-C9EC-439B-8193-CE3AB5685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0</xdr:row>
      <xdr:rowOff>0</xdr:rowOff>
    </xdr:from>
    <xdr:to>
      <xdr:col>9</xdr:col>
      <xdr:colOff>220980</xdr:colOff>
      <xdr:row>13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098B63-F196-4320-8AB3-7D64D1DC6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0</xdr:row>
      <xdr:rowOff>0</xdr:rowOff>
    </xdr:from>
    <xdr:to>
      <xdr:col>13</xdr:col>
      <xdr:colOff>822960</xdr:colOff>
      <xdr:row>13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B01C70-CDEB-46F1-9ED2-44692E7ED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868680</xdr:colOff>
      <xdr:row>0</xdr:row>
      <xdr:rowOff>0</xdr:rowOff>
    </xdr:from>
    <xdr:to>
      <xdr:col>18</xdr:col>
      <xdr:colOff>487680</xdr:colOff>
      <xdr:row>13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9593B7-877D-4E07-8946-B18A8222B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434340</xdr:colOff>
      <xdr:row>0</xdr:row>
      <xdr:rowOff>0</xdr:rowOff>
    </xdr:from>
    <xdr:to>
      <xdr:col>23</xdr:col>
      <xdr:colOff>53340</xdr:colOff>
      <xdr:row>13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9A6A10-EEA9-41DA-8581-D284E77AC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4</xdr:col>
      <xdr:colOff>609600</xdr:colOff>
      <xdr:row>27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4F8FCA-FE3E-42A1-8253-A87890F2A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609600</xdr:colOff>
      <xdr:row>14</xdr:row>
      <xdr:rowOff>0</xdr:rowOff>
    </xdr:from>
    <xdr:to>
      <xdr:col>9</xdr:col>
      <xdr:colOff>228600</xdr:colOff>
      <xdr:row>27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1EC205-B4CE-4279-9349-CE2B17C14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198120</xdr:colOff>
      <xdr:row>14</xdr:row>
      <xdr:rowOff>0</xdr:rowOff>
    </xdr:from>
    <xdr:to>
      <xdr:col>13</xdr:col>
      <xdr:colOff>807720</xdr:colOff>
      <xdr:row>27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868372-A58F-4BF0-B6E5-6BF6A398E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792480</xdr:colOff>
      <xdr:row>14</xdr:row>
      <xdr:rowOff>0</xdr:rowOff>
    </xdr:from>
    <xdr:to>
      <xdr:col>18</xdr:col>
      <xdr:colOff>411480</xdr:colOff>
      <xdr:row>27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917BF0-9C6F-4DF4-82DD-78614DB16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403860</xdr:colOff>
      <xdr:row>14</xdr:row>
      <xdr:rowOff>0</xdr:rowOff>
    </xdr:from>
    <xdr:to>
      <xdr:col>23</xdr:col>
      <xdr:colOff>22860</xdr:colOff>
      <xdr:row>27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FFD878-3395-4BA8-9676-F55D1AD4F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609600</xdr:colOff>
      <xdr:row>41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1D9799-BC6D-42FC-8472-CC5979605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609600</xdr:colOff>
      <xdr:row>28</xdr:row>
      <xdr:rowOff>7620</xdr:rowOff>
    </xdr:from>
    <xdr:to>
      <xdr:col>9</xdr:col>
      <xdr:colOff>228600</xdr:colOff>
      <xdr:row>41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7284A76-631B-4DE5-B125-52FEFDF3E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228600</xdr:colOff>
      <xdr:row>27</xdr:row>
      <xdr:rowOff>190500</xdr:rowOff>
    </xdr:from>
    <xdr:to>
      <xdr:col>13</xdr:col>
      <xdr:colOff>838200</xdr:colOff>
      <xdr:row>41</xdr:row>
      <xdr:rowOff>160020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C41D0FC-574C-489F-8C47-B33425D8A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609600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BC937-BDE6-4934-ACC2-05312F296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617220</xdr:colOff>
      <xdr:row>0</xdr:row>
      <xdr:rowOff>0</xdr:rowOff>
    </xdr:from>
    <xdr:to>
      <xdr:col>9</xdr:col>
      <xdr:colOff>236220</xdr:colOff>
      <xdr:row>13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6B295-C788-4A44-BB94-E25A09874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205740</xdr:colOff>
      <xdr:row>0</xdr:row>
      <xdr:rowOff>0</xdr:rowOff>
    </xdr:from>
    <xdr:to>
      <xdr:col>13</xdr:col>
      <xdr:colOff>815340</xdr:colOff>
      <xdr:row>13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3B20C-27B2-43EE-BF55-2DFCB61CA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784860</xdr:colOff>
      <xdr:row>0</xdr:row>
      <xdr:rowOff>0</xdr:rowOff>
    </xdr:from>
    <xdr:to>
      <xdr:col>18</xdr:col>
      <xdr:colOff>403860</xdr:colOff>
      <xdr:row>13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BFB34A-86B9-4B96-B56F-E777661D3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381000</xdr:colOff>
      <xdr:row>0</xdr:row>
      <xdr:rowOff>0</xdr:rowOff>
    </xdr:from>
    <xdr:to>
      <xdr:col>23</xdr:col>
      <xdr:colOff>0</xdr:colOff>
      <xdr:row>13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A9A115-D94F-419B-B215-85F9B0C9D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4</xdr:col>
      <xdr:colOff>609600</xdr:colOff>
      <xdr:row>27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54C8C8-4868-45E1-BF3D-F7D49F573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586740</xdr:colOff>
      <xdr:row>14</xdr:row>
      <xdr:rowOff>7620</xdr:rowOff>
    </xdr:from>
    <xdr:to>
      <xdr:col>9</xdr:col>
      <xdr:colOff>205740</xdr:colOff>
      <xdr:row>27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80E333-EF64-4BEE-8620-C75DA559C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182880</xdr:colOff>
      <xdr:row>14</xdr:row>
      <xdr:rowOff>7620</xdr:rowOff>
    </xdr:from>
    <xdr:to>
      <xdr:col>13</xdr:col>
      <xdr:colOff>792480</xdr:colOff>
      <xdr:row>27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EAE2A8-6811-4221-A102-91D3F10A3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777240</xdr:colOff>
      <xdr:row>14</xdr:row>
      <xdr:rowOff>7620</xdr:rowOff>
    </xdr:from>
    <xdr:to>
      <xdr:col>18</xdr:col>
      <xdr:colOff>396240</xdr:colOff>
      <xdr:row>27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50E970-B576-4385-84C7-B51E89A4C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373380</xdr:colOff>
      <xdr:row>14</xdr:row>
      <xdr:rowOff>0</xdr:rowOff>
    </xdr:from>
    <xdr:to>
      <xdr:col>22</xdr:col>
      <xdr:colOff>982980</xdr:colOff>
      <xdr:row>27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420497-893B-4008-8C8B-8DCB1F858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609600</xdr:colOff>
      <xdr:row>41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66BF05C-66EA-41D0-A7FD-EFC070C6F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594360</xdr:colOff>
      <xdr:row>27</xdr:row>
      <xdr:rowOff>182880</xdr:rowOff>
    </xdr:from>
    <xdr:to>
      <xdr:col>9</xdr:col>
      <xdr:colOff>213360</xdr:colOff>
      <xdr:row>41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5B48DE-33E0-4F19-BD04-2B3FBC4C0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198120</xdr:colOff>
      <xdr:row>28</xdr:row>
      <xdr:rowOff>7620</xdr:rowOff>
    </xdr:from>
    <xdr:to>
      <xdr:col>13</xdr:col>
      <xdr:colOff>807720</xdr:colOff>
      <xdr:row>41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610F32-C0E8-4F70-8814-157A31D6F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AG80"/>
  <sheetViews>
    <sheetView topLeftCell="U1" workbookViewId="0">
      <selection activeCell="T75" sqref="T75"/>
    </sheetView>
  </sheetViews>
  <sheetFormatPr defaultColWidth="14.44140625" defaultRowHeight="15.75" customHeight="1" x14ac:dyDescent="0.25"/>
  <cols>
    <col min="2" max="2" width="22.6640625" customWidth="1"/>
    <col min="8" max="8" width="22.6640625" customWidth="1"/>
    <col min="14" max="14" width="22.6640625" customWidth="1"/>
    <col min="20" max="20" width="22.6640625" customWidth="1"/>
    <col min="26" max="26" width="22.6640625" customWidth="1"/>
  </cols>
  <sheetData>
    <row r="2" spans="2:33" x14ac:dyDescent="0.25">
      <c r="B2" s="1" t="s">
        <v>0</v>
      </c>
      <c r="C2" s="2">
        <v>360</v>
      </c>
      <c r="D2" s="3"/>
      <c r="E2" s="3"/>
      <c r="F2" s="3"/>
      <c r="H2" s="1" t="s">
        <v>0</v>
      </c>
      <c r="I2" s="2">
        <v>360</v>
      </c>
      <c r="J2" s="3"/>
      <c r="K2" s="3"/>
      <c r="L2" s="3"/>
      <c r="N2" s="1" t="s">
        <v>0</v>
      </c>
      <c r="O2" s="2">
        <v>360</v>
      </c>
      <c r="P2" s="3"/>
      <c r="Q2" s="3"/>
      <c r="R2" s="3"/>
      <c r="T2" s="1" t="s">
        <v>0</v>
      </c>
      <c r="U2" s="2">
        <v>360</v>
      </c>
      <c r="V2" s="3"/>
      <c r="W2" s="3"/>
      <c r="X2" s="3"/>
      <c r="Z2" s="1" t="s">
        <v>0</v>
      </c>
      <c r="AA2" s="2">
        <v>360</v>
      </c>
      <c r="AB2" s="3"/>
      <c r="AC2" s="3"/>
      <c r="AD2" s="3"/>
      <c r="AE2" s="3"/>
      <c r="AF2" s="3"/>
      <c r="AG2" s="3"/>
    </row>
    <row r="3" spans="2:33" x14ac:dyDescent="0.25">
      <c r="B3" s="4" t="s">
        <v>1</v>
      </c>
      <c r="C3" s="2">
        <v>24.07</v>
      </c>
      <c r="D3" s="3"/>
      <c r="E3" s="3"/>
      <c r="F3" s="3"/>
      <c r="H3" s="4" t="s">
        <v>1</v>
      </c>
      <c r="I3" s="2">
        <v>50.87</v>
      </c>
      <c r="J3" s="3"/>
      <c r="K3" s="3"/>
      <c r="L3" s="3"/>
      <c r="N3" s="4" t="s">
        <v>1</v>
      </c>
      <c r="O3" s="2">
        <v>113.56</v>
      </c>
      <c r="P3" s="3"/>
      <c r="Q3" s="3"/>
      <c r="R3" s="3"/>
      <c r="T3" s="4" t="s">
        <v>1</v>
      </c>
      <c r="U3" s="2">
        <v>195.93</v>
      </c>
      <c r="V3" s="3"/>
      <c r="W3" s="3"/>
      <c r="X3" s="3"/>
      <c r="Z3" s="4" t="s">
        <v>1</v>
      </c>
      <c r="AA3" s="2">
        <v>240.85</v>
      </c>
      <c r="AB3" s="3"/>
      <c r="AC3" s="3"/>
      <c r="AD3" s="3"/>
      <c r="AE3" s="3"/>
      <c r="AF3" s="3"/>
      <c r="AG3" s="3"/>
    </row>
    <row r="4" spans="2:33" x14ac:dyDescent="0.25">
      <c r="B4" s="5"/>
      <c r="C4" s="6"/>
      <c r="D4" s="6"/>
      <c r="E4" s="6"/>
      <c r="F4" s="6"/>
      <c r="H4" s="5"/>
      <c r="I4" s="6"/>
      <c r="J4" s="6"/>
      <c r="K4" s="6"/>
      <c r="L4" s="6"/>
      <c r="N4" s="5"/>
      <c r="O4" s="6"/>
      <c r="P4" s="6"/>
      <c r="Q4" s="6"/>
      <c r="R4" s="6"/>
      <c r="T4" s="5"/>
      <c r="U4" s="6"/>
      <c r="V4" s="6"/>
      <c r="W4" s="6"/>
      <c r="X4" s="6"/>
      <c r="Z4" s="5"/>
      <c r="AA4" s="6"/>
      <c r="AB4" s="6"/>
      <c r="AC4" s="6"/>
      <c r="AD4" s="6"/>
      <c r="AE4" s="3"/>
      <c r="AF4" s="3"/>
      <c r="AG4" s="3"/>
    </row>
    <row r="5" spans="2:33" x14ac:dyDescent="0.25"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H5" s="7" t="s">
        <v>2</v>
      </c>
      <c r="I5" s="7" t="s">
        <v>3</v>
      </c>
      <c r="J5" s="7" t="s">
        <v>4</v>
      </c>
      <c r="K5" s="7" t="s">
        <v>5</v>
      </c>
      <c r="L5" s="7" t="s">
        <v>6</v>
      </c>
      <c r="N5" s="7" t="s">
        <v>2</v>
      </c>
      <c r="O5" s="7" t="s">
        <v>3</v>
      </c>
      <c r="P5" s="7" t="s">
        <v>4</v>
      </c>
      <c r="Q5" s="7" t="s">
        <v>5</v>
      </c>
      <c r="R5" s="7" t="s">
        <v>6</v>
      </c>
      <c r="T5" s="7" t="s">
        <v>2</v>
      </c>
      <c r="U5" s="7" t="s">
        <v>3</v>
      </c>
      <c r="V5" s="7" t="s">
        <v>4</v>
      </c>
      <c r="W5" s="7" t="s">
        <v>5</v>
      </c>
      <c r="X5" s="7" t="s">
        <v>6</v>
      </c>
      <c r="Z5" s="7" t="s">
        <v>2</v>
      </c>
      <c r="AA5" s="7" t="s">
        <v>3</v>
      </c>
      <c r="AB5" s="7" t="s">
        <v>4</v>
      </c>
      <c r="AC5" s="7" t="s">
        <v>5</v>
      </c>
      <c r="AD5" s="7" t="s">
        <v>6</v>
      </c>
      <c r="AE5" s="8"/>
      <c r="AF5" s="8"/>
      <c r="AG5" s="8"/>
    </row>
    <row r="6" spans="2:33" x14ac:dyDescent="0.25">
      <c r="B6" s="9">
        <v>10</v>
      </c>
      <c r="C6" s="10">
        <f>1.25+0.08+0.09+3.96+0.54+0.02+0.05+6.49+0.02+10.33+0.17+0.07+0.11+0.03</f>
        <v>23.21</v>
      </c>
      <c r="D6" s="10">
        <f>9.47+2.31+2.86+25.41+6.75+0.86+1.04+14.9+1.05+57.08+3.01+1.24+2.67+1.13</f>
        <v>129.77999999999997</v>
      </c>
      <c r="E6" s="9">
        <v>0.7</v>
      </c>
      <c r="F6" s="10">
        <f t="shared" ref="F6:F25" si="0">B6/C6</f>
        <v>0.43084877208099953</v>
      </c>
      <c r="H6" s="9">
        <v>10</v>
      </c>
      <c r="I6" s="10">
        <f>0.85+0.01+0.33+0.38+0.01+0.02+0.08+0.41+6.97+0.02+4.57</f>
        <v>13.649999999999999</v>
      </c>
      <c r="J6" s="10">
        <f>9.14+0.6+5.5+5.43+0.31+0.37+1.4+3.09+17.67+0.85+21.62</f>
        <v>65.98</v>
      </c>
      <c r="K6" s="9">
        <v>0.73</v>
      </c>
      <c r="L6" s="10">
        <f t="shared" ref="L6:L25" si="1">H6/I6</f>
        <v>0.73260073260073266</v>
      </c>
      <c r="N6" s="9">
        <v>10</v>
      </c>
      <c r="O6" s="10">
        <f>9.71+0.05+11.79+0.04+1.61+0.1+0.07</f>
        <v>23.37</v>
      </c>
      <c r="P6" s="10">
        <f>28.55+2.87+30.31+1.14+14.11+2.99+4.69</f>
        <v>84.66</v>
      </c>
      <c r="Q6" s="9">
        <v>0.83</v>
      </c>
      <c r="R6" s="10">
        <f t="shared" ref="R6:R25" si="2">N6/O6</f>
        <v>0.42789901583226359</v>
      </c>
      <c r="T6" s="9">
        <v>9</v>
      </c>
      <c r="U6" s="10">
        <f>2.05+15.03+2.44</f>
        <v>19.52</v>
      </c>
      <c r="V6" s="10">
        <f>18.25+32.14+9.93</f>
        <v>60.32</v>
      </c>
      <c r="W6" s="9">
        <v>0.87</v>
      </c>
      <c r="X6" s="10">
        <f t="shared" ref="X6:X23" si="3">T6/U6</f>
        <v>0.46106557377049179</v>
      </c>
      <c r="Z6" s="9">
        <v>12</v>
      </c>
      <c r="AA6" s="10">
        <f>0.11+0.01+0.11+0.81+0.05+0.35+0.15+0.15+8.62+0.05+1.19+0.14</f>
        <v>11.74</v>
      </c>
      <c r="AB6" s="10">
        <f>2.96+0.88+2.01+6.3+1.15+4.22+2.51+1.86+13.2+1.5+9.46+3.13</f>
        <v>49.180000000000007</v>
      </c>
      <c r="AC6" s="9">
        <v>0.9</v>
      </c>
      <c r="AD6" s="10">
        <f t="shared" ref="AD6:AD29" si="4">Z6/AA6</f>
        <v>1.0221465076660987</v>
      </c>
    </row>
    <row r="7" spans="2:33" x14ac:dyDescent="0.25">
      <c r="B7" s="9">
        <v>9.5</v>
      </c>
      <c r="C7" s="10">
        <f>1.2+0.07+0.01+0.07+3.8+0.5+0.01+0.04+6.26+0.09+0.01+9.58+0.27+0.15+0.06+0.04+0.05+0.02</f>
        <v>22.229999999999997</v>
      </c>
      <c r="D7" s="10">
        <f>9.44+2.14+0.65+1.44+25.51+6.63+0.76+0.9+13.37+1.36+0.9+54.49+2.5+2.79+1.14+0.95+1.42+0.98</f>
        <v>127.37000000000002</v>
      </c>
      <c r="E7" s="9">
        <v>0.69</v>
      </c>
      <c r="F7" s="10">
        <f t="shared" si="0"/>
        <v>0.42735042735042739</v>
      </c>
      <c r="H7" s="9">
        <v>9.5</v>
      </c>
      <c r="I7" s="10">
        <f>0.79+0.01+0.29+0.35+0.01+0.01+0.07+0.4+6.64+0.15+0.01+4.39</f>
        <v>13.120000000000001</v>
      </c>
      <c r="J7" s="10">
        <f>9.08+0.47+5.41+5.39+0.29+0.35+1.3+2.92+14.1+3.21+0.69+21.56</f>
        <v>64.77</v>
      </c>
      <c r="K7" s="9">
        <v>0.73</v>
      </c>
      <c r="L7" s="10">
        <f t="shared" si="1"/>
        <v>0.72408536585365846</v>
      </c>
      <c r="N7" s="9">
        <v>9.5</v>
      </c>
      <c r="O7" s="10">
        <f>9.46+0.01+0.02+11.42+0.03+1.47+0.04+0.04+0.02</f>
        <v>22.509999999999998</v>
      </c>
      <c r="P7" s="10">
        <f>28.4+1.02+1.06+29.96+1.13+14+1.14+1.46+0.94+2.86</f>
        <v>81.969999999999985</v>
      </c>
      <c r="Q7" s="9">
        <v>0.82</v>
      </c>
      <c r="R7" s="10">
        <f t="shared" si="2"/>
        <v>0.42203465126610401</v>
      </c>
      <c r="T7" s="9">
        <v>8.5</v>
      </c>
      <c r="U7" s="10">
        <f>0.24+1.57+14.71+2.32</f>
        <v>18.84</v>
      </c>
      <c r="V7" s="10">
        <f>3.72+14.11+32.06+9.84</f>
        <v>59.730000000000004</v>
      </c>
      <c r="W7" s="9">
        <v>0.86</v>
      </c>
      <c r="X7" s="10">
        <f t="shared" si="3"/>
        <v>0.45116772823779194</v>
      </c>
      <c r="Z7" s="9">
        <v>11.5</v>
      </c>
      <c r="AA7" s="10">
        <f>0.07+0.09+0.73+0.04+0.31+0.12+0.13+8.46+0.02+0.01+1.08+0.11</f>
        <v>11.17</v>
      </c>
      <c r="AB7" s="10">
        <f>2.85+1.85+6.24+0.95+3.78+2.39+1.69+12.86+0.59+0.67+9.14+2.9</f>
        <v>45.910000000000004</v>
      </c>
      <c r="AC7" s="9">
        <v>0.89</v>
      </c>
      <c r="AD7" s="10">
        <f t="shared" si="4"/>
        <v>1.0295434198746642</v>
      </c>
      <c r="AE7" s="8"/>
      <c r="AF7" s="8"/>
      <c r="AG7" s="8"/>
    </row>
    <row r="8" spans="2:33" x14ac:dyDescent="0.25">
      <c r="B8" s="9">
        <v>9</v>
      </c>
      <c r="C8" s="10">
        <f>1.13+0.06+0.01+0.06+3.6+0.46+0.01+0.03+6.21+0.08+0.004+9.19+0.24+0.13+0.06+0.03+0.05+0.02</f>
        <v>21.373999999999999</v>
      </c>
      <c r="D8" s="10">
        <f>9.41+2.04+0.58+1.33+25.35+6.53+0.62+0.84+13.21+1.28+0.45+54.35+2.36+2.54+1.1+0.8+1.31+0.89</f>
        <v>124.99000000000001</v>
      </c>
      <c r="E8" s="9">
        <v>0.69</v>
      </c>
      <c r="F8" s="10">
        <f t="shared" si="0"/>
        <v>0.42107233086928048</v>
      </c>
      <c r="H8" s="9">
        <v>9</v>
      </c>
      <c r="I8" s="10">
        <f>0.54+0.19+0.25+0.09+0.22+0.01+0.01+0.06+0.38+6.63+0.13+0.01+4.26</f>
        <v>12.78</v>
      </c>
      <c r="J8" s="10">
        <f>4.79+4.17+5.33+2.03+3.12+0.26+0.32+0.31+1.19+2.84+13.76+3.08+0.52+21.4</f>
        <v>63.120000000000005</v>
      </c>
      <c r="K8" s="9">
        <v>0.72</v>
      </c>
      <c r="L8" s="10">
        <f t="shared" si="1"/>
        <v>0.70422535211267612</v>
      </c>
      <c r="N8" s="9">
        <v>9</v>
      </c>
      <c r="O8" s="10">
        <f>9.06+0.01+10.88+0.19+0.02+1.28+0.02+0.02+0.01</f>
        <v>21.490000000000006</v>
      </c>
      <c r="P8" s="10">
        <f>27.97+0.66+25.94+3.33+0.96+13.79+0.9+1.3+0.63</f>
        <v>75.48</v>
      </c>
      <c r="Q8" s="9">
        <v>0.81</v>
      </c>
      <c r="R8" s="10">
        <f t="shared" si="2"/>
        <v>0.41879944160074445</v>
      </c>
      <c r="T8" s="9">
        <v>8</v>
      </c>
      <c r="U8" s="10">
        <f>0.01+0.18+0.97+0.42+14.16+2.18</f>
        <v>17.920000000000002</v>
      </c>
      <c r="V8" s="10">
        <f>0.91+2.4+8.85+4.63+31.78+9.81</f>
        <v>58.38</v>
      </c>
      <c r="W8" s="9">
        <v>0.85</v>
      </c>
      <c r="X8" s="10">
        <f t="shared" si="3"/>
        <v>0.4464285714285714</v>
      </c>
      <c r="Z8" s="9">
        <v>11</v>
      </c>
      <c r="AA8" s="10">
        <f>0.01+0.02+0.06+0.64+0.02+0.25+0.09+0.11+8.22+0.02+0.97+0.04+0.03</f>
        <v>10.48</v>
      </c>
      <c r="AB8" s="10">
        <f>0.65+1.37+0.34+1.58+6.16+0.71+3.22+1.98+0.24+1.5+12.77+0.53+7.26+1.35+1.23</f>
        <v>40.889999999999993</v>
      </c>
      <c r="AC8" s="9">
        <v>0.88</v>
      </c>
      <c r="AD8" s="10">
        <f t="shared" si="4"/>
        <v>1.0496183206106871</v>
      </c>
    </row>
    <row r="9" spans="2:33" x14ac:dyDescent="0.25">
      <c r="B9" s="9">
        <v>8.5</v>
      </c>
      <c r="C9" s="10">
        <f>0.99+0.03+0.05+0.02+0.02+0.006+0.05+3.43+0.41+0.004+0.03+6.03+0.07+6.72+2.1+0.23+0.12+0.05+0.02+0.04+0.01</f>
        <v>20.430000000000003</v>
      </c>
      <c r="D9" s="10">
        <f>7.1+1.02+1.12+0.61+1.14+0.38+1.21+25.25+6.44+0.49+0.77+13.06+1.2+33.56+20.65+2.26+2.32+0.96+0.73+1.18+0.81</f>
        <v>122.26</v>
      </c>
      <c r="E9" s="9">
        <v>0.68</v>
      </c>
      <c r="F9" s="10">
        <f t="shared" si="0"/>
        <v>0.41605482134116489</v>
      </c>
      <c r="H9" s="9">
        <v>8.5</v>
      </c>
      <c r="I9" s="10">
        <f>0.52+0.16+0.22+0.08+0.19+0.01+0.01+0.06+0.35+6.46+0.11+4.11</f>
        <v>12.280000000000001</v>
      </c>
      <c r="J9" s="10">
        <f>4.72+4.06+0.18+5.18+1.85+2.97+0.24+0.28+1.14+2.67+13.62+2.95+0.36+21.52</f>
        <v>61.739999999999995</v>
      </c>
      <c r="K9" s="9">
        <v>0.71</v>
      </c>
      <c r="L9" s="10">
        <f t="shared" si="1"/>
        <v>0.69218241042345274</v>
      </c>
      <c r="N9" s="9">
        <v>8.5</v>
      </c>
      <c r="O9" s="10">
        <f>8.78+10.58+0.16+0.01+1.14+0.02</f>
        <v>20.69</v>
      </c>
      <c r="P9" s="10">
        <f>27.74+0.37+25.76+3+0.72+13.58+0.71+0.69+0.2+0.33</f>
        <v>73.099999999999994</v>
      </c>
      <c r="Q9" s="9">
        <v>0.8</v>
      </c>
      <c r="R9" s="10">
        <f t="shared" si="2"/>
        <v>0.41082648622522955</v>
      </c>
      <c r="T9" s="9">
        <v>7.5</v>
      </c>
      <c r="U9" s="10">
        <f>0.14+0.85+0.36+13.79+2.06</f>
        <v>17.2</v>
      </c>
      <c r="V9" s="10">
        <f>2.34+8.27+4.5+31.85+9.74</f>
        <v>56.7</v>
      </c>
      <c r="W9" s="9">
        <v>0.83</v>
      </c>
      <c r="X9" s="10">
        <f t="shared" si="3"/>
        <v>0.43604651162790697</v>
      </c>
      <c r="Z9" s="9">
        <v>10.5</v>
      </c>
      <c r="AA9" s="10">
        <f>0.01+0.01+0.04+0.52+0.03+0.01+0.2+0.06+0.09+8.09+0.86+0.02+0.01</f>
        <v>9.9499999999999993</v>
      </c>
      <c r="AB9" s="10">
        <f>0.27+1.03+1.27+4.85+0.98+0.55+3.04+1.8+1.31+12.63+0.37+7+1.06+0.88</f>
        <v>37.040000000000013</v>
      </c>
      <c r="AC9" s="9">
        <v>0.86</v>
      </c>
      <c r="AD9" s="10">
        <f t="shared" si="4"/>
        <v>1.0552763819095479</v>
      </c>
    </row>
    <row r="10" spans="2:33" x14ac:dyDescent="0.25">
      <c r="B10" s="9">
        <v>8</v>
      </c>
      <c r="C10" s="10">
        <f>0.93+0.02+0.04+0.02+0.01+0.4+3.23+0.36+0.02+6.05+0.06+0.2+6.23+1.95+0.22+0.09+0.04+0.03</f>
        <v>19.899999999999999</v>
      </c>
      <c r="D10" s="10">
        <f>7.07+0.71+1+0.58+0.67+1.07+25.03+6.3+0.67+12.98+1.11+4.05+28.75+20.52+2.23+2.15+0.83+1.02+0.69</f>
        <v>117.42999999999999</v>
      </c>
      <c r="E10" s="9">
        <v>0.67</v>
      </c>
      <c r="F10" s="10">
        <f t="shared" si="0"/>
        <v>0.4020100502512563</v>
      </c>
      <c r="H10" s="9">
        <v>8</v>
      </c>
      <c r="I10" s="10">
        <f>0.47+0.12+0.15+0.02+0.06+0.17+0.01+0.05+0.33+6.41+0.06+0.02+3.92</f>
        <v>11.79</v>
      </c>
      <c r="J10" s="10">
        <f>4.62+3.93+3.65+1.29+1.64+2.8+0.2+0.25+1.04+2.5+13.29+1.69+0.97+21.43</f>
        <v>59.3</v>
      </c>
      <c r="K10" s="9">
        <v>0.7</v>
      </c>
      <c r="L10" s="10">
        <f t="shared" si="1"/>
        <v>0.6785411365564038</v>
      </c>
      <c r="N10" s="9">
        <v>8</v>
      </c>
      <c r="O10" s="10">
        <f>8.46+10.26+0.12+0.29+0.69+0.01</f>
        <v>19.830000000000002</v>
      </c>
      <c r="P10" s="10">
        <f>27.66+25.88+2.64+0.44+4.14+9.23+0.52</f>
        <v>70.509999999999991</v>
      </c>
      <c r="Q10" s="9">
        <v>0.79</v>
      </c>
      <c r="R10" s="10">
        <f t="shared" si="2"/>
        <v>0.40342914775592531</v>
      </c>
      <c r="T10" s="9">
        <v>7</v>
      </c>
      <c r="U10" s="10">
        <f>0.12+0.11+0.63+0.3+13.36+1.93</f>
        <v>16.45</v>
      </c>
      <c r="V10" s="10">
        <f>2.15+2.05+5.73+4.3+31.78+9.74</f>
        <v>55.750000000000007</v>
      </c>
      <c r="W10" s="9">
        <v>0.82</v>
      </c>
      <c r="X10" s="10">
        <f t="shared" si="3"/>
        <v>0.42553191489361702</v>
      </c>
      <c r="Z10" s="9">
        <v>10</v>
      </c>
      <c r="AA10" s="10">
        <f>0.02+0.44+0.02+0.01+0.16+0.03+0.07+7.94+0.75+0.01</f>
        <v>9.4500000000000011</v>
      </c>
      <c r="AB10" s="10">
        <f>0.95+4.71+0.81+0.37+2.87+1.54+1.1+12.44+6.74+0.69+0.56</f>
        <v>32.78</v>
      </c>
      <c r="AC10" s="9">
        <v>0.85</v>
      </c>
      <c r="AD10" s="10">
        <f t="shared" si="4"/>
        <v>1.0582010582010581</v>
      </c>
    </row>
    <row r="11" spans="2:33" x14ac:dyDescent="0.25">
      <c r="B11" s="9">
        <v>7.5</v>
      </c>
      <c r="C11" s="10">
        <f>0.83+0.02+0.03+0.01+0.01+0.03+3.01+0.31+0.02+5.94+0.05+0.16+6.05+0.44+1.34+0.19+0.08+0.03+0.01+0.02</f>
        <v>18.580000000000005</v>
      </c>
      <c r="D11" s="10">
        <f>6.53+0.53+0.85+0.51+0.35+0.96+24.93+6.14+0.57+12.91+1.07+3.88+28.63+7.04+13.28+2.08+1.83+0.71+0.52+0.88</f>
        <v>114.19999999999999</v>
      </c>
      <c r="E11" s="9">
        <v>0.66</v>
      </c>
      <c r="F11" s="10">
        <f t="shared" si="0"/>
        <v>0.40365984930032284</v>
      </c>
      <c r="H11" s="9">
        <v>7.5</v>
      </c>
      <c r="I11" s="10">
        <f>0.43+0.03+0.06+0.11+0.01+0.05+0.15+0.01+0.04+0.3+6.34+0.05+0.01+3.71</f>
        <v>11.3</v>
      </c>
      <c r="J11" s="10">
        <f>4.48+1.2+2.17+3.4+1.02+1.4+2.65+0.16+0.21+0.93+2.46+12.96+1.6+0.77+21.46</f>
        <v>56.870000000000012</v>
      </c>
      <c r="K11" s="9">
        <v>0.7</v>
      </c>
      <c r="L11" s="10">
        <f t="shared" si="1"/>
        <v>0.66371681415929196</v>
      </c>
      <c r="N11" s="9">
        <v>7.5</v>
      </c>
      <c r="O11" s="10">
        <f>5.72+9.75+2.2+0.09+0.23+0.58</f>
        <v>18.569999999999997</v>
      </c>
      <c r="P11" s="10">
        <f>27.4+21.68+3.89+2.3+3.91+9.14</f>
        <v>68.319999999999993</v>
      </c>
      <c r="Q11" s="9">
        <v>0.77</v>
      </c>
      <c r="R11" s="10">
        <f t="shared" si="2"/>
        <v>0.40387722132471737</v>
      </c>
      <c r="T11" s="9">
        <v>6.5</v>
      </c>
      <c r="U11" s="10">
        <f>0.09+0.09+0.55+0.23+12.96+1.79</f>
        <v>15.71</v>
      </c>
      <c r="V11" s="10">
        <f>2.08+1.83+5.33+4.12+31.7+9.67</f>
        <v>54.730000000000004</v>
      </c>
      <c r="W11" s="9">
        <v>0.81</v>
      </c>
      <c r="X11" s="10">
        <f t="shared" si="3"/>
        <v>0.41374920432845319</v>
      </c>
      <c r="Z11" s="9">
        <v>9.5</v>
      </c>
      <c r="AA11" s="10">
        <f>0.01+0.34+0.1+0.01+0.05+7.58+0.62</f>
        <v>8.7099999999999991</v>
      </c>
      <c r="AB11" s="10">
        <f>0.51+4.52+0.56+0.14+2.69+0.56+0.94+12.15+6.39</f>
        <v>28.46</v>
      </c>
      <c r="AC11" s="9">
        <v>0.82</v>
      </c>
      <c r="AD11" s="10">
        <f t="shared" si="4"/>
        <v>1.0907003444316878</v>
      </c>
    </row>
    <row r="12" spans="2:33" x14ac:dyDescent="0.25">
      <c r="B12" s="9">
        <v>7</v>
      </c>
      <c r="C12" s="10">
        <f>0.82+0.01+0.02+0.01+0.02+2.8+0.25+0.01+5.79+0.04+0.13+5.85+0.39+1.23+0.18+0.07+0.03+0.01+0.04</f>
        <v>17.700000000000003</v>
      </c>
      <c r="D12" s="10">
        <f>6.95+0.48+0.74+0.47+0.25+0.83+24.79+6.03+0.52+12.68+0.98+3.67+28.38+6.82+13.2+2.02+1.63+0.63+0.47+0.72</f>
        <v>112.25999999999999</v>
      </c>
      <c r="E12" s="9">
        <v>0.65</v>
      </c>
      <c r="F12" s="10">
        <f t="shared" si="0"/>
        <v>0.39548022598870053</v>
      </c>
      <c r="H12" s="9">
        <v>7</v>
      </c>
      <c r="I12" s="10">
        <f>0.39+0.02+0.05+0.09+0.01+0.04+0.13+0.03+0.29+6.14+0.04+0.01+3.56</f>
        <v>10.799999999999999</v>
      </c>
      <c r="J12" s="10">
        <f>4.53+0.97+1.97+3.21+0.72+1.22+2.57+0.14+0.16+0.83+2.34+12.62+1.49+0.56+21.37</f>
        <v>54.7</v>
      </c>
      <c r="K12" s="9">
        <v>0.68</v>
      </c>
      <c r="L12" s="10">
        <f t="shared" si="1"/>
        <v>0.64814814814814825</v>
      </c>
      <c r="N12" s="9">
        <v>7</v>
      </c>
      <c r="O12" s="10">
        <f>7.77+9.51+0.17+0.07+0.19+0.47</f>
        <v>18.180000000000003</v>
      </c>
      <c r="P12" s="10">
        <f>27.34+21.45+3.64+2.1+3.77+8.96</f>
        <v>67.260000000000005</v>
      </c>
      <c r="Q12" s="9">
        <v>0.76</v>
      </c>
      <c r="R12" s="10">
        <f t="shared" si="2"/>
        <v>0.38503850385038496</v>
      </c>
      <c r="T12" s="9">
        <v>6</v>
      </c>
      <c r="U12" s="10">
        <f>0.05+0.06+0.46+0.17+12.42+1.62</f>
        <v>14.780000000000001</v>
      </c>
      <c r="V12" s="10">
        <f>1.91+1.51+0.31+4.44+3.54+31.66+9.55</f>
        <v>52.92</v>
      </c>
      <c r="W12" s="9">
        <v>0.79</v>
      </c>
      <c r="X12" s="10">
        <f t="shared" si="3"/>
        <v>0.40595399188092013</v>
      </c>
      <c r="Z12" s="9">
        <v>9</v>
      </c>
      <c r="AA12" s="10">
        <f>0.12+0.15+0.02+0.04+0.03+7.45+0.52</f>
        <v>8.33</v>
      </c>
      <c r="AB12" s="10">
        <f>1.4+2.79+0.76+1.5+0.29+0.8+12.15+6.25</f>
        <v>25.939999999999998</v>
      </c>
      <c r="AC12" s="9">
        <v>0.81</v>
      </c>
      <c r="AD12" s="10">
        <f t="shared" si="4"/>
        <v>1.0804321728691477</v>
      </c>
    </row>
    <row r="13" spans="2:33" x14ac:dyDescent="0.25">
      <c r="B13" s="9">
        <v>6.5</v>
      </c>
      <c r="C13" s="10">
        <f>0.76+0.01+0.02+0.01+0.02+2.59+0.21+0.01+5.72+0.04+0.1+0.02+0.05+0.15+1.12+0.32+5.51+0.01+0.01</f>
        <v>16.68</v>
      </c>
      <c r="D13" s="10">
        <f>6.91+0.43+0.65+0.43+0.17+0.72+24.74+5.42+0.42+12.38+0.88+3.51+28.13+6.66+13.04+1.84+1.38+0.57+0.37+0.57</f>
        <v>109.22</v>
      </c>
      <c r="E13" s="9">
        <v>0.65</v>
      </c>
      <c r="F13" s="10">
        <f t="shared" si="0"/>
        <v>0.38968824940047964</v>
      </c>
      <c r="H13" s="9">
        <v>6.5</v>
      </c>
      <c r="I13" s="10">
        <f>0.35+0.01+0.03+0.06+0.03+0.1+0.02+0.27+6.05+0.02+0.17+3.2</f>
        <v>10.309999999999999</v>
      </c>
      <c r="J13" s="10">
        <f>4.33+0.79+1.71+0.83+2.01+0.31+1.03+2.41+0.09+0.13+0.74+2.31+12.62+1.39+0.3+2.06+19.21</f>
        <v>52.27</v>
      </c>
      <c r="K13" s="9">
        <v>0.68</v>
      </c>
      <c r="L13" s="10">
        <f t="shared" si="1"/>
        <v>0.63045586808923382</v>
      </c>
      <c r="N13" s="9">
        <v>6.5</v>
      </c>
      <c r="O13" s="10">
        <f>7.37+9.11+0.08+0.13+0.04+0.14+0.06+0.31</f>
        <v>17.239999999999995</v>
      </c>
      <c r="P13" s="10">
        <f>27.29+19.41+1.66+3.27+1.73+3.65+2.07+5.96</f>
        <v>65.039999999999992</v>
      </c>
      <c r="Q13" s="9">
        <v>0.75</v>
      </c>
      <c r="R13" s="10">
        <f t="shared" si="2"/>
        <v>0.37703016241299314</v>
      </c>
      <c r="T13" s="9">
        <v>5.5</v>
      </c>
      <c r="U13" s="10">
        <f>0.01+0.01+0.03+0.36+0.1+11.75+1.43</f>
        <v>13.69</v>
      </c>
      <c r="V13" s="10">
        <f>0.57+0.74+1.15+4.04+2.8+31.54+9.52</f>
        <v>50.36</v>
      </c>
      <c r="W13" s="9">
        <v>0.76</v>
      </c>
      <c r="X13" s="10">
        <f t="shared" si="3"/>
        <v>0.4017531044558072</v>
      </c>
      <c r="Z13" s="9">
        <v>8.5</v>
      </c>
      <c r="AA13" s="10">
        <f>0.1+0.11+0.02+0.02+0.02+7.23+0.43</f>
        <v>7.93</v>
      </c>
      <c r="AB13" s="10">
        <f>1.32+2.5+0.59+0.8+0.7+12.1+6.12</f>
        <v>24.13</v>
      </c>
      <c r="AC13" s="9">
        <v>0.8</v>
      </c>
      <c r="AD13" s="10">
        <f t="shared" si="4"/>
        <v>1.0718789407313998</v>
      </c>
    </row>
    <row r="14" spans="2:33" x14ac:dyDescent="0.25">
      <c r="B14" s="9">
        <v>6</v>
      </c>
      <c r="C14" s="10">
        <f>0.7+0.01+0.01+0.01+0.56+1.82+0.16+5.6+0.03+0.07+5.31+0.27+1+0.14+0.04+0.02</f>
        <v>15.75</v>
      </c>
      <c r="D14" s="10">
        <f>6.79+0.31+0.48+0.55+7.61+16.86+4.74+12.34+0.77+3.09+28.07+6.52+12.96+1.81+1.33+0.5</f>
        <v>104.73</v>
      </c>
      <c r="E14" s="9">
        <v>0.64</v>
      </c>
      <c r="F14" s="10">
        <f t="shared" si="0"/>
        <v>0.38095238095238093</v>
      </c>
      <c r="H14" s="9">
        <v>6</v>
      </c>
      <c r="I14" s="10">
        <f>0.3+0.01+0.01+0.04+0.02+0.08+0.02+0.25+5.92+0.01+0.14+2.98</f>
        <v>9.7799999999999994</v>
      </c>
      <c r="J14" s="10">
        <f>2.89+0.6+0.44+0.66+0.51+1.43+0.82+2.24+0.62+2.15+12.58+1.26+1.91+19.17</f>
        <v>47.28</v>
      </c>
      <c r="K14" s="9">
        <v>0.67</v>
      </c>
      <c r="L14" s="10">
        <f t="shared" si="1"/>
        <v>0.61349693251533743</v>
      </c>
      <c r="N14" s="9">
        <v>6</v>
      </c>
      <c r="O14" s="10">
        <f>6.97+8.86+0.05+0.08+0.02+0.08+0.03+0.21</f>
        <v>16.3</v>
      </c>
      <c r="P14" s="10">
        <f>27.2+19.27+1.4+2.93+1.29+3.46+1.62+5.21+0.24</f>
        <v>62.62</v>
      </c>
      <c r="Q14" s="9">
        <v>0.74</v>
      </c>
      <c r="R14" s="10">
        <f t="shared" si="2"/>
        <v>0.36809815950920244</v>
      </c>
      <c r="T14" s="9">
        <v>5</v>
      </c>
      <c r="U14" s="10">
        <f>0.01+0.27+0.05+10.99+0.02+1.17</f>
        <v>12.51</v>
      </c>
      <c r="V14" s="10">
        <f>0.58+3.7+0.29+0.85+0.39+31.43+0.91+8.27</f>
        <v>46.42</v>
      </c>
      <c r="W14" s="9">
        <v>0.74</v>
      </c>
      <c r="X14" s="10">
        <f t="shared" si="3"/>
        <v>0.3996802557953637</v>
      </c>
      <c r="Z14" s="9">
        <v>8</v>
      </c>
      <c r="AA14" s="10">
        <f>0.08+0.08+0.01+0.01+0.01+7.17+0.35</f>
        <v>7.71</v>
      </c>
      <c r="AB14" s="10">
        <f>1.26+2.21+0.42+0.58+0.6+12.05+5.96</f>
        <v>23.080000000000002</v>
      </c>
      <c r="AC14" s="9">
        <v>0.78</v>
      </c>
      <c r="AD14" s="10">
        <f t="shared" si="4"/>
        <v>1.0376134889753568</v>
      </c>
    </row>
    <row r="15" spans="2:33" x14ac:dyDescent="0.25">
      <c r="B15" s="9">
        <v>5.5</v>
      </c>
      <c r="C15" s="10">
        <f>0.6+0.01+0.46+0.37+1.24+0.01+0.11+5.44+0.02+0.04+1.09+3.87+0.2+0.83+0.12+0.03+0.01</f>
        <v>14.449999999999996</v>
      </c>
      <c r="D15" s="10">
        <f>6.44+0.39+7.5+4.64+10.64+0.95+3.84+11.6+0.63+1.38+8.77+18.88+4.28+12.85+1.67+1.05+0.42</f>
        <v>95.929999999999993</v>
      </c>
      <c r="E15" s="9">
        <v>0.62</v>
      </c>
      <c r="F15" s="10">
        <f t="shared" si="0"/>
        <v>0.38062283737024233</v>
      </c>
      <c r="H15" s="9">
        <v>5.5</v>
      </c>
      <c r="I15" s="10">
        <f>0.26+0.02+0.01+0.01+0.04+0.01+0.21+5.72+0.12+2.68</f>
        <v>9.08</v>
      </c>
      <c r="J15" s="10">
        <f>2.68+0.15+0.51+0.94+0.56+0.59+1.23+0.45+2.02+12.24+1.72+18.96</f>
        <v>42.05</v>
      </c>
      <c r="K15" s="9">
        <v>0.65</v>
      </c>
      <c r="L15" s="10">
        <f t="shared" si="1"/>
        <v>0.60572687224669608</v>
      </c>
      <c r="N15" s="9">
        <v>5.5</v>
      </c>
      <c r="O15" s="10">
        <f>6.39+8.47+0.03+0.03+0.01+0.01+0.08+0.03</f>
        <v>15.049999999999997</v>
      </c>
      <c r="P15" s="10">
        <f>26.85+19.13+0.98+1.46+0.8+0.77+2.44+1.7</f>
        <v>54.13</v>
      </c>
      <c r="Q15" s="9">
        <v>0.72</v>
      </c>
      <c r="R15" s="10">
        <f t="shared" si="2"/>
        <v>0.36544850498338877</v>
      </c>
      <c r="T15" s="9">
        <v>4.5</v>
      </c>
      <c r="U15" s="10">
        <f>0.2+0.03+10.25+0.99</f>
        <v>11.47</v>
      </c>
      <c r="V15" s="10">
        <f>3.14+0.67+31.42+8.21</f>
        <v>43.440000000000005</v>
      </c>
      <c r="W15" s="9">
        <v>0.71</v>
      </c>
      <c r="X15" s="10">
        <f t="shared" si="3"/>
        <v>0.39232781168265035</v>
      </c>
      <c r="Z15" s="9">
        <v>7.5</v>
      </c>
      <c r="AA15" s="10">
        <f>0.07+0.05+0.01+6.93+0.27</f>
        <v>7.33</v>
      </c>
      <c r="AB15" s="10">
        <f>1.2+1.9+0.28+0.35+0.18+0.26+11.76+5.8</f>
        <v>21.73</v>
      </c>
      <c r="AC15" s="9">
        <v>0.77</v>
      </c>
      <c r="AD15" s="10">
        <f t="shared" si="4"/>
        <v>1.0231923601637107</v>
      </c>
    </row>
    <row r="16" spans="2:33" x14ac:dyDescent="0.25">
      <c r="B16" s="9">
        <v>5</v>
      </c>
      <c r="C16" s="10">
        <f>0.53+0.37+0.31+1.11+0.07+5.32+0.01+0.02+1+3.6+0.15+0.64+0.03+0.1+0.01+0.01</f>
        <v>13.28</v>
      </c>
      <c r="D16" s="10">
        <f>6.62+7.28+4.43+10.4+2.99+11.54+0.55+1.08+8.11+18.94+4.12+11.62+1.12+1.51+0.79+0.35</f>
        <v>91.450000000000017</v>
      </c>
      <c r="E16" s="9">
        <v>0.61</v>
      </c>
      <c r="F16" s="10">
        <f t="shared" si="0"/>
        <v>0.37650602409638556</v>
      </c>
      <c r="H16" s="9">
        <v>5</v>
      </c>
      <c r="I16" s="10">
        <f>0.23+0.01+0.02+0.01+0.19+5.54+0.1+0.61+1.83</f>
        <v>8.5399999999999991</v>
      </c>
      <c r="J16" s="10">
        <f>2.54+0.67+0.3+0.35+0.94+0.28+1.9+12.1+1.65+6.75+11.79</f>
        <v>39.269999999999996</v>
      </c>
      <c r="K16" s="9">
        <v>0.64</v>
      </c>
      <c r="L16" s="10">
        <f t="shared" si="1"/>
        <v>0.58548009367681508</v>
      </c>
      <c r="N16" s="9">
        <v>5</v>
      </c>
      <c r="O16" s="10">
        <f>5.84+8.06+0.01+0.01+0.04</f>
        <v>13.959999999999999</v>
      </c>
      <c r="P16" s="10">
        <f>26.57+18.98+0.62+0.64+0.31+1.49+0.53</f>
        <v>49.14</v>
      </c>
      <c r="Q16" s="9">
        <v>0.69</v>
      </c>
      <c r="R16" s="10">
        <f t="shared" si="2"/>
        <v>0.35816618911174786</v>
      </c>
      <c r="T16" s="9">
        <v>4</v>
      </c>
      <c r="U16" s="10">
        <f>0.13+0.01+9.51+0.79</f>
        <v>10.440000000000001</v>
      </c>
      <c r="V16" s="10">
        <f>2.6+0.48+31.25+7.93</f>
        <v>42.26</v>
      </c>
      <c r="W16" s="9">
        <v>0.69</v>
      </c>
      <c r="X16" s="10">
        <f t="shared" si="3"/>
        <v>0.38314176245210724</v>
      </c>
      <c r="Z16" s="9">
        <v>7</v>
      </c>
      <c r="AA16" s="10">
        <f>0.05+0.03+6.78+0.18</f>
        <v>7.04</v>
      </c>
      <c r="AB16" s="9">
        <f>1.1+1.14+11.81+5.65</f>
        <v>19.700000000000003</v>
      </c>
      <c r="AC16" s="9">
        <v>0.75</v>
      </c>
      <c r="AD16" s="10">
        <f t="shared" si="4"/>
        <v>0.99431818181818177</v>
      </c>
    </row>
    <row r="17" spans="2:30" x14ac:dyDescent="0.25">
      <c r="B17" s="9">
        <v>4.5</v>
      </c>
      <c r="C17" s="10">
        <f>0.43+0.02+0.29+0.25+1+0.03+5.19+0.01+0.01+0.9+3.43+0.11+0.51+0.02+0.08+0.01</f>
        <v>12.29</v>
      </c>
      <c r="D17" s="10">
        <f>5.7+0.78+6.59+4.2+9.92+2.19+11.54+4.1+0.74+7.68+18.82+3.27+11.31+0.86+1.38+0.44</f>
        <v>89.52</v>
      </c>
      <c r="E17" s="9">
        <v>0.6</v>
      </c>
      <c r="F17" s="10">
        <f t="shared" si="0"/>
        <v>0.36615134255492271</v>
      </c>
      <c r="H17" s="9">
        <v>4.5</v>
      </c>
      <c r="I17" s="10">
        <f>0.19+0.01+0.16+5.38+0.08+0.51+1.67</f>
        <v>8</v>
      </c>
      <c r="J17" s="10">
        <f>2.41+0.39+0.65+1.72+12.03+1.49+6.52+11.79</f>
        <v>37</v>
      </c>
      <c r="K17" s="9">
        <v>0.62</v>
      </c>
      <c r="L17" s="10">
        <f t="shared" si="1"/>
        <v>0.5625</v>
      </c>
      <c r="N17" s="9">
        <v>4.5</v>
      </c>
      <c r="O17" s="10">
        <f>5.28+0.08+7.67+0.02</f>
        <v>13.05</v>
      </c>
      <c r="P17" s="10">
        <f>22.28+3.2+18.84+0.26+1.15</f>
        <v>45.73</v>
      </c>
      <c r="Q17" s="9">
        <v>0.67</v>
      </c>
      <c r="R17" s="10">
        <f t="shared" si="2"/>
        <v>0.34482758620689652</v>
      </c>
      <c r="T17" s="9">
        <v>3.5</v>
      </c>
      <c r="U17" s="10">
        <f>0.07+8.64+0.6</f>
        <v>9.31</v>
      </c>
      <c r="V17" s="10">
        <f>1.95+31.19+6.84</f>
        <v>39.980000000000004</v>
      </c>
      <c r="W17" s="9">
        <v>0.67</v>
      </c>
      <c r="X17" s="10">
        <f t="shared" si="3"/>
        <v>0.37593984962406013</v>
      </c>
      <c r="Z17" s="9">
        <v>6.5</v>
      </c>
      <c r="AA17" s="10">
        <f>0.03+0.01+6.55+0.02+0.08</f>
        <v>6.6899999999999995</v>
      </c>
      <c r="AB17" s="10">
        <f>0.86+0.28+0.43+11.82+1.52+1.69</f>
        <v>16.600000000000001</v>
      </c>
      <c r="AC17" s="9">
        <v>0.73</v>
      </c>
      <c r="AD17" s="10">
        <f t="shared" si="4"/>
        <v>0.9715994020926757</v>
      </c>
    </row>
    <row r="18" spans="2:30" x14ac:dyDescent="0.25">
      <c r="B18" s="9">
        <v>4</v>
      </c>
      <c r="C18" s="10">
        <f>0.35+0.16+0.04+0.19+0.84+0.01+5.01+0.78+0.64+2.47+0.06+0.22+0.03+0.1+0.01+0.06</f>
        <v>10.97</v>
      </c>
      <c r="D18" s="10">
        <f>5.42+4.86+1.03+3.99+9.53+1.17+11.35+7.04+3.85+14.94+2.89+5.27+2.32+1.97+0.59+1.25</f>
        <v>77.469999999999985</v>
      </c>
      <c r="E18" s="9">
        <v>0.59</v>
      </c>
      <c r="F18" s="10">
        <f t="shared" si="0"/>
        <v>0.36463081130355512</v>
      </c>
      <c r="H18" s="9">
        <v>4</v>
      </c>
      <c r="I18" s="10">
        <f>0.16+0.13+5.22+0.05+0.39+0.04+1.48</f>
        <v>7.4699999999999989</v>
      </c>
      <c r="J18" s="10">
        <f>2.21+1.62+11.99+1.36+3.03+1.89+11.89</f>
        <v>33.99</v>
      </c>
      <c r="K18" s="9">
        <v>0.61</v>
      </c>
      <c r="L18" s="10">
        <f t="shared" si="1"/>
        <v>0.5354752342704151</v>
      </c>
      <c r="N18" s="9">
        <v>4</v>
      </c>
      <c r="O18" s="10">
        <f>4.78+0.02+7.25</f>
        <v>12.05</v>
      </c>
      <c r="P18" s="10">
        <f>22.1+1.71+18.7</f>
        <v>42.510000000000005</v>
      </c>
      <c r="Q18" s="9">
        <v>0.65</v>
      </c>
      <c r="R18" s="10">
        <f t="shared" si="2"/>
        <v>0.33195020746887965</v>
      </c>
      <c r="T18" s="9">
        <v>3</v>
      </c>
      <c r="U18" s="10">
        <f>0.02+7.69+0.43</f>
        <v>8.14</v>
      </c>
      <c r="V18" s="10">
        <f>1.3+30.72+5.48</f>
        <v>37.5</v>
      </c>
      <c r="W18" s="9">
        <v>0.64</v>
      </c>
      <c r="X18" s="10">
        <f t="shared" si="3"/>
        <v>0.36855036855036855</v>
      </c>
      <c r="Z18" s="9">
        <v>6</v>
      </c>
      <c r="AA18" s="10">
        <f>0.02+6.29+0.05</f>
        <v>6.3599999999999994</v>
      </c>
      <c r="AB18" s="10">
        <f>0.71+0.27+11.66+1.38</f>
        <v>14.02</v>
      </c>
      <c r="AC18" s="9">
        <v>0.71</v>
      </c>
      <c r="AD18" s="10">
        <f t="shared" si="4"/>
        <v>0.94339622641509446</v>
      </c>
    </row>
    <row r="19" spans="2:30" x14ac:dyDescent="0.25">
      <c r="B19" s="9">
        <v>3.5</v>
      </c>
      <c r="C19" s="10">
        <f>0.22+0.04+0.01+0.02+0.11+0.62+4.68+0.07+0.53+0.55+2.1+0.02+0.06+0.06+0.05+0.04</f>
        <v>9.18</v>
      </c>
      <c r="D19" s="10">
        <f>4.01+2.01+0.79+0.71+3.21+8.93+11.04+1.24+5.16+3.68+13.64+0.91+1.32+2+1.59+0.97</f>
        <v>61.209999999999994</v>
      </c>
      <c r="E19" s="9">
        <v>0.56000000000000005</v>
      </c>
      <c r="F19" s="10">
        <f t="shared" si="0"/>
        <v>0.38126361655773422</v>
      </c>
      <c r="H19" s="9">
        <v>3.5</v>
      </c>
      <c r="I19" s="10">
        <f>0.11+0.1+4.88+0.02+0.32+0.01+1.17+0.02</f>
        <v>6.629999999999999</v>
      </c>
      <c r="J19" s="10">
        <f>1.84+1.5+11.84+1.16+2.6+0.95+9.9+0.94</f>
        <v>30.73</v>
      </c>
      <c r="K19" s="9">
        <v>0.57999999999999996</v>
      </c>
      <c r="L19" s="10">
        <f t="shared" si="1"/>
        <v>0.52790346907993979</v>
      </c>
      <c r="N19" s="9">
        <v>3.5</v>
      </c>
      <c r="O19" s="10">
        <f>4.17+6.16+0.59</f>
        <v>10.92</v>
      </c>
      <c r="P19" s="10">
        <f>21.97+13.77+4.51</f>
        <v>40.249999999999993</v>
      </c>
      <c r="Q19" s="9">
        <v>0.62</v>
      </c>
      <c r="R19" s="10">
        <f t="shared" si="2"/>
        <v>0.32051282051282054</v>
      </c>
      <c r="T19" s="9">
        <v>2.5</v>
      </c>
      <c r="U19" s="10">
        <f>5.05+0.04+1.42+0.22</f>
        <v>6.7299999999999995</v>
      </c>
      <c r="V19" s="10">
        <f>17.37+1.43+9.4+0.54+3.33</f>
        <v>32.07</v>
      </c>
      <c r="W19" s="9">
        <v>0.6</v>
      </c>
      <c r="X19" s="10">
        <f t="shared" si="3"/>
        <v>0.37147102526002973</v>
      </c>
      <c r="Z19" s="9">
        <v>5.5</v>
      </c>
      <c r="AA19" s="10">
        <f>6.04+0.02</f>
        <v>6.06</v>
      </c>
      <c r="AB19" s="10">
        <f>11.55+1.02</f>
        <v>12.57</v>
      </c>
      <c r="AC19" s="9">
        <v>0.69</v>
      </c>
      <c r="AD19" s="10">
        <f t="shared" si="4"/>
        <v>0.90759075907590769</v>
      </c>
    </row>
    <row r="20" spans="2:30" x14ac:dyDescent="0.25">
      <c r="B20" s="9">
        <v>3</v>
      </c>
      <c r="C20" s="10">
        <f>0.09+0.04+0.01+0.03+0.07+0.28+0.06+4.45+0.05+0.41+0.46+1.54+0.25+0.01+0.03+0.02+0.02+0.02</f>
        <v>7.839999999999999</v>
      </c>
      <c r="D20" s="10">
        <f>2.71+0.95+0.39+2.83+1.58+4.22+1.57+10.86+0.99+4.86+3.34+9.23+3.77+0.44+0.9+1.17+1.21+0.67</f>
        <v>51.690000000000005</v>
      </c>
      <c r="E20" s="9">
        <v>0.53</v>
      </c>
      <c r="F20" s="10">
        <f t="shared" si="0"/>
        <v>0.38265306122448983</v>
      </c>
      <c r="H20" s="9">
        <v>3</v>
      </c>
      <c r="I20" s="10">
        <f>0.01+0.05+0.06+4.59+0.25+0.88+0.03+0.01</f>
        <v>5.88</v>
      </c>
      <c r="J20" s="10">
        <f>0.42+0.99+1.27+11.53+1.63+7.09+2.24+0.41</f>
        <v>25.580000000000002</v>
      </c>
      <c r="K20" s="9">
        <v>0.56000000000000005</v>
      </c>
      <c r="L20" s="10">
        <f t="shared" si="1"/>
        <v>0.51020408163265307</v>
      </c>
      <c r="N20" s="9">
        <v>3</v>
      </c>
      <c r="O20" s="10">
        <f>3.59+5.75+0.47</f>
        <v>9.81</v>
      </c>
      <c r="P20" s="10">
        <f>21.99+13.38+4.14</f>
        <v>39.51</v>
      </c>
      <c r="Q20" s="9">
        <v>0.59</v>
      </c>
      <c r="R20" s="10">
        <f t="shared" si="2"/>
        <v>0.3058103975535168</v>
      </c>
      <c r="T20" s="9">
        <v>2</v>
      </c>
      <c r="U20" s="10">
        <f>4.22+0.14+0.19+0.77+0.02+0.06</f>
        <v>5.3999999999999995</v>
      </c>
      <c r="V20" s="10">
        <f>12.24+1.6+2.7+5.83+0.57+2.01</f>
        <v>24.949999999999996</v>
      </c>
      <c r="W20" s="9">
        <v>0.55000000000000004</v>
      </c>
      <c r="X20" s="10">
        <f t="shared" si="3"/>
        <v>0.37037037037037041</v>
      </c>
      <c r="Z20" s="9">
        <v>5</v>
      </c>
      <c r="AA20" s="9">
        <v>5.74</v>
      </c>
      <c r="AB20" s="9">
        <v>12.33</v>
      </c>
      <c r="AC20" s="9">
        <v>0.67</v>
      </c>
      <c r="AD20" s="10">
        <f t="shared" si="4"/>
        <v>0.87108013937282225</v>
      </c>
    </row>
    <row r="21" spans="2:30" x14ac:dyDescent="0.25">
      <c r="B21" s="9">
        <v>2.5</v>
      </c>
      <c r="C21" s="10">
        <f>0.01+0.01+0.02+0.09+0.02+0.01+3.96+0.01+0.24+0.33+0.02+1.09+0.03+0.11</f>
        <v>5.95</v>
      </c>
      <c r="D21" s="10">
        <f>0.38+0.45+0.51+0.83+2.13+1.3+0.74+10.55+0.55+3.27+2.98+1.31+5.52+0.78+2.8</f>
        <v>34.1</v>
      </c>
      <c r="E21" s="9">
        <v>0.49</v>
      </c>
      <c r="F21" s="10">
        <f t="shared" si="0"/>
        <v>0.42016806722689076</v>
      </c>
      <c r="H21" s="9">
        <v>2.5</v>
      </c>
      <c r="I21" s="10">
        <f>0.01+0.01+4.1+0.19+0.58</f>
        <v>4.8899999999999997</v>
      </c>
      <c r="J21" s="10">
        <f>0.17+0.6+0.89+11.41+1.32+6.57</f>
        <v>20.96</v>
      </c>
      <c r="K21" s="9">
        <v>0.52</v>
      </c>
      <c r="L21" s="10">
        <f t="shared" si="1"/>
        <v>0.5112474437627812</v>
      </c>
      <c r="N21" s="9">
        <v>2.5</v>
      </c>
      <c r="O21" s="10">
        <f>2.72+0.01+5.2+0.3</f>
        <v>8.23</v>
      </c>
      <c r="P21" s="10">
        <f>15.33+0.84+13+3.59</f>
        <v>32.760000000000005</v>
      </c>
      <c r="Q21" s="9">
        <v>0.56000000000000005</v>
      </c>
      <c r="R21" s="10">
        <f t="shared" si="2"/>
        <v>0.30376670716889426</v>
      </c>
      <c r="T21" s="9">
        <v>1.5</v>
      </c>
      <c r="U21" s="10">
        <f>3.62+0.06+0.08+0.5</f>
        <v>4.26</v>
      </c>
      <c r="V21" s="10">
        <f>11.41+1.11+1.98+5.23+0.37</f>
        <v>20.100000000000001</v>
      </c>
      <c r="W21" s="9">
        <v>0.5</v>
      </c>
      <c r="X21" s="10">
        <f t="shared" si="3"/>
        <v>0.35211267605633806</v>
      </c>
      <c r="Z21" s="9">
        <v>4.5</v>
      </c>
      <c r="AA21" s="9">
        <v>5.48</v>
      </c>
      <c r="AB21" s="9">
        <v>11.43</v>
      </c>
      <c r="AC21" s="9">
        <v>0.64</v>
      </c>
      <c r="AD21" s="10">
        <f t="shared" si="4"/>
        <v>0.82116788321167877</v>
      </c>
    </row>
    <row r="22" spans="2:30" x14ac:dyDescent="0.25">
      <c r="B22" s="9">
        <v>2</v>
      </c>
      <c r="C22" s="10">
        <f>0.08+2.99+0.06+0.02+0.09+0.69</f>
        <v>3.93</v>
      </c>
      <c r="D22" s="10">
        <f>0.86+9.11+1.58+0.57+1.6+3.71</f>
        <v>17.43</v>
      </c>
      <c r="E22" s="9">
        <v>0.41</v>
      </c>
      <c r="F22" s="10">
        <f t="shared" si="0"/>
        <v>0.5089058524173028</v>
      </c>
      <c r="H22" s="9">
        <v>2</v>
      </c>
      <c r="I22" s="10">
        <f>3.23+0.1+0.11+0.03</f>
        <v>3.4699999999999998</v>
      </c>
      <c r="J22" s="10">
        <f>10.9+0.91+0.35+2.47+0.81+0.32</f>
        <v>15.760000000000002</v>
      </c>
      <c r="K22" s="9">
        <v>0.44</v>
      </c>
      <c r="L22" s="10">
        <f t="shared" si="1"/>
        <v>0.57636887608069165</v>
      </c>
      <c r="N22" s="9">
        <v>2</v>
      </c>
      <c r="O22" s="10">
        <f>1.87+4.48+0.12</f>
        <v>6.4700000000000006</v>
      </c>
      <c r="P22" s="10">
        <f>14.86+12.44+2.8</f>
        <v>30.099999999999998</v>
      </c>
      <c r="Q22" s="9">
        <v>0.49</v>
      </c>
      <c r="R22" s="10">
        <f t="shared" si="2"/>
        <v>0.30911901081916537</v>
      </c>
      <c r="T22" s="9">
        <v>1</v>
      </c>
      <c r="U22" s="10">
        <f>2.86+0.01+0.19</f>
        <v>3.0599999999999996</v>
      </c>
      <c r="V22" s="10">
        <f>10.45+0.48+3.33</f>
        <v>14.26</v>
      </c>
      <c r="W22" s="9">
        <v>0.43</v>
      </c>
      <c r="X22" s="10">
        <f t="shared" si="3"/>
        <v>0.32679738562091509</v>
      </c>
      <c r="Z22" s="9">
        <v>4</v>
      </c>
      <c r="AA22" s="9">
        <v>5.31</v>
      </c>
      <c r="AB22" s="9">
        <v>11.43</v>
      </c>
      <c r="AC22" s="9">
        <v>0.62</v>
      </c>
      <c r="AD22" s="10">
        <f t="shared" si="4"/>
        <v>0.75329566854990593</v>
      </c>
    </row>
    <row r="23" spans="2:30" x14ac:dyDescent="0.25">
      <c r="B23" s="9">
        <v>1.5</v>
      </c>
      <c r="C23" s="10">
        <f>0.03+2.46+0.01+0.49</f>
        <v>2.9899999999999993</v>
      </c>
      <c r="D23" s="10">
        <f>0.5+8.57+0.76+3.21</f>
        <v>13.04</v>
      </c>
      <c r="E23" s="9">
        <v>0.34</v>
      </c>
      <c r="F23" s="10">
        <f t="shared" si="0"/>
        <v>0.5016722408026757</v>
      </c>
      <c r="H23" s="9">
        <v>1.5</v>
      </c>
      <c r="I23" s="10">
        <f>2.57+0.05</f>
        <v>2.6199999999999997</v>
      </c>
      <c r="J23" s="10">
        <f>10.59+0.65+0.19</f>
        <v>11.43</v>
      </c>
      <c r="K23" s="9">
        <v>0.38</v>
      </c>
      <c r="L23" s="10">
        <f t="shared" si="1"/>
        <v>0.57251908396946571</v>
      </c>
      <c r="N23" s="9">
        <v>1.5</v>
      </c>
      <c r="O23" s="10">
        <f>1.08+3.82+0.01</f>
        <v>4.91</v>
      </c>
      <c r="P23" s="10">
        <f>14.1+12.03+1.23</f>
        <v>27.36</v>
      </c>
      <c r="Q23" s="9">
        <v>0.44</v>
      </c>
      <c r="R23" s="10">
        <f t="shared" si="2"/>
        <v>0.30549898167006106</v>
      </c>
      <c r="T23" s="9">
        <v>0.5</v>
      </c>
      <c r="U23" s="10">
        <f>1.73+0.02</f>
        <v>1.75</v>
      </c>
      <c r="V23" s="10">
        <f>8.78+0.63</f>
        <v>9.41</v>
      </c>
      <c r="W23" s="9">
        <v>0.32</v>
      </c>
      <c r="X23" s="10">
        <f t="shared" si="3"/>
        <v>0.2857142857142857</v>
      </c>
      <c r="Z23" s="9">
        <v>3.5</v>
      </c>
      <c r="AA23" s="9">
        <v>5.01</v>
      </c>
      <c r="AB23" s="9">
        <v>11.28</v>
      </c>
      <c r="AC23" s="9">
        <v>0.6</v>
      </c>
      <c r="AD23" s="10">
        <f t="shared" si="4"/>
        <v>0.69860279441117767</v>
      </c>
    </row>
    <row r="24" spans="2:30" x14ac:dyDescent="0.25">
      <c r="B24" s="9">
        <v>1</v>
      </c>
      <c r="C24" s="10">
        <f>0.01+1.9+0.29</f>
        <v>2.1999999999999997</v>
      </c>
      <c r="D24" s="10">
        <f>0.25+8.19+2.71</f>
        <v>11.149999999999999</v>
      </c>
      <c r="E24" s="9">
        <v>0.28000000000000003</v>
      </c>
      <c r="F24" s="10">
        <f t="shared" si="0"/>
        <v>0.45454545454545459</v>
      </c>
      <c r="H24" s="9">
        <v>1</v>
      </c>
      <c r="I24" s="10">
        <f>1.86+0.01</f>
        <v>1.87</v>
      </c>
      <c r="J24" s="10">
        <f>10.23+0.37</f>
        <v>10.6</v>
      </c>
      <c r="K24" s="9">
        <v>0.31</v>
      </c>
      <c r="L24" s="10">
        <f t="shared" si="1"/>
        <v>0.53475935828876997</v>
      </c>
      <c r="N24" s="9">
        <v>1</v>
      </c>
      <c r="O24" s="10">
        <f>0.13+0.15+0.02+0.03+3.08</f>
        <v>3.41</v>
      </c>
      <c r="P24" s="10">
        <f>2.62+3.49+0.77+0.46+1.91+11.37</f>
        <v>20.619999999999997</v>
      </c>
      <c r="Q24" s="9">
        <v>0.38</v>
      </c>
      <c r="R24" s="10">
        <f t="shared" si="2"/>
        <v>0.29325513196480935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Z24" s="9">
        <v>3</v>
      </c>
      <c r="AA24" s="9">
        <v>4.6500000000000004</v>
      </c>
      <c r="AB24" s="9">
        <v>11.21</v>
      </c>
      <c r="AC24" s="9">
        <v>0.56999999999999995</v>
      </c>
      <c r="AD24" s="10">
        <f t="shared" si="4"/>
        <v>0.64516129032258063</v>
      </c>
    </row>
    <row r="25" spans="2:30" x14ac:dyDescent="0.25">
      <c r="B25" s="9">
        <v>0.5</v>
      </c>
      <c r="C25" s="10">
        <f>1.25+0.1</f>
        <v>1.35</v>
      </c>
      <c r="D25" s="10">
        <f>7.87+1.79</f>
        <v>9.66</v>
      </c>
      <c r="E25" s="9">
        <v>0.2</v>
      </c>
      <c r="F25" s="10">
        <f t="shared" si="0"/>
        <v>0.37037037037037035</v>
      </c>
      <c r="H25" s="9">
        <v>0.5</v>
      </c>
      <c r="I25" s="10">
        <f>0.13+0.99</f>
        <v>1.1200000000000001</v>
      </c>
      <c r="J25" s="10">
        <f>1.53+7.09</f>
        <v>8.6199999999999992</v>
      </c>
      <c r="K25" s="9">
        <v>0.23</v>
      </c>
      <c r="L25" s="10">
        <f t="shared" si="1"/>
        <v>0.4464285714285714</v>
      </c>
      <c r="N25" s="9">
        <v>0.5</v>
      </c>
      <c r="O25" s="10">
        <f>1.96</f>
        <v>1.96</v>
      </c>
      <c r="P25" s="9">
        <v>10.47</v>
      </c>
      <c r="Q25" s="9">
        <v>0.27</v>
      </c>
      <c r="R25" s="10">
        <f t="shared" si="2"/>
        <v>0.25510204081632654</v>
      </c>
      <c r="Z25" s="9">
        <v>2.5</v>
      </c>
      <c r="AA25" s="9">
        <v>4.25</v>
      </c>
      <c r="AB25" s="9">
        <v>11.12</v>
      </c>
      <c r="AC25" s="9">
        <v>0.54</v>
      </c>
      <c r="AD25" s="10">
        <f t="shared" si="4"/>
        <v>0.58823529411764708</v>
      </c>
    </row>
    <row r="26" spans="2:30" x14ac:dyDescent="0.25">
      <c r="B26" s="9">
        <v>0</v>
      </c>
      <c r="C26" s="9">
        <v>0</v>
      </c>
      <c r="D26" s="9">
        <v>0</v>
      </c>
      <c r="E26" s="9">
        <v>0</v>
      </c>
      <c r="F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Z26" s="9">
        <v>2</v>
      </c>
      <c r="AA26" s="9">
        <v>3.74</v>
      </c>
      <c r="AB26" s="9">
        <v>10.9</v>
      </c>
      <c r="AC26" s="9">
        <v>0.48</v>
      </c>
      <c r="AD26" s="10">
        <f t="shared" si="4"/>
        <v>0.53475935828876997</v>
      </c>
    </row>
    <row r="27" spans="2:30" x14ac:dyDescent="0.25">
      <c r="Z27" s="9">
        <v>1.5</v>
      </c>
      <c r="AA27" s="9">
        <v>3.19</v>
      </c>
      <c r="AB27" s="9">
        <v>10.77</v>
      </c>
      <c r="AC27" s="9">
        <v>0.43</v>
      </c>
      <c r="AD27" s="10">
        <f t="shared" si="4"/>
        <v>0.47021943573667713</v>
      </c>
    </row>
    <row r="28" spans="2:30" x14ac:dyDescent="0.25">
      <c r="Z28" s="9">
        <v>1</v>
      </c>
      <c r="AA28" s="10">
        <f>2.31+0.13</f>
        <v>2.44</v>
      </c>
      <c r="AB28" s="10">
        <f>8.94+1.37</f>
        <v>10.309999999999999</v>
      </c>
      <c r="AC28" s="9">
        <v>0.36</v>
      </c>
      <c r="AD28" s="10">
        <f t="shared" si="4"/>
        <v>0.4098360655737705</v>
      </c>
    </row>
    <row r="29" spans="2:30" x14ac:dyDescent="0.25">
      <c r="Z29" s="9">
        <v>0.5</v>
      </c>
      <c r="AA29" s="10">
        <f>1.34+0.02</f>
        <v>1.36</v>
      </c>
      <c r="AB29" s="10">
        <f>7.95+0.51</f>
        <v>8.4600000000000009</v>
      </c>
      <c r="AC29" s="9">
        <v>0.25</v>
      </c>
      <c r="AD29" s="10">
        <f t="shared" si="4"/>
        <v>0.36764705882352938</v>
      </c>
    </row>
    <row r="30" spans="2:30" x14ac:dyDescent="0.25">
      <c r="Z30" s="9">
        <v>0</v>
      </c>
      <c r="AA30" s="9">
        <v>0</v>
      </c>
      <c r="AB30" s="9">
        <v>0</v>
      </c>
      <c r="AC30" s="9">
        <v>0</v>
      </c>
      <c r="AD30" s="9">
        <v>0</v>
      </c>
    </row>
    <row r="33" spans="2:30" x14ac:dyDescent="0.25">
      <c r="B33" s="1" t="s">
        <v>0</v>
      </c>
      <c r="C33" s="2">
        <v>360</v>
      </c>
      <c r="D33" s="3"/>
      <c r="E33" s="3"/>
      <c r="F33" s="3"/>
      <c r="H33" s="1" t="s">
        <v>0</v>
      </c>
      <c r="I33" s="2">
        <v>360</v>
      </c>
      <c r="J33" s="3"/>
      <c r="K33" s="3"/>
      <c r="L33" s="3"/>
      <c r="N33" s="1" t="s">
        <v>0</v>
      </c>
      <c r="O33" s="2">
        <v>360</v>
      </c>
      <c r="P33" s="3"/>
      <c r="Q33" s="3"/>
      <c r="R33" s="3"/>
      <c r="T33" s="1" t="s">
        <v>0</v>
      </c>
      <c r="U33" s="2">
        <v>360</v>
      </c>
      <c r="V33" s="3"/>
      <c r="Z33" s="1" t="s">
        <v>0</v>
      </c>
      <c r="AA33" s="2">
        <v>360</v>
      </c>
      <c r="AB33" s="3"/>
      <c r="AC33" s="3"/>
      <c r="AD33" s="3"/>
    </row>
    <row r="34" spans="2:30" x14ac:dyDescent="0.25">
      <c r="B34" s="4" t="s">
        <v>1</v>
      </c>
      <c r="C34" s="2">
        <v>284.25</v>
      </c>
      <c r="D34" s="3"/>
      <c r="E34" s="3"/>
      <c r="F34" s="3"/>
      <c r="H34" s="4" t="s">
        <v>1</v>
      </c>
      <c r="I34" s="2">
        <v>310.01</v>
      </c>
      <c r="J34" s="3"/>
      <c r="K34" s="3"/>
      <c r="L34" s="3"/>
      <c r="N34" s="4" t="s">
        <v>1</v>
      </c>
      <c r="O34" s="2">
        <v>354.94</v>
      </c>
      <c r="P34" s="3"/>
      <c r="Q34" s="3"/>
      <c r="R34" s="3"/>
      <c r="T34" s="4" t="s">
        <v>1</v>
      </c>
      <c r="U34" s="2">
        <v>393.06</v>
      </c>
      <c r="V34" s="3"/>
      <c r="Z34" s="4" t="s">
        <v>1</v>
      </c>
      <c r="AA34" s="2">
        <v>415.51</v>
      </c>
      <c r="AB34" s="3"/>
      <c r="AC34" s="3"/>
      <c r="AD34" s="3"/>
    </row>
    <row r="35" spans="2:30" x14ac:dyDescent="0.25">
      <c r="B35" s="5"/>
      <c r="C35" s="6"/>
      <c r="D35" s="6"/>
      <c r="E35" s="6"/>
      <c r="F35" s="6"/>
      <c r="H35" s="5"/>
      <c r="I35" s="6"/>
      <c r="J35" s="6"/>
      <c r="K35" s="6"/>
      <c r="L35" s="6"/>
      <c r="N35" s="5"/>
      <c r="O35" s="6"/>
      <c r="P35" s="6"/>
      <c r="Q35" s="6"/>
      <c r="R35" s="6"/>
      <c r="T35" s="5"/>
      <c r="U35" s="6"/>
      <c r="V35" s="6"/>
      <c r="W35" s="6"/>
      <c r="X35" s="6"/>
      <c r="Z35" s="5"/>
      <c r="AA35" s="6"/>
      <c r="AB35" s="6"/>
      <c r="AC35" s="6"/>
      <c r="AD35" s="6"/>
    </row>
    <row r="36" spans="2:30" x14ac:dyDescent="0.25">
      <c r="B36" s="7" t="s">
        <v>2</v>
      </c>
      <c r="C36" s="7" t="s">
        <v>3</v>
      </c>
      <c r="D36" s="7" t="s">
        <v>4</v>
      </c>
      <c r="E36" s="7" t="s">
        <v>5</v>
      </c>
      <c r="F36" s="7" t="s">
        <v>6</v>
      </c>
      <c r="H36" s="7" t="s">
        <v>2</v>
      </c>
      <c r="I36" s="7" t="s">
        <v>3</v>
      </c>
      <c r="J36" s="7" t="s">
        <v>4</v>
      </c>
      <c r="K36" s="7" t="s">
        <v>5</v>
      </c>
      <c r="L36" s="7" t="s">
        <v>6</v>
      </c>
      <c r="N36" s="7" t="s">
        <v>2</v>
      </c>
      <c r="O36" s="7" t="s">
        <v>3</v>
      </c>
      <c r="P36" s="7" t="s">
        <v>4</v>
      </c>
      <c r="Q36" s="7" t="s">
        <v>5</v>
      </c>
      <c r="R36" s="7" t="s">
        <v>6</v>
      </c>
      <c r="T36" s="7" t="s">
        <v>2</v>
      </c>
      <c r="U36" s="7" t="s">
        <v>3</v>
      </c>
      <c r="V36" s="7" t="s">
        <v>4</v>
      </c>
      <c r="W36" s="7" t="s">
        <v>5</v>
      </c>
      <c r="X36" s="7" t="s">
        <v>6</v>
      </c>
      <c r="Z36" s="7" t="s">
        <v>2</v>
      </c>
      <c r="AA36" s="7" t="s">
        <v>3</v>
      </c>
      <c r="AB36" s="7" t="s">
        <v>4</v>
      </c>
      <c r="AC36" s="7" t="s">
        <v>5</v>
      </c>
      <c r="AD36" s="7" t="s">
        <v>6</v>
      </c>
    </row>
    <row r="37" spans="2:30" x14ac:dyDescent="0.25">
      <c r="B37" s="9">
        <v>9</v>
      </c>
      <c r="C37" s="10">
        <f>0.01+0.01+3.28+7.66+0.34+0.02+0.03+0.57</f>
        <v>11.92</v>
      </c>
      <c r="D37" s="10">
        <f>0.58+1.11+17.2+13.05+4.25+0.57+0.84+4.46</f>
        <v>42.06</v>
      </c>
      <c r="E37" s="9">
        <v>0.92</v>
      </c>
      <c r="F37" s="10">
        <f t="shared" ref="F37:F54" si="5">B37/C37</f>
        <v>0.75503355704697983</v>
      </c>
      <c r="H37" s="9">
        <v>8</v>
      </c>
      <c r="I37" s="10">
        <f>1.3+0.01+0.08+0.17+0.06+0.02+0.01+0.01+9.01+0.01+4.08+0.13+0.1+0.07+0.02+0.01+0.04+0.04</f>
        <v>15.169999999999998</v>
      </c>
      <c r="J37" s="10">
        <f>7.13+0.52+1.75+2.58+2.23+0.92+0.36+0.67+14.04+0.38+30.27+1.26+1.96+1.14+1.13+0.01+0.04+0.04</f>
        <v>66.430000000000007</v>
      </c>
      <c r="K37" s="9">
        <v>0.9</v>
      </c>
      <c r="L37" s="10">
        <f t="shared" ref="L37:L52" si="6">H37/I37</f>
        <v>0.5273566249176006</v>
      </c>
      <c r="N37" s="9">
        <v>8</v>
      </c>
      <c r="O37" s="10">
        <f>0.26+0.02+0.1+0.41+0.02+8.94+1.24+0.05+0.09+0.44+0.2</f>
        <v>11.77</v>
      </c>
      <c r="P37" s="10">
        <f>2.18+0.49+1.43+4.17+0.7+16.4+13.95+1.1+1.54+4.26+2.08</f>
        <v>48.29999999999999</v>
      </c>
      <c r="Q37" s="9">
        <v>0.73</v>
      </c>
      <c r="R37" s="10">
        <f t="shared" ref="R37:R52" si="7">N37/O37</f>
        <v>0.67969413763806286</v>
      </c>
      <c r="T37" s="9">
        <v>10</v>
      </c>
      <c r="U37" s="10">
        <f>0.56+0.06+10.67+0.04+0.02+7.51</f>
        <v>18.86</v>
      </c>
      <c r="V37" s="10">
        <f>4.67+1.02+18.57+0.83+1.31+26.9</f>
        <v>53.3</v>
      </c>
      <c r="W37" s="9">
        <v>0.79</v>
      </c>
      <c r="X37" s="10">
        <f t="shared" ref="X37:X56" si="8">T37/U37</f>
        <v>0.53022269353128315</v>
      </c>
      <c r="Z37" s="9">
        <v>10</v>
      </c>
      <c r="AA37" s="10">
        <f>3.22+2.06+0.03+0.03+0.2+8.69</f>
        <v>14.23</v>
      </c>
      <c r="AB37" s="10">
        <f>22.25+10.1+0.51+1.07+2.75+29.81</f>
        <v>66.489999999999995</v>
      </c>
      <c r="AC37" s="9">
        <v>0.5</v>
      </c>
      <c r="AD37" s="10">
        <f t="shared" ref="AD37:AD56" si="9">Z37/AA37</f>
        <v>0.70274068868587491</v>
      </c>
    </row>
    <row r="38" spans="2:30" x14ac:dyDescent="0.25">
      <c r="B38" s="9">
        <v>8.5</v>
      </c>
      <c r="C38" s="10">
        <f>0.05+2.98+7.4+0.26+0.01+0.02+0.5</f>
        <v>11.219999999999999</v>
      </c>
      <c r="D38" s="10">
        <f>0.47+0.94+17.07+12.94+4.11+0.48+0.68+4.42</f>
        <v>41.11</v>
      </c>
      <c r="E38" s="9">
        <v>0.9</v>
      </c>
      <c r="F38" s="10">
        <f t="shared" si="5"/>
        <v>0.75757575757575768</v>
      </c>
      <c r="H38" s="9">
        <v>7.5</v>
      </c>
      <c r="I38" s="10">
        <f>1.17+0.05+0.12+0.03+0.02+8.67+3.5+0.07+0.1+0.07+0.05+0.01+0.03+0.03</f>
        <v>13.92</v>
      </c>
      <c r="J38" s="10">
        <f>6.9+1.48+0.22+2.08+1.41+0.46+0.26+13.89+28.98+1.09+1.21+1.57+0.99+0.58+0.36+0.8+0.53</f>
        <v>62.810000000000009</v>
      </c>
      <c r="K38" s="9">
        <v>0.88</v>
      </c>
      <c r="L38" s="10">
        <f t="shared" si="6"/>
        <v>0.53879310344827591</v>
      </c>
      <c r="N38" s="9">
        <v>7.5</v>
      </c>
      <c r="O38" s="10">
        <f>0.23+0.02+0.09+0.35+0.01+8.68+0.92+0.11+0.04+0.07+0.38+0.17</f>
        <v>11.069999999999999</v>
      </c>
      <c r="P38" s="10">
        <f>2.1+0.47+1.26+4.09+0.52+16.16+11.78+1.72+0.75+1.23+4.15+1.97</f>
        <v>46.199999999999996</v>
      </c>
      <c r="Q38" s="9">
        <v>0.71</v>
      </c>
      <c r="R38" s="10">
        <f t="shared" si="7"/>
        <v>0.67750677506775081</v>
      </c>
      <c r="T38" s="9">
        <v>9.5</v>
      </c>
      <c r="U38" s="10">
        <f>0.51+0.05+10.39+0.03+0.01+7.2</f>
        <v>18.190000000000001</v>
      </c>
      <c r="V38" s="10">
        <f>4.65+0.9+18.48+0.76+0.78+26.83</f>
        <v>52.400000000000006</v>
      </c>
      <c r="W38" s="9">
        <v>0.78</v>
      </c>
      <c r="X38" s="10">
        <f t="shared" si="8"/>
        <v>0.52226498075865857</v>
      </c>
      <c r="Z38" s="9">
        <v>9.5</v>
      </c>
      <c r="AA38" s="10">
        <f>2.95+1.95+0.02+0.02+0.08+0.1+0.01+8.34</f>
        <v>13.469999999999999</v>
      </c>
      <c r="AB38" s="10">
        <f>22.14+9.79+0.51+0.98+1.33+1.18+0.39+29.36</f>
        <v>65.679999999999993</v>
      </c>
      <c r="AC38" s="9">
        <v>0.49</v>
      </c>
      <c r="AD38" s="10">
        <f t="shared" si="9"/>
        <v>0.70527097253155169</v>
      </c>
    </row>
    <row r="39" spans="2:30" x14ac:dyDescent="0.25">
      <c r="B39" s="9">
        <v>8</v>
      </c>
      <c r="C39" s="10">
        <f>0.04+0.44+2.29+7.19+0.04+0.16+0.01+0.44</f>
        <v>10.61</v>
      </c>
      <c r="D39" s="10">
        <f>0.81+2.53+14.42+12.75+1.05+2.6+0.39+0.54+4.34</f>
        <v>39.429999999999993</v>
      </c>
      <c r="E39" s="9">
        <v>0.89</v>
      </c>
      <c r="F39" s="10">
        <f t="shared" si="5"/>
        <v>0.7540056550424129</v>
      </c>
      <c r="H39" s="9">
        <v>7</v>
      </c>
      <c r="I39" s="10">
        <f>0.89+0.14+0.02+0.08+0.01+0.03+8.34+0.03+0.22+2.62+0.04+0.08+0.04+0.03+0.01+0.02</f>
        <v>12.599999999999996</v>
      </c>
      <c r="J39" s="10">
        <f>4.69+2.03+1.15+1.99+0.6+1.05+12.7+1.63+3.71+22.79+0.92+1.05+0.81+0.86+0.56+0.44</f>
        <v>56.980000000000004</v>
      </c>
      <c r="K39" s="9">
        <v>0.86</v>
      </c>
      <c r="L39" s="10">
        <f t="shared" si="6"/>
        <v>0.55555555555555569</v>
      </c>
      <c r="N39" s="9">
        <v>7</v>
      </c>
      <c r="O39" s="10">
        <f>0.2+0.01+0.07+0.03+0.24+8.44+0.03+0.58+0.04+0.07+0.08+0.03+0.05+0.3+0.14</f>
        <v>10.31</v>
      </c>
      <c r="P39" s="10">
        <f>2.01+0.38+1.13+1.09+2.71+16.02+2.21+5.35+1.18+2.12+1.4+0.63+0.97+4.04+1.83</f>
        <v>43.069999999999993</v>
      </c>
      <c r="Q39" s="9">
        <v>0.69</v>
      </c>
      <c r="R39" s="10">
        <f t="shared" si="7"/>
        <v>0.67895247332686703</v>
      </c>
      <c r="T39" s="9">
        <v>9</v>
      </c>
      <c r="U39" s="10">
        <f>0.46+0.04+10.28+0.02+6.92</f>
        <v>17.72</v>
      </c>
      <c r="V39" s="10">
        <f>4.65+0.83+18.4+0.66+26.78</f>
        <v>51.32</v>
      </c>
      <c r="W39" s="9">
        <v>0.77</v>
      </c>
      <c r="X39" s="10">
        <f t="shared" si="8"/>
        <v>0.50790067720090293</v>
      </c>
      <c r="Z39" s="9">
        <v>9</v>
      </c>
      <c r="AA39" s="10">
        <f>2.74+1.84+0.02+0.01+0.07+0.08+0.01+7.98</f>
        <v>12.75</v>
      </c>
      <c r="AB39" s="10">
        <f>22.11+9.68+0.46+0.84+1.18+1.05+0.31+29.23</f>
        <v>64.86</v>
      </c>
      <c r="AC39" s="9">
        <v>0.48</v>
      </c>
      <c r="AD39" s="10">
        <f t="shared" si="9"/>
        <v>0.70588235294117652</v>
      </c>
    </row>
    <row r="40" spans="2:30" x14ac:dyDescent="0.25">
      <c r="B40" s="9">
        <v>7.5</v>
      </c>
      <c r="C40" s="10">
        <f>0.02+0.38+0.05+1.74+0.16+0.03+6.93+0.02+0.11+0.27+0.08</f>
        <v>9.7899999999999974</v>
      </c>
      <c r="D40" s="10">
        <f>0.65+2.38+1.33+9.87+1.48+1.04+12.6+0.76+2.1+0.34+3.37+0.81</f>
        <v>36.730000000000004</v>
      </c>
      <c r="E40" s="9">
        <v>0.86</v>
      </c>
      <c r="F40" s="10">
        <f t="shared" si="5"/>
        <v>0.76608784473953029</v>
      </c>
      <c r="H40" s="9">
        <v>6.5</v>
      </c>
      <c r="I40" s="10">
        <f>0.75+0.08+0.02+0.01+7.98+0.15+0.24+0.32+0.22+1.12+0.02+0.05+0.02+0.01+0.01</f>
        <v>11</v>
      </c>
      <c r="J40" s="10">
        <f>4.62+1.17+1.61+0.35+12.41+1.47+4.06+6.91+2.55+8.22+0.61+0.88+0.58+0.5+0.32</f>
        <v>46.259999999999991</v>
      </c>
      <c r="K40" s="9">
        <v>0.83</v>
      </c>
      <c r="L40" s="10">
        <f t="shared" si="6"/>
        <v>0.59090909090909094</v>
      </c>
      <c r="N40" s="9">
        <v>6.5</v>
      </c>
      <c r="O40" s="10">
        <f>0.13+0.03+0.01+0.17+7.88+0.43+0.01+0.02+0.04+0.02+0.02+0.18+0.01+0.08</f>
        <v>9.0299999999999976</v>
      </c>
      <c r="P40" s="10">
        <f>1.95+0.23+0.79+0.57+2.02+15.81+4.07+0.5+1.19+0.96+0.42+0.66+3.85+0.54+0.7</f>
        <v>34.260000000000005</v>
      </c>
      <c r="Q40" s="9">
        <v>0.66</v>
      </c>
      <c r="R40" s="10">
        <f t="shared" si="7"/>
        <v>0.71982281284606886</v>
      </c>
      <c r="T40" s="9">
        <v>8.5</v>
      </c>
      <c r="U40" s="10">
        <f>0.4+0.03+10.06+0.02+0.09+6.52</f>
        <v>17.119999999999997</v>
      </c>
      <c r="V40" s="9">
        <f>4.65+0.75+18.34+0.56+1.25+25.4</f>
        <v>50.95</v>
      </c>
      <c r="W40" s="9">
        <v>0.76</v>
      </c>
      <c r="X40" s="10">
        <f t="shared" si="8"/>
        <v>0.49649532710280381</v>
      </c>
      <c r="Z40" s="9">
        <v>8.5</v>
      </c>
      <c r="AA40" s="10">
        <f>2.36+0.1+1.74+0.01+0.05+0.07+0.01+7.69</f>
        <v>12.030000000000001</v>
      </c>
      <c r="AB40" s="10">
        <f>19.32+2.42+9.14+0.44+0.99+0.96+0.28+29.31</f>
        <v>62.86</v>
      </c>
      <c r="AC40" s="9">
        <v>0.47</v>
      </c>
      <c r="AD40" s="10">
        <f t="shared" si="9"/>
        <v>0.70656691604322519</v>
      </c>
    </row>
    <row r="41" spans="2:30" x14ac:dyDescent="0.25">
      <c r="B41" s="9">
        <v>7</v>
      </c>
      <c r="C41" s="10">
        <f>0.01+0.32+0.03+1.5+0.12+0.01+6.69+0.01+0.07+0.18+0.06</f>
        <v>9</v>
      </c>
      <c r="D41" s="10">
        <f>0.42+2.27+1.03+9.64+1.26+0.56+12.56+0.45+0.23+0.87+3+0.59</f>
        <v>32.88000000000001</v>
      </c>
      <c r="E41" s="9">
        <v>0.84</v>
      </c>
      <c r="F41" s="10">
        <f t="shared" si="5"/>
        <v>0.77777777777777779</v>
      </c>
      <c r="H41" s="9">
        <v>6</v>
      </c>
      <c r="I41" s="10">
        <f>0.31+0.28+0.05+7.59+0.1+0.1+0.03+0.02+0.06+0.05+0.09+0.84+0.03</f>
        <v>9.5499999999999989</v>
      </c>
      <c r="J41" s="10">
        <f>1.81+2.74+0.87+12.09+1.22+3.67+1.52+1+1.83+1.16+1.04+7.56+0.6</f>
        <v>37.11</v>
      </c>
      <c r="K41" s="9">
        <v>0.79</v>
      </c>
      <c r="L41" s="10">
        <f t="shared" si="6"/>
        <v>0.62827225130890063</v>
      </c>
      <c r="N41" s="9">
        <v>6</v>
      </c>
      <c r="O41" s="10">
        <f>0.03+0.04+0.01+0.1+7.38+0.29+0.01+0.06+0.06</f>
        <v>7.9799999999999986</v>
      </c>
      <c r="P41" s="10">
        <f>0.51+1.37+0.49+1.83+15.04+3.68+0.57+1.45+0.53</f>
        <v>25.47</v>
      </c>
      <c r="Q41" s="9">
        <v>0.63</v>
      </c>
      <c r="R41" s="10">
        <f t="shared" si="7"/>
        <v>0.75187969924812048</v>
      </c>
      <c r="T41" s="9">
        <v>8</v>
      </c>
      <c r="U41" s="10">
        <f>0.07+0.27+0.03+9.81+0.01+0.07+6.16</f>
        <v>16.420000000000002</v>
      </c>
      <c r="V41" s="10">
        <f>1.29+3.14+0.64+18.27+0.44+1.16+25.24</f>
        <v>50.18</v>
      </c>
      <c r="W41" s="9">
        <v>0.74</v>
      </c>
      <c r="X41" s="10">
        <f t="shared" si="8"/>
        <v>0.48721071863580995</v>
      </c>
      <c r="Z41" s="9">
        <v>8</v>
      </c>
      <c r="AA41" s="10">
        <f>2.1+0.07+1.63+0.01+0.04+0.06+0.47+6.8</f>
        <v>11.18</v>
      </c>
      <c r="AB41" s="10">
        <f>19.19+1.61+8.8+0.41+0.88+0.91+0.19+4.17+25.08</f>
        <v>61.24</v>
      </c>
      <c r="AC41" s="9">
        <v>0.46</v>
      </c>
      <c r="AD41" s="10">
        <f t="shared" si="9"/>
        <v>0.7155635062611807</v>
      </c>
    </row>
    <row r="42" spans="2:30" x14ac:dyDescent="0.25">
      <c r="B42" s="9">
        <v>6.5</v>
      </c>
      <c r="C42" s="10">
        <f>0.24+1.12+0.03+0.08+6.21+0.04+0.02+0.07+0.04</f>
        <v>7.85</v>
      </c>
      <c r="D42" s="10">
        <f>2.03+0.35+6.81+1.91+1.05+12.33+0.63+0.6+1.37+0.5</f>
        <v>27.580000000000002</v>
      </c>
      <c r="E42" s="9">
        <v>0.8</v>
      </c>
      <c r="F42" s="10">
        <f t="shared" si="5"/>
        <v>0.82802547770700641</v>
      </c>
      <c r="H42" s="9">
        <v>5.5</v>
      </c>
      <c r="I42" s="10">
        <f>0.24+0.18+0.02+7.01+0.07+0.02+0.01+0.05+0.57+0.01+0.01</f>
        <v>8.19</v>
      </c>
      <c r="J42" s="10">
        <f>1.75+2.15+0.57+11.77+0.94+0.71+0.94+0.81+5.33+0.76+0.34</f>
        <v>26.07</v>
      </c>
      <c r="K42" s="9">
        <v>0.75</v>
      </c>
      <c r="L42" s="10">
        <f t="shared" si="6"/>
        <v>0.67155067155067161</v>
      </c>
      <c r="N42" s="9">
        <v>5.5</v>
      </c>
      <c r="O42" s="10">
        <f>0.01+0.01+0.01+6.65+0.12+0.04</f>
        <v>6.8400000000000007</v>
      </c>
      <c r="P42" s="10">
        <f>0.31+0.23+0.65+0.49+14.52+2.91+0.27+0.26+0.44</f>
        <v>20.080000000000002</v>
      </c>
      <c r="Q42" s="9">
        <v>0.57999999999999996</v>
      </c>
      <c r="R42" s="10">
        <f t="shared" si="7"/>
        <v>0.80409356725146186</v>
      </c>
      <c r="T42" s="9">
        <v>7.5</v>
      </c>
      <c r="U42" s="10">
        <f>0.05+0.22+0.02+9.58+0.01+0.06+5.82</f>
        <v>15.760000000000002</v>
      </c>
      <c r="V42" s="10">
        <f>0.82+3.01+0.55+18.15+0.32+1.04+25.1</f>
        <v>48.989999999999995</v>
      </c>
      <c r="W42" s="9">
        <v>0.73</v>
      </c>
      <c r="X42" s="10">
        <f t="shared" si="8"/>
        <v>0.4758883248730964</v>
      </c>
      <c r="Z42" s="9">
        <v>7.5</v>
      </c>
      <c r="AA42" s="10">
        <f>1.08+0.74+0.05+1.49+0.03+0.05+0.41+0.37+6.07</f>
        <v>10.29</v>
      </c>
      <c r="AB42" s="10">
        <f>11.47+7.42+1.03+8.52+0.75+0.8+4.13+2.95+21.97</f>
        <v>59.040000000000006</v>
      </c>
      <c r="AC42" s="9">
        <v>0.44</v>
      </c>
      <c r="AD42" s="10">
        <f t="shared" si="9"/>
        <v>0.72886297376093301</v>
      </c>
    </row>
    <row r="43" spans="2:30" x14ac:dyDescent="0.25">
      <c r="B43" s="9">
        <v>6</v>
      </c>
      <c r="C43" s="10">
        <f>0.17+0.43+0.12+0.3+0.04+5.72+0.02+0.03+0.03</f>
        <v>6.8599999999999994</v>
      </c>
      <c r="D43" s="10">
        <f>1.81+2.49+0.89+2.85+0.87+12.06+0.43+0.85+0.38</f>
        <v>22.63</v>
      </c>
      <c r="E43" s="9">
        <v>0.76</v>
      </c>
      <c r="F43" s="10">
        <f t="shared" si="5"/>
        <v>0.87463556851311963</v>
      </c>
      <c r="H43" s="9">
        <v>5</v>
      </c>
      <c r="I43" s="10">
        <f>0.16+0.09+6.57+0.03+0.02+0.01+0.32</f>
        <v>7.2</v>
      </c>
      <c r="J43" s="10">
        <f>1.65+1.87+11.68+0.63+0.42+0.73+2.76</f>
        <v>19.740000000000002</v>
      </c>
      <c r="K43" s="9">
        <v>0.71</v>
      </c>
      <c r="L43" s="10">
        <f t="shared" si="6"/>
        <v>0.69444444444444442</v>
      </c>
      <c r="N43" s="9">
        <v>5</v>
      </c>
      <c r="O43" s="10">
        <f>0.02+5.82</f>
        <v>5.84</v>
      </c>
      <c r="P43" s="10">
        <f>0.14+13.88+0.34</f>
        <v>14.360000000000001</v>
      </c>
      <c r="Q43" s="9">
        <v>0.52</v>
      </c>
      <c r="R43" s="10">
        <f t="shared" si="7"/>
        <v>0.85616438356164382</v>
      </c>
      <c r="T43" s="9">
        <v>7</v>
      </c>
      <c r="U43" s="10">
        <f>0.04+0.17+0.01+9.24+0.04+0.01+0.02+5.34</f>
        <v>14.87</v>
      </c>
      <c r="V43" s="10">
        <f>0.71+2.85+0.39+18.14+0.89+0.52+0.9+21.19</f>
        <v>45.59</v>
      </c>
      <c r="W43" s="9">
        <v>0.71</v>
      </c>
      <c r="X43" s="10">
        <f t="shared" si="8"/>
        <v>0.47074646940147952</v>
      </c>
      <c r="Z43" s="9">
        <v>7</v>
      </c>
      <c r="AA43" s="10">
        <f>0.86+0.6+0.03+0.19+1.15+0.02+0.03+0.33+0.31+5.67</f>
        <v>9.19</v>
      </c>
      <c r="AB43" s="10">
        <f>11.37+7.09+0.82+1.8+6.12+0.6+0.67+4.04+2.86+21.88</f>
        <v>57.25</v>
      </c>
      <c r="AC43" s="9">
        <v>0.43</v>
      </c>
      <c r="AD43" s="10">
        <f t="shared" si="9"/>
        <v>0.76169749727965186</v>
      </c>
    </row>
    <row r="44" spans="2:30" x14ac:dyDescent="0.25">
      <c r="B44" s="9">
        <v>5.5</v>
      </c>
      <c r="C44" s="10">
        <f>0.03+0.08+0.34+0.1+0.21+0.02+5.29+0.02+0.01</f>
        <v>6.1</v>
      </c>
      <c r="D44" s="10">
        <f>0.73+0.9+2.28+0.85+2.59+0.64+11.79+0.22+0.39+0.29</f>
        <v>20.679999999999996</v>
      </c>
      <c r="E44" s="9">
        <v>0.73</v>
      </c>
      <c r="F44" s="10">
        <f t="shared" si="5"/>
        <v>0.90163934426229508</v>
      </c>
      <c r="H44" s="9">
        <v>4.5</v>
      </c>
      <c r="I44" s="10">
        <f>0.1+0.01+0.01+6.03+0.22</f>
        <v>6.37</v>
      </c>
      <c r="J44" s="10">
        <f>1.52+0.39+0.54+11.58+2.5</f>
        <v>16.53</v>
      </c>
      <c r="K44" s="9">
        <v>0.67</v>
      </c>
      <c r="L44" s="10">
        <f t="shared" si="6"/>
        <v>0.70643642072213497</v>
      </c>
      <c r="N44" s="9">
        <v>4.5</v>
      </c>
      <c r="O44" s="9">
        <v>5.28</v>
      </c>
      <c r="P44" s="9">
        <v>13.72</v>
      </c>
      <c r="Q44" s="9">
        <v>0.48</v>
      </c>
      <c r="R44" s="10">
        <f t="shared" si="7"/>
        <v>0.85227272727272718</v>
      </c>
      <c r="T44" s="9">
        <v>6.5</v>
      </c>
      <c r="U44" s="10">
        <f>0.02+0.1+8.72+0.02+4.76</f>
        <v>13.62</v>
      </c>
      <c r="V44" s="10">
        <f>0.56+2.61+17.84+0.58+20.7</f>
        <v>42.289999999999992</v>
      </c>
      <c r="W44" s="9">
        <v>0.68</v>
      </c>
      <c r="X44" s="10">
        <f t="shared" si="8"/>
        <v>0.47723935389133632</v>
      </c>
      <c r="Z44" s="9">
        <v>6.5</v>
      </c>
      <c r="AA44" s="10">
        <f>0.17+0.42+0.42+0.01+0.14+0.96+0.02+0.02+0.2+0.24+0.27+4.79</f>
        <v>7.66</v>
      </c>
      <c r="AB44" s="10">
        <f>3.27+5.82+4.33+0.51+1.58+5.77+0.49+0.32+1.27+2.68+2.68+2.63+19.04</f>
        <v>50.39</v>
      </c>
      <c r="AC44" s="9">
        <v>0.39</v>
      </c>
      <c r="AD44" s="10">
        <f t="shared" si="9"/>
        <v>0.84856396866840733</v>
      </c>
    </row>
    <row r="45" spans="2:30" x14ac:dyDescent="0.25">
      <c r="B45" s="9">
        <v>5</v>
      </c>
      <c r="C45" s="10">
        <f>0.04+0.26+0.07+0.12+4.86</f>
        <v>5.3500000000000005</v>
      </c>
      <c r="D45" s="10">
        <f>0.31+0.66+2.03+0.69+1.8+9.83</f>
        <v>15.32</v>
      </c>
      <c r="E45" s="9">
        <v>0.69</v>
      </c>
      <c r="F45" s="10">
        <f t="shared" si="5"/>
        <v>0.93457943925233633</v>
      </c>
      <c r="H45" s="9">
        <v>4</v>
      </c>
      <c r="I45" s="9">
        <f>0.04+0.01+5.69+0.13</f>
        <v>5.87</v>
      </c>
      <c r="J45" s="10">
        <f>0.86+0.26+0.2+11.63+2.23</f>
        <v>15.180000000000001</v>
      </c>
      <c r="K45" s="9">
        <v>0.63</v>
      </c>
      <c r="L45" s="10">
        <f t="shared" si="6"/>
        <v>0.68143100511073251</v>
      </c>
      <c r="N45" s="9">
        <v>4</v>
      </c>
      <c r="O45" s="9">
        <v>4.72</v>
      </c>
      <c r="P45" s="9">
        <v>13.55</v>
      </c>
      <c r="Q45" s="9">
        <v>0.44</v>
      </c>
      <c r="R45" s="10">
        <f t="shared" si="7"/>
        <v>0.84745762711864414</v>
      </c>
      <c r="T45" s="9">
        <v>6</v>
      </c>
      <c r="U45" s="10">
        <f>0.01+0.03+8.13+4.09</f>
        <v>12.26</v>
      </c>
      <c r="V45" s="10">
        <f>0.3+0.99+17.67+0.29+20.33</f>
        <v>39.58</v>
      </c>
      <c r="W45" s="9">
        <v>0.66</v>
      </c>
      <c r="X45" s="10">
        <f t="shared" si="8"/>
        <v>0.48939641109298532</v>
      </c>
      <c r="Z45" s="9">
        <v>6</v>
      </c>
      <c r="AA45" s="10">
        <f>0.03+0.04+0.09+0.16+0.3+0.1+0.81+0.11+0.01+0.16+0.19+4.18</f>
        <v>6.18</v>
      </c>
      <c r="AB45" s="10">
        <f>0.89+1.79+2.18+2.74+3.36+1.29+5.26+1.69+0.58+2.58+2.39+18.85</f>
        <v>43.6</v>
      </c>
      <c r="AC45" s="9">
        <v>0.37</v>
      </c>
      <c r="AD45" s="10">
        <f t="shared" si="9"/>
        <v>0.970873786407767</v>
      </c>
    </row>
    <row r="46" spans="2:30" x14ac:dyDescent="0.25">
      <c r="B46" s="9">
        <v>4.5</v>
      </c>
      <c r="C46" s="10">
        <f>0.03+0.19+0.05+0.07+4.52</f>
        <v>4.8599999999999994</v>
      </c>
      <c r="D46" s="10">
        <f>0.51+1.88+0.59+1.22+9.86</f>
        <v>14.059999999999999</v>
      </c>
      <c r="E46" s="9">
        <v>0.65</v>
      </c>
      <c r="F46" s="10">
        <f t="shared" si="5"/>
        <v>0.92592592592592604</v>
      </c>
      <c r="H46" s="9">
        <v>3.5</v>
      </c>
      <c r="I46" s="10">
        <f>0.01+5.2+0.01+0.04</f>
        <v>5.26</v>
      </c>
      <c r="J46" s="10">
        <f>0.53+11.3+0.81+1.15</f>
        <v>13.790000000000001</v>
      </c>
      <c r="K46" s="9">
        <v>0.59</v>
      </c>
      <c r="L46" s="10">
        <f t="shared" si="6"/>
        <v>0.66539923954372626</v>
      </c>
      <c r="N46" s="9">
        <v>3.5</v>
      </c>
      <c r="O46" s="9">
        <v>4.24</v>
      </c>
      <c r="P46" s="9">
        <v>13.43</v>
      </c>
      <c r="Q46" s="9">
        <v>0.4</v>
      </c>
      <c r="R46" s="10">
        <f t="shared" si="7"/>
        <v>0.82547169811320753</v>
      </c>
      <c r="T46" s="9">
        <v>5.5</v>
      </c>
      <c r="U46" s="10">
        <f>0.74+6.73+3.32</f>
        <v>10.790000000000001</v>
      </c>
      <c r="V46" s="10">
        <f>4.42+13.01+19.87</f>
        <v>37.299999999999997</v>
      </c>
      <c r="W46" s="9">
        <v>0.61</v>
      </c>
      <c r="X46" s="10">
        <f t="shared" si="8"/>
        <v>0.50973123262279885</v>
      </c>
      <c r="Z46" s="9">
        <v>5.5</v>
      </c>
      <c r="AA46" s="10">
        <f>0.01+0.03+0.07+0.2+0.06+0.65+0.05+0.01+0.07+0.01+0.12+0.01+0.5+3.01</f>
        <v>4.8</v>
      </c>
      <c r="AB46" s="10">
        <f>0.35+1.07+1.67+2.85+1.12+4.76+1.04+0.48+1+0.53+2.18+0.49+5.34+12.66</f>
        <v>35.54</v>
      </c>
      <c r="AC46" s="9">
        <v>0.33</v>
      </c>
      <c r="AD46" s="10">
        <f t="shared" si="9"/>
        <v>1.1458333333333335</v>
      </c>
    </row>
    <row r="47" spans="2:30" x14ac:dyDescent="0.25">
      <c r="B47" s="9">
        <v>4</v>
      </c>
      <c r="C47" s="10">
        <f>0.01+0.14+0.03+0.04+4.2</f>
        <v>4.42</v>
      </c>
      <c r="D47" s="10">
        <f>0.35+1.71+0.46+0.71+9.69</f>
        <v>12.92</v>
      </c>
      <c r="E47" s="9">
        <v>0.62</v>
      </c>
      <c r="F47" s="10">
        <f t="shared" si="5"/>
        <v>0.90497737556561086</v>
      </c>
      <c r="H47" s="9">
        <v>3</v>
      </c>
      <c r="I47" s="9">
        <v>4.74</v>
      </c>
      <c r="J47" s="9">
        <v>11.83</v>
      </c>
      <c r="K47" s="9">
        <v>0.55000000000000004</v>
      </c>
      <c r="L47" s="10">
        <f t="shared" si="6"/>
        <v>0.63291139240506322</v>
      </c>
      <c r="N47" s="9">
        <v>3</v>
      </c>
      <c r="O47" s="9">
        <v>3.61</v>
      </c>
      <c r="P47" s="9">
        <v>13.24</v>
      </c>
      <c r="Q47" s="9">
        <v>0.35</v>
      </c>
      <c r="R47" s="10">
        <f t="shared" si="7"/>
        <v>0.8310249307479225</v>
      </c>
      <c r="T47" s="9">
        <v>5</v>
      </c>
      <c r="U47" s="10">
        <f>0.54+6.14+0.02+0.04+0.09+0.1+2.2</f>
        <v>9.129999999999999</v>
      </c>
      <c r="V47" s="10">
        <f>4.11+12.63+0.74+0.69+3.09+1.2+11.94</f>
        <v>34.4</v>
      </c>
      <c r="W47" s="9">
        <v>0.56999999999999995</v>
      </c>
      <c r="X47" s="10">
        <f t="shared" si="8"/>
        <v>0.547645125958379</v>
      </c>
      <c r="Z47" s="9">
        <v>5</v>
      </c>
      <c r="AA47" s="10">
        <f>0.02+0.05+0.16+0.04+0.58+0.04+0.05+0.01+0.09+0.01+0.43+2.85</f>
        <v>4.33</v>
      </c>
      <c r="AB47" s="10">
        <f>0.85+1.47+2.74+1.07+4.54+0.98+0.4+0.89+0.45+1.52+0.41+5.3+12.61</f>
        <v>33.230000000000004</v>
      </c>
      <c r="AC47" s="9">
        <v>0.32</v>
      </c>
      <c r="AD47" s="10">
        <f t="shared" si="9"/>
        <v>1.1547344110854503</v>
      </c>
    </row>
    <row r="48" spans="2:30" x14ac:dyDescent="0.25">
      <c r="B48" s="9">
        <v>3.5</v>
      </c>
      <c r="C48" s="10">
        <f>0.08+0.01+0.02+3.86</f>
        <v>3.9699999999999998</v>
      </c>
      <c r="D48" s="10">
        <f>1.5+0.32+0.49+9.67</f>
        <v>11.98</v>
      </c>
      <c r="E48" s="9">
        <v>0.59</v>
      </c>
      <c r="F48" s="10">
        <f t="shared" si="5"/>
        <v>0.88161209068010082</v>
      </c>
      <c r="H48" s="9">
        <v>2.5</v>
      </c>
      <c r="I48" s="9">
        <v>4.1900000000000004</v>
      </c>
      <c r="J48" s="9">
        <v>11.12</v>
      </c>
      <c r="K48" s="9">
        <v>0.5</v>
      </c>
      <c r="L48" s="10">
        <f t="shared" si="6"/>
        <v>0.59665871121718372</v>
      </c>
      <c r="N48" s="9">
        <v>2.5</v>
      </c>
      <c r="O48" s="9">
        <v>3.01</v>
      </c>
      <c r="P48" s="9">
        <v>13.03</v>
      </c>
      <c r="Q48" s="9">
        <v>0.31</v>
      </c>
      <c r="R48" s="10">
        <f t="shared" si="7"/>
        <v>0.83056478405315626</v>
      </c>
      <c r="T48" s="9">
        <v>4.5</v>
      </c>
      <c r="U48" s="10">
        <f>0.4+5.72+0.02+0.01+0.01+0.05+1.78</f>
        <v>7.9899999999999993</v>
      </c>
      <c r="V48" s="10">
        <f>3.74+12.67+0.5+0.39+0.7+0.91+11.94</f>
        <v>30.85</v>
      </c>
      <c r="W48" s="9">
        <v>0.53</v>
      </c>
      <c r="X48" s="10">
        <f t="shared" si="8"/>
        <v>0.56320400500625789</v>
      </c>
      <c r="Z48" s="9">
        <v>4.5</v>
      </c>
      <c r="AA48" s="10">
        <f>0.01+0.04+0.06+0.07+0.03+0.53+0.03+0.04+0.07+0.01+0.38+2.71</f>
        <v>3.98</v>
      </c>
      <c r="AB48" s="10">
        <f>0.64+1.29+1.44+1+1.01+4.32+0.94+0.88+0.3+1.31+0.31+5.29+12.61</f>
        <v>31.34</v>
      </c>
      <c r="AC48" s="9">
        <v>0.3</v>
      </c>
      <c r="AD48" s="10">
        <f t="shared" si="9"/>
        <v>1.1306532663316582</v>
      </c>
    </row>
    <row r="49" spans="2:30" x14ac:dyDescent="0.25">
      <c r="B49" s="9">
        <v>3</v>
      </c>
      <c r="C49" s="10">
        <f>0.04+0.01+3.56</f>
        <v>3.61</v>
      </c>
      <c r="D49" s="10">
        <f>1.28+0.28+9.53</f>
        <v>11.09</v>
      </c>
      <c r="E49" s="9">
        <v>0.55000000000000004</v>
      </c>
      <c r="F49" s="10">
        <f t="shared" si="5"/>
        <v>0.8310249307479225</v>
      </c>
      <c r="H49" s="9">
        <v>2</v>
      </c>
      <c r="I49" s="9">
        <v>3.64</v>
      </c>
      <c r="J49" s="9">
        <v>10.93</v>
      </c>
      <c r="K49" s="9">
        <v>0.45</v>
      </c>
      <c r="L49" s="10">
        <f t="shared" si="6"/>
        <v>0.54945054945054939</v>
      </c>
      <c r="N49" s="9">
        <v>2</v>
      </c>
      <c r="O49" s="9">
        <v>2.4500000000000002</v>
      </c>
      <c r="P49" s="9">
        <v>12.84</v>
      </c>
      <c r="Q49" s="9">
        <v>0.27</v>
      </c>
      <c r="R49" s="10">
        <f t="shared" si="7"/>
        <v>0.81632653061224481</v>
      </c>
      <c r="T49" s="9">
        <v>4</v>
      </c>
      <c r="U49" s="10">
        <f>0.29+5.3+0.01+0.03+1.39</f>
        <v>7.02</v>
      </c>
      <c r="V49" s="10">
        <f>3.24+12.56+0.31+0.25+0.76+11.89</f>
        <v>29.01</v>
      </c>
      <c r="W49" s="9">
        <v>0.5</v>
      </c>
      <c r="X49" s="10">
        <f t="shared" si="8"/>
        <v>0.56980056980056981</v>
      </c>
      <c r="Z49" s="9">
        <v>4</v>
      </c>
      <c r="AA49" s="10">
        <f>0.02+0.04+0.06+0.02+0.49+0.01+0.03+0.05+0.12+0.19+2.55</f>
        <v>3.58</v>
      </c>
      <c r="AB49" s="10">
        <f>1.16+1.26+0.91+0.85+4.13+0.82+0.72+1.08+2.08+3.04+12.56</f>
        <v>28.61</v>
      </c>
      <c r="AC49" s="9">
        <v>0.28999999999999998</v>
      </c>
      <c r="AD49" s="10">
        <f t="shared" si="9"/>
        <v>1.1173184357541899</v>
      </c>
    </row>
    <row r="50" spans="2:30" x14ac:dyDescent="0.25">
      <c r="B50" s="9">
        <v>2.5</v>
      </c>
      <c r="C50" s="9">
        <v>3.14</v>
      </c>
      <c r="D50" s="9">
        <v>9.4600000000000009</v>
      </c>
      <c r="E50" s="9">
        <v>0.51</v>
      </c>
      <c r="F50" s="10">
        <f t="shared" si="5"/>
        <v>0.79617834394904452</v>
      </c>
      <c r="H50" s="9">
        <v>1.5</v>
      </c>
      <c r="I50" s="9">
        <v>3.06</v>
      </c>
      <c r="J50" s="9">
        <v>10.84</v>
      </c>
      <c r="K50" s="9">
        <v>0.4</v>
      </c>
      <c r="L50" s="10">
        <f t="shared" si="6"/>
        <v>0.49019607843137253</v>
      </c>
      <c r="N50" s="9">
        <v>1.5</v>
      </c>
      <c r="O50" s="9">
        <v>1.86</v>
      </c>
      <c r="P50" s="9">
        <v>12.65</v>
      </c>
      <c r="Q50" s="9">
        <v>0.22</v>
      </c>
      <c r="R50" s="10">
        <f t="shared" si="7"/>
        <v>0.80645161290322576</v>
      </c>
      <c r="T50" s="9">
        <v>3.5</v>
      </c>
      <c r="U50" s="10">
        <f>0.09+0.1+4.91+0.01+1.02</f>
        <v>6.1300000000000008</v>
      </c>
      <c r="V50" s="10">
        <f>1.63+1.07+12.45+0.43+10.71</f>
        <v>26.29</v>
      </c>
      <c r="W50" s="9">
        <v>0.47</v>
      </c>
      <c r="X50" s="10">
        <f t="shared" si="8"/>
        <v>0.57096247960848279</v>
      </c>
      <c r="Z50" s="9">
        <v>3.5</v>
      </c>
      <c r="AA50" s="9">
        <f>0.01+0.03+0.05+0.01+0.01+0.41+0.02+0.04+0.09+0.15+2.37</f>
        <v>3.1900000000000004</v>
      </c>
      <c r="AB50" s="10">
        <f>0.55+1.02+0.8+0.59+0.45+3.32+0.64+0.89+2+3+12.53</f>
        <v>25.79</v>
      </c>
      <c r="AC50" s="9">
        <v>0.28000000000000003</v>
      </c>
      <c r="AD50" s="10">
        <f t="shared" si="9"/>
        <v>1.0971786833855799</v>
      </c>
    </row>
    <row r="51" spans="2:30" x14ac:dyDescent="0.25">
      <c r="B51" s="9">
        <v>2</v>
      </c>
      <c r="C51" s="9">
        <v>2.67</v>
      </c>
      <c r="D51" s="9">
        <v>9.25</v>
      </c>
      <c r="E51" s="9">
        <v>0.46</v>
      </c>
      <c r="F51" s="10">
        <f t="shared" si="5"/>
        <v>0.74906367041198507</v>
      </c>
      <c r="H51" s="9">
        <v>1</v>
      </c>
      <c r="I51" s="9">
        <v>2.37</v>
      </c>
      <c r="J51" s="9">
        <v>10.67</v>
      </c>
      <c r="K51" s="9">
        <v>0.33</v>
      </c>
      <c r="L51" s="10">
        <f t="shared" si="6"/>
        <v>0.42194092827004215</v>
      </c>
      <c r="N51" s="9">
        <v>1</v>
      </c>
      <c r="O51" s="9">
        <v>1.25</v>
      </c>
      <c r="P51" s="9">
        <v>12.48</v>
      </c>
      <c r="Q51" s="9">
        <v>0.17</v>
      </c>
      <c r="R51" s="10">
        <f t="shared" si="7"/>
        <v>0.8</v>
      </c>
      <c r="T51" s="9">
        <v>3</v>
      </c>
      <c r="U51" s="10">
        <f>0.03+0.07+4.45+0.01+0.1+0.55</f>
        <v>5.2099999999999991</v>
      </c>
      <c r="V51" s="10">
        <f>0.94+0.92+12.34+0.34+0.46+1.92+6.73</f>
        <v>23.650000000000002</v>
      </c>
      <c r="W51" s="9">
        <v>0.43</v>
      </c>
      <c r="X51" s="10">
        <f t="shared" si="8"/>
        <v>0.57581573896353178</v>
      </c>
      <c r="Z51" s="9">
        <v>3</v>
      </c>
      <c r="AA51" s="10">
        <f>0.01+0.03+0.35+0.01+0.03+0.06+0.09+0.01+2.17</f>
        <v>2.76</v>
      </c>
      <c r="AB51" s="10">
        <f>0.77+0.7+3.03+0.56+0.71+1.9+1.53+0.43+12.48</f>
        <v>22.11</v>
      </c>
      <c r="AC51" s="9">
        <v>0.26</v>
      </c>
      <c r="AD51" s="10">
        <f t="shared" si="9"/>
        <v>1.0869565217391306</v>
      </c>
    </row>
    <row r="52" spans="2:30" x14ac:dyDescent="0.25">
      <c r="B52" s="9">
        <v>1.5</v>
      </c>
      <c r="C52" s="9">
        <v>2.2000000000000002</v>
      </c>
      <c r="D52" s="9">
        <v>8.86</v>
      </c>
      <c r="E52" s="9">
        <v>0.41</v>
      </c>
      <c r="F52" s="10">
        <f t="shared" si="5"/>
        <v>0.68181818181818177</v>
      </c>
      <c r="H52" s="9">
        <v>0.5</v>
      </c>
      <c r="I52" s="9">
        <v>1.5</v>
      </c>
      <c r="J52" s="9">
        <v>10.42</v>
      </c>
      <c r="K52" s="9">
        <v>0.25</v>
      </c>
      <c r="L52" s="10">
        <f t="shared" si="6"/>
        <v>0.33333333333333331</v>
      </c>
      <c r="N52" s="9">
        <v>0.5</v>
      </c>
      <c r="O52" s="9">
        <v>0.7</v>
      </c>
      <c r="P52" s="9">
        <v>12.3</v>
      </c>
      <c r="Q52" s="9">
        <v>0.13</v>
      </c>
      <c r="R52" s="10">
        <f t="shared" si="7"/>
        <v>0.7142857142857143</v>
      </c>
      <c r="T52" s="9">
        <v>2.5</v>
      </c>
      <c r="U52" s="10">
        <f>0.01+0.04+4.04+0.04+0.06+0.28</f>
        <v>4.47</v>
      </c>
      <c r="V52" s="9">
        <f>0.54+0.78+12.28+1.04+1.37+4.79</f>
        <v>20.8</v>
      </c>
      <c r="W52" s="9">
        <v>0.4</v>
      </c>
      <c r="X52" s="10">
        <f t="shared" si="8"/>
        <v>0.5592841163310962</v>
      </c>
      <c r="Z52" s="9">
        <v>2.5</v>
      </c>
      <c r="AA52" s="10">
        <f>0.02+0.29+0.01+0.02+0.06+1.87</f>
        <v>2.27</v>
      </c>
      <c r="AB52" s="10">
        <f>0.59+2.79+0.52+1.12+1.26+12.48</f>
        <v>18.759999999999998</v>
      </c>
      <c r="AC52" s="9">
        <v>0.24</v>
      </c>
      <c r="AD52" s="10">
        <f t="shared" si="9"/>
        <v>1.1013215859030836</v>
      </c>
    </row>
    <row r="53" spans="2:30" x14ac:dyDescent="0.25">
      <c r="B53" s="9">
        <v>1</v>
      </c>
      <c r="C53" s="9">
        <v>1.64</v>
      </c>
      <c r="D53" s="9">
        <v>8.4</v>
      </c>
      <c r="E53" s="9">
        <v>0.34</v>
      </c>
      <c r="F53" s="10">
        <f t="shared" si="5"/>
        <v>0.6097560975609756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T53" s="9">
        <v>2</v>
      </c>
      <c r="U53" s="10">
        <f>0.01+3.57+0.01+0.01+0.02+0.01+0.01+0.04+0.02</f>
        <v>3.6999999999999988</v>
      </c>
      <c r="V53" s="10">
        <f>0.59+12.24+0.52+0.54+0.74+0.72+0.72+1.05+0.49</f>
        <v>17.61</v>
      </c>
      <c r="W53" s="9">
        <v>0.35</v>
      </c>
      <c r="X53" s="10">
        <f t="shared" si="8"/>
        <v>0.54054054054054068</v>
      </c>
      <c r="Z53" s="9">
        <v>2</v>
      </c>
      <c r="AA53" s="10">
        <f>0.01+0.24+0.03+1.62</f>
        <v>1.9000000000000001</v>
      </c>
      <c r="AB53" s="10">
        <f>0.43+2.47+0.91+12.41</f>
        <v>16.22</v>
      </c>
      <c r="AC53" s="9">
        <v>0.22</v>
      </c>
      <c r="AD53" s="10">
        <f t="shared" si="9"/>
        <v>1.0526315789473684</v>
      </c>
    </row>
    <row r="54" spans="2:30" x14ac:dyDescent="0.25">
      <c r="B54" s="9">
        <v>0.5</v>
      </c>
      <c r="C54" s="9">
        <v>0.93</v>
      </c>
      <c r="D54" s="9">
        <v>7.49</v>
      </c>
      <c r="E54" s="9">
        <v>0.25</v>
      </c>
      <c r="F54" s="10">
        <f t="shared" si="5"/>
        <v>0.5376344086021505</v>
      </c>
      <c r="T54" s="9">
        <v>1.5</v>
      </c>
      <c r="U54" s="9">
        <v>2.95</v>
      </c>
      <c r="V54" s="9">
        <v>12.07</v>
      </c>
      <c r="W54" s="9">
        <v>0.31</v>
      </c>
      <c r="X54" s="10">
        <f t="shared" si="8"/>
        <v>0.50847457627118642</v>
      </c>
      <c r="Z54" s="9">
        <v>1.5</v>
      </c>
      <c r="AA54" s="10">
        <f>0.18+0.02+1.32</f>
        <v>1.52</v>
      </c>
      <c r="AB54" s="10">
        <f>2.13+0.63+12.34</f>
        <v>15.1</v>
      </c>
      <c r="AC54" s="9">
        <v>0.19</v>
      </c>
      <c r="AD54" s="10">
        <f t="shared" si="9"/>
        <v>0.98684210526315785</v>
      </c>
    </row>
    <row r="55" spans="2:30" x14ac:dyDescent="0.25">
      <c r="B55" s="9">
        <v>0</v>
      </c>
      <c r="C55" s="9">
        <v>0</v>
      </c>
      <c r="D55" s="9">
        <v>0</v>
      </c>
      <c r="E55" s="9">
        <v>0</v>
      </c>
      <c r="F55" s="9">
        <v>0</v>
      </c>
      <c r="T55" s="9">
        <v>1</v>
      </c>
      <c r="U55" s="9">
        <v>2.41</v>
      </c>
      <c r="V55" s="9">
        <v>11.95</v>
      </c>
      <c r="W55" s="9">
        <v>0.26</v>
      </c>
      <c r="X55" s="10">
        <f t="shared" si="8"/>
        <v>0.41493775933609955</v>
      </c>
      <c r="Z55" s="9">
        <v>1</v>
      </c>
      <c r="AA55" s="10">
        <f>0.13+0.47+0.31+0.21</f>
        <v>1.1199999999999999</v>
      </c>
      <c r="AB55" s="10">
        <f>1.77+6.09+3.12+2.59</f>
        <v>13.57</v>
      </c>
      <c r="AC55" s="9">
        <v>0.17</v>
      </c>
      <c r="AD55" s="10">
        <f t="shared" si="9"/>
        <v>0.8928571428571429</v>
      </c>
    </row>
    <row r="56" spans="2:30" x14ac:dyDescent="0.25">
      <c r="T56" s="9">
        <v>0.5</v>
      </c>
      <c r="U56" s="9">
        <v>1.71</v>
      </c>
      <c r="V56" s="9">
        <v>11.86</v>
      </c>
      <c r="W56" s="9">
        <v>0.2</v>
      </c>
      <c r="X56" s="10">
        <f t="shared" si="8"/>
        <v>0.29239766081871343</v>
      </c>
      <c r="Z56" s="9">
        <v>0.5</v>
      </c>
      <c r="AA56" s="10">
        <f>0.08+0.22+0.04+0.2+0.01+0.12</f>
        <v>0.67</v>
      </c>
      <c r="AB56" s="10">
        <f>1.4+3.64+1.21+2.92+0.55+1.44</f>
        <v>11.16</v>
      </c>
      <c r="AC56" s="9">
        <v>0.13</v>
      </c>
      <c r="AD56" s="10">
        <f t="shared" si="9"/>
        <v>0.74626865671641784</v>
      </c>
    </row>
    <row r="57" spans="2:30" x14ac:dyDescent="0.25">
      <c r="T57" s="9">
        <v>0</v>
      </c>
      <c r="U57" s="9">
        <v>0</v>
      </c>
      <c r="V57" s="9">
        <v>0</v>
      </c>
      <c r="W57" s="9">
        <v>0</v>
      </c>
      <c r="X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</row>
    <row r="58" spans="2:30" x14ac:dyDescent="0.25">
      <c r="B58" s="1" t="s">
        <v>0</v>
      </c>
      <c r="C58" s="2">
        <v>360</v>
      </c>
      <c r="D58" s="3"/>
      <c r="H58" s="1" t="s">
        <v>0</v>
      </c>
      <c r="I58" s="2">
        <v>360</v>
      </c>
      <c r="J58" s="3"/>
      <c r="N58" s="1" t="s">
        <v>0</v>
      </c>
      <c r="O58" s="2">
        <v>360</v>
      </c>
      <c r="P58" s="3"/>
    </row>
    <row r="59" spans="2:30" x14ac:dyDescent="0.25">
      <c r="B59" s="4" t="s">
        <v>1</v>
      </c>
      <c r="C59" s="2">
        <v>467.58</v>
      </c>
      <c r="D59" s="3"/>
      <c r="H59" s="4" t="s">
        <v>1</v>
      </c>
      <c r="I59" s="2">
        <v>492.07</v>
      </c>
      <c r="J59" s="3"/>
      <c r="N59" s="4" t="s">
        <v>1</v>
      </c>
      <c r="O59" s="2">
        <v>512.02</v>
      </c>
      <c r="P59" s="3"/>
    </row>
    <row r="60" spans="2:30" x14ac:dyDescent="0.25">
      <c r="B60" s="5"/>
      <c r="C60" s="6"/>
      <c r="D60" s="6"/>
      <c r="E60" s="6"/>
      <c r="F60" s="6"/>
      <c r="H60" s="5"/>
      <c r="I60" s="6"/>
      <c r="J60" s="6"/>
      <c r="K60" s="6"/>
      <c r="L60" s="6"/>
      <c r="N60" s="5"/>
      <c r="O60" s="6"/>
      <c r="P60" s="6"/>
      <c r="Q60" s="6"/>
      <c r="R60" s="6"/>
    </row>
    <row r="61" spans="2:30" x14ac:dyDescent="0.25">
      <c r="B61" s="7" t="s">
        <v>2</v>
      </c>
      <c r="C61" s="7" t="s">
        <v>3</v>
      </c>
      <c r="D61" s="7" t="s">
        <v>4</v>
      </c>
      <c r="E61" s="7" t="s">
        <v>5</v>
      </c>
      <c r="F61" s="7" t="s">
        <v>6</v>
      </c>
      <c r="H61" s="7" t="s">
        <v>2</v>
      </c>
      <c r="I61" s="7" t="s">
        <v>3</v>
      </c>
      <c r="J61" s="7" t="s">
        <v>4</v>
      </c>
      <c r="K61" s="7" t="s">
        <v>5</v>
      </c>
      <c r="L61" s="7" t="s">
        <v>6</v>
      </c>
      <c r="N61" s="7" t="s">
        <v>2</v>
      </c>
      <c r="O61" s="7" t="s">
        <v>3</v>
      </c>
      <c r="P61" s="7" t="s">
        <v>4</v>
      </c>
      <c r="Q61" s="7" t="s">
        <v>5</v>
      </c>
      <c r="R61" s="7" t="s">
        <v>6</v>
      </c>
    </row>
    <row r="62" spans="2:30" x14ac:dyDescent="0.25">
      <c r="B62" s="9">
        <v>2.5</v>
      </c>
      <c r="C62" s="10">
        <f>0.05+0.02+0.01+1.56+0.03+0.02+0.57+0.13+0.46+0.02+0.01+0.02+0.03+7.04+0.01+0.07+0.01</f>
        <v>10.059999999999999</v>
      </c>
      <c r="D62" s="10">
        <f>1.3+0.82+0.21+10.23+0.97+0.64+4.93+2.41+0.26+4.6+0.8+0.33+0.63+0.48+1.23+16.07+0.28+1.95+0.3</f>
        <v>48.440000000000005</v>
      </c>
      <c r="E62" s="9">
        <v>0.81</v>
      </c>
      <c r="F62" s="10">
        <f t="shared" ref="F62:F71" si="10">B62/C62</f>
        <v>0.24850894632206763</v>
      </c>
      <c r="H62" s="9">
        <v>4.5</v>
      </c>
      <c r="I62" s="10">
        <f>8.65+0.04+0.08+0.04+7.95+0.96+0.16+0.06+4.98</f>
        <v>22.919999999999998</v>
      </c>
      <c r="J62" s="10">
        <f>35.5+1.16+1.6+0.93+13.24+5.44+1.36+1.5+26.31</f>
        <v>87.039999999999992</v>
      </c>
      <c r="K62" s="9">
        <v>0.9</v>
      </c>
      <c r="L62" s="10">
        <f t="shared" ref="L62:L79" si="11">H62/I62</f>
        <v>0.19633507853403143</v>
      </c>
      <c r="N62" s="9">
        <v>4.5</v>
      </c>
      <c r="O62" s="10">
        <f>24.97+1.86+0.04+6.88+0.07+0.01+7.21+0.01+0.09</f>
        <v>41.14</v>
      </c>
      <c r="P62" s="10">
        <f>69.96+11.61+0.96+13.43+1.71+0.62+37.58+0.74+1.68</f>
        <v>138.29</v>
      </c>
      <c r="Q62" s="10">
        <v>0.73</v>
      </c>
      <c r="R62" s="10">
        <f>N62/O62</f>
        <v>0.10938259601361205</v>
      </c>
    </row>
    <row r="63" spans="2:30" x14ac:dyDescent="0.25">
      <c r="B63" s="9">
        <v>2.25</v>
      </c>
      <c r="C63" s="10">
        <f>0.03+0.01+1.39+0.01+0.01+0.48+0.1+0.4+0.01+0.01+0.01+6.71+0.14+0.04+0.01</f>
        <v>9.3599999999999977</v>
      </c>
      <c r="D63" s="10">
        <f>1.02+0.61+10.08+0.69+0.53+4.89+2.02+4.52+0.6+0.47+0.87+12.38+3.09+1.8+0.24</f>
        <v>43.809999999999995</v>
      </c>
      <c r="E63" s="9">
        <v>0.79</v>
      </c>
      <c r="F63" s="10">
        <f t="shared" si="10"/>
        <v>0.24038461538461545</v>
      </c>
      <c r="H63" s="9">
        <v>4.25</v>
      </c>
      <c r="I63" s="10">
        <f>6.46+1.85+0.03+0.06+0.04+7.87+0.91+0.15+0.05+4.72</f>
        <v>22.139999999999997</v>
      </c>
      <c r="J63" s="10">
        <f>24.89+10.38+0.99+1.46+0.84+13.3+5.38+1.26+1.32+26.24</f>
        <v>86.060000000000016</v>
      </c>
      <c r="K63" s="9">
        <v>0.89</v>
      </c>
      <c r="L63" s="10">
        <f t="shared" si="11"/>
        <v>0.19196025293586272</v>
      </c>
      <c r="N63" s="9">
        <v>4.25</v>
      </c>
      <c r="O63" s="10">
        <f>24.55+0.04+1.72+0.03+6.71+0.05+6.87+0.01+0.08</f>
        <v>40.059999999999988</v>
      </c>
      <c r="P63" s="10">
        <f>69.86+1.83+9.5+0.91+13.46+1.59+37.31+0.53+1.62</f>
        <v>136.61000000000001</v>
      </c>
      <c r="Q63" s="10">
        <v>0.72</v>
      </c>
      <c r="R63" s="10">
        <f t="shared" ref="R63:R79" si="12">N63/O63</f>
        <v>0.10609086370444337</v>
      </c>
    </row>
    <row r="64" spans="2:30" x14ac:dyDescent="0.25">
      <c r="B64" s="9">
        <v>2</v>
      </c>
      <c r="C64" s="10">
        <f>0.01+1.2+0.39+0.06+0.31+6.49+0.09+0.01+0.01</f>
        <v>8.57</v>
      </c>
      <c r="D64" s="10">
        <f>0.63+9.84+4.3+1.61+4.36+12.24+2.25+0.73+0.19</f>
        <v>36.149999999999991</v>
      </c>
      <c r="E64" s="9">
        <v>0.77</v>
      </c>
      <c r="F64" s="10">
        <f t="shared" si="10"/>
        <v>0.23337222870478413</v>
      </c>
      <c r="H64" s="9">
        <v>4</v>
      </c>
      <c r="I64" s="10">
        <f>6.3+1.74+0.02+0.05+0.03+7.66+0.86+0.14+0.04+4.5</f>
        <v>21.34</v>
      </c>
      <c r="J64" s="10">
        <f>24.97+10.17+0.82+1.33+0.74+13.24+5.31+1.24+1.1+26.24</f>
        <v>85.160000000000011</v>
      </c>
      <c r="K64" s="9">
        <v>0.88</v>
      </c>
      <c r="L64" s="10">
        <f t="shared" si="11"/>
        <v>0.18744142455482662</v>
      </c>
      <c r="N64" s="9">
        <v>4</v>
      </c>
      <c r="O64" s="10">
        <f>23.72+0.02+1.65+0.03+6.64+0.04+6.54+0.01+0.05</f>
        <v>38.699999999999989</v>
      </c>
      <c r="P64" s="10">
        <f>69.86+1.62+9.44+0.86+13.18+1.38+37.02+0.25+0.31+1.27</f>
        <v>135.19000000000003</v>
      </c>
      <c r="Q64" s="10">
        <v>0.71</v>
      </c>
      <c r="R64" s="10">
        <f t="shared" si="12"/>
        <v>0.10335917312661502</v>
      </c>
    </row>
    <row r="65" spans="2:18" x14ac:dyDescent="0.25">
      <c r="B65" s="9">
        <v>1.75</v>
      </c>
      <c r="C65" s="10">
        <f>0.69+0.26+0.02+0.29+0.03+0.19+0.02+6.16+0.04</f>
        <v>7.7</v>
      </c>
      <c r="D65" s="10">
        <f>4.69+3.41+0.66+4.15+1.14+3.12+0.94+11.98+1.39</f>
        <v>31.480000000000004</v>
      </c>
      <c r="E65" s="9">
        <v>0.74</v>
      </c>
      <c r="F65" s="10">
        <f t="shared" si="10"/>
        <v>0.22727272727272727</v>
      </c>
      <c r="H65" s="9">
        <v>3.75</v>
      </c>
      <c r="I65" s="10">
        <f>6+1.64+0.01+0.04+0.02+7.57+0.8+0.12+0.03+0.03+3.86+0.34</f>
        <v>20.46</v>
      </c>
      <c r="J65" s="10">
        <f>24.89+9.94+0.61+1.14+0.64+13.06+5.25+1.15+0.9+0.98+22.95+1.53</f>
        <v>83.039999999999992</v>
      </c>
      <c r="K65" s="9">
        <v>0.87</v>
      </c>
      <c r="L65" s="10">
        <f t="shared" si="11"/>
        <v>0.18328445747800587</v>
      </c>
      <c r="N65" s="9">
        <v>3.75</v>
      </c>
      <c r="O65" s="10">
        <f>23.01+0.01+1.47+0.04+0.02+6.45+0.03+6.12+0.04</f>
        <v>37.19</v>
      </c>
      <c r="P65" s="10">
        <f>69.78+1.42+7.65+0.84+0.73+13.36+1.04+36.66+1.21</f>
        <v>132.69000000000003</v>
      </c>
      <c r="Q65" s="10">
        <v>0.7</v>
      </c>
      <c r="R65" s="10">
        <f t="shared" si="12"/>
        <v>0.10083355740790535</v>
      </c>
    </row>
    <row r="66" spans="2:18" x14ac:dyDescent="0.25">
      <c r="B66" s="9">
        <v>1.5</v>
      </c>
      <c r="C66" s="10">
        <f>0.58+0.14+0.05+0.01+0.08+0.12+0.01+0.08+0.03+5.83+0.02</f>
        <v>6.9499999999999993</v>
      </c>
      <c r="D66" s="10">
        <f>4.31+1.52+1.13+0.44+2.02+1.41+0.66+1.61+1.19+11.95+0.98</f>
        <v>27.22</v>
      </c>
      <c r="E66" s="9">
        <v>0.72</v>
      </c>
      <c r="F66" s="10">
        <f t="shared" si="10"/>
        <v>0.21582733812949642</v>
      </c>
      <c r="H66" s="9">
        <v>3.5</v>
      </c>
      <c r="I66" s="10">
        <f>5.73+1.52+0.03+0.01+7.46+0.74+0.11+0.02+0.02+3.62+0.33</f>
        <v>19.589999999999996</v>
      </c>
      <c r="J66" s="10">
        <f>24.85+9.73+0.99+0.53+13.12+5.13+1.12+0.75+0.7+22.89+1.53</f>
        <v>81.34</v>
      </c>
      <c r="K66" s="9">
        <v>0.86</v>
      </c>
      <c r="L66" s="10">
        <f t="shared" si="11"/>
        <v>0.17866258295048498</v>
      </c>
      <c r="N66" s="9">
        <v>3.5</v>
      </c>
      <c r="O66" s="10">
        <f>22.3+1.33+0.06+0.03+0.01+6.41+0.02+0.76+4.99+0.03</f>
        <v>35.940000000000005</v>
      </c>
      <c r="P66" s="10">
        <f>69.4+5.8+1.46+0.74+0.68+12.71+0.84+6.51+29.86+1.16</f>
        <v>129.16</v>
      </c>
      <c r="Q66" s="10">
        <v>0.69</v>
      </c>
      <c r="R66" s="10">
        <f t="shared" si="12"/>
        <v>9.7384529771841949E-2</v>
      </c>
    </row>
    <row r="67" spans="2:18" x14ac:dyDescent="0.25">
      <c r="B67" s="9">
        <v>1.25</v>
      </c>
      <c r="C67" s="10">
        <f>0.47+0.1+0.03+0.01+0.02+0.08+0.04+0.01+5.58</f>
        <v>6.34</v>
      </c>
      <c r="D67" s="10">
        <f>3.94+1.04+0.77+0.8+0.61+1.19+1.21+0.63+11.71</f>
        <v>21.9</v>
      </c>
      <c r="E67" s="9">
        <v>0.69</v>
      </c>
      <c r="F67" s="10">
        <f t="shared" si="10"/>
        <v>0.19716088328075709</v>
      </c>
      <c r="H67" s="9">
        <v>3.25</v>
      </c>
      <c r="I67" s="10">
        <f>5.47+0.08+1.34+0.02+0.01+7.34+0.68+0.1+0.01+0.02+3.4+0.3</f>
        <v>18.769999999999996</v>
      </c>
      <c r="J67" s="10">
        <f>24.73+1.51+7.98+0.85+0.44+13+5.05+0.99+0.6+0.58+22.82+1.34</f>
        <v>79.89</v>
      </c>
      <c r="K67" s="9">
        <v>0.85</v>
      </c>
      <c r="L67" s="10">
        <f t="shared" si="11"/>
        <v>0.17314864144912098</v>
      </c>
      <c r="N67" s="9">
        <v>3.25</v>
      </c>
      <c r="O67" s="10">
        <f>20.83+0.58+1.28+0.04+0.03+6.22+0.01+0.69+4.64+0.02</f>
        <v>34.340000000000003</v>
      </c>
      <c r="P67" s="10">
        <f>63.61+5.56+5.93+1.4+0.69+12.67+0.6+6.39+29.58+0.96</f>
        <v>127.38999999999999</v>
      </c>
      <c r="Q67" s="10">
        <v>0.68</v>
      </c>
      <c r="R67" s="10">
        <f t="shared" si="12"/>
        <v>9.4641817122888744E-2</v>
      </c>
    </row>
    <row r="68" spans="2:18" x14ac:dyDescent="0.25">
      <c r="B68" s="9">
        <v>1</v>
      </c>
      <c r="C68" s="10">
        <f>0.1+0.22+0.04+0.07+0.02+0.05+0.01+5.23</f>
        <v>5.74</v>
      </c>
      <c r="D68" s="10">
        <f>1.03+1.65+0.94+0.77+0.41+0.26+0.92+0.9+11.64</f>
        <v>18.52</v>
      </c>
      <c r="E68" s="9">
        <v>0.66</v>
      </c>
      <c r="F68" s="10">
        <f t="shared" si="10"/>
        <v>0.17421602787456444</v>
      </c>
      <c r="H68" s="9">
        <v>3</v>
      </c>
      <c r="I68" s="10">
        <f>5.14+0.07+1.26+0.01+0.01+7.23+0.64+0.09+0.01+3.12+0.29</f>
        <v>17.869999999999997</v>
      </c>
      <c r="J68" s="10">
        <f>24.73+1.41+7.7+0.59+0.34+12.94+5.02+1+0.4+0.46+22.58+1.32</f>
        <v>78.489999999999995</v>
      </c>
      <c r="K68" s="10">
        <v>0.84</v>
      </c>
      <c r="L68" s="10">
        <f t="shared" si="11"/>
        <v>0.16787912702853947</v>
      </c>
      <c r="N68" s="9">
        <v>3</v>
      </c>
      <c r="O68" s="10">
        <f>20.11+0.12+0.39+1.24+0.03+0.02+6.07+0.62+4.31+0.01</f>
        <v>32.92</v>
      </c>
      <c r="P68" s="10">
        <f>63.38+1.68+3.54+5.78+1.24+0.59+12.57+6.14+29.34+0.61</f>
        <v>124.87</v>
      </c>
      <c r="Q68" s="10">
        <v>0.66</v>
      </c>
      <c r="R68" s="10">
        <f t="shared" si="12"/>
        <v>9.113001215066828E-2</v>
      </c>
    </row>
    <row r="69" spans="2:18" x14ac:dyDescent="0.25">
      <c r="B69" s="9">
        <v>0.75</v>
      </c>
      <c r="C69" s="10">
        <f>0.07+0.17+0.02+0.05+0.03+4.91</f>
        <v>5.25</v>
      </c>
      <c r="D69" s="10">
        <f>0.9+1.58+0.69+0.66+0.68+11.33</f>
        <v>15.84</v>
      </c>
      <c r="E69" s="9">
        <v>0.64</v>
      </c>
      <c r="F69" s="10">
        <f t="shared" si="10"/>
        <v>0.14285714285714285</v>
      </c>
      <c r="H69" s="9">
        <v>2.75</v>
      </c>
      <c r="I69" s="10">
        <f>4.82+0.05+1.02+0.12+6.94+0.56+0.07+0.01+1.74+1.06+0.28</f>
        <v>16.670000000000002</v>
      </c>
      <c r="J69" s="10">
        <f>24.63+1.34+5.61+1.76+12.65+4.88+0.9+0.21+0.33+0.29+15.23+7.11+1.36</f>
        <v>76.3</v>
      </c>
      <c r="K69" s="10">
        <v>0.82</v>
      </c>
      <c r="L69" s="10">
        <f t="shared" si="11"/>
        <v>0.16496700659868024</v>
      </c>
      <c r="N69" s="9">
        <v>2.75</v>
      </c>
      <c r="O69" s="10">
        <f>19.28+0.1+0.36+1.14+0.47+5.9+0.54+3.92</f>
        <v>31.71</v>
      </c>
      <c r="P69" s="10">
        <f>63.53+1.42+3.17+5.68+0.46+0.35+12.52+5.93+28.92</f>
        <v>121.98</v>
      </c>
      <c r="Q69" s="10">
        <v>0.65</v>
      </c>
      <c r="R69" s="10">
        <f t="shared" si="12"/>
        <v>8.6723431094292022E-2</v>
      </c>
    </row>
    <row r="70" spans="2:18" x14ac:dyDescent="0.25">
      <c r="B70" s="9">
        <v>0.5</v>
      </c>
      <c r="C70" s="10">
        <f>0.04+0.12+0.03+0.01+4.51</f>
        <v>4.71</v>
      </c>
      <c r="D70" s="10">
        <f>0.82+1.42+0.53+0.41+11.17</f>
        <v>14.35</v>
      </c>
      <c r="E70" s="9">
        <v>0.6</v>
      </c>
      <c r="F70" s="10">
        <f t="shared" si="10"/>
        <v>0.10615711252653928</v>
      </c>
      <c r="H70" s="9">
        <v>2.5</v>
      </c>
      <c r="I70" s="10">
        <f>4.14+0.32+0.03+0.95+0.1+6.78+0.02+0.47+0.06+1.52+0.94+0.25</f>
        <v>15.58</v>
      </c>
      <c r="J70" s="10">
        <f>20.73+3.77+1.22+5.52+1.51+12.76+0.76+3.89+0.82+15.06+6.93+1.34</f>
        <v>74.31</v>
      </c>
      <c r="K70" s="10">
        <v>0.81</v>
      </c>
      <c r="L70" s="10">
        <f t="shared" si="11"/>
        <v>0.16046213093709885</v>
      </c>
      <c r="N70" s="9">
        <v>2.5</v>
      </c>
      <c r="O70" s="10">
        <f>18.37+0.08+0.03+0.27+1.07+0.01+5.67+0.01+0.45+2.78+0.7</f>
        <v>29.44</v>
      </c>
      <c r="P70" s="10">
        <f>63.53+1.12+1.07+1.81+5.48+0.16+0.21+0.3+11.53+0.45+0.18+5.69+20.66+7.71</f>
        <v>119.89999999999999</v>
      </c>
      <c r="Q70" s="10">
        <v>0.64</v>
      </c>
      <c r="R70" s="10">
        <f t="shared" si="12"/>
        <v>8.4918478260869568E-2</v>
      </c>
    </row>
    <row r="71" spans="2:18" x14ac:dyDescent="0.25">
      <c r="B71" s="9">
        <v>0.25</v>
      </c>
      <c r="C71" s="9">
        <f>0.01+0.07+0.01+4.07</f>
        <v>4.16</v>
      </c>
      <c r="D71" s="10">
        <f>0.45+1.15+0.34+10.89</f>
        <v>12.83</v>
      </c>
      <c r="E71" s="9">
        <v>0.56000000000000005</v>
      </c>
      <c r="F71" s="10">
        <f t="shared" si="10"/>
        <v>6.0096153846153841E-2</v>
      </c>
      <c r="H71" s="9">
        <v>2.25</v>
      </c>
      <c r="I71" s="10">
        <f>3.8+0.26+0.01+0.87+0.08+6.63+0.01+0.41+0.05+1.06+0.03+0.19+0.54+0.32+0.24</f>
        <v>14.499999999999998</v>
      </c>
      <c r="J71" s="10">
        <f>20.7+3.54+0.61+5.36+1.37+12.65+0.57+3.73+0.75+10.51+1.17+2.82+4.18+2.57+1.3</f>
        <v>71.829999999999984</v>
      </c>
      <c r="K71" s="10">
        <v>0.8</v>
      </c>
      <c r="L71" s="10">
        <f t="shared" si="11"/>
        <v>0.15517241379310348</v>
      </c>
      <c r="N71" s="9">
        <v>2.25</v>
      </c>
      <c r="O71" s="10">
        <f>17.49+0.06+0.01+0.25+0.99+5.43+0.36+2.46+0.58</f>
        <v>27.629999999999995</v>
      </c>
      <c r="P71" s="10">
        <f>63.45+0.89+0.82+1.74+5.22+11.52+5.39+20.59+7.58</f>
        <v>117.19999999999999</v>
      </c>
      <c r="Q71" s="10">
        <v>0.62</v>
      </c>
      <c r="R71" s="10">
        <f t="shared" si="12"/>
        <v>8.1433224755700334E-2</v>
      </c>
    </row>
    <row r="72" spans="2:18" x14ac:dyDescent="0.25">
      <c r="B72" s="9">
        <v>0</v>
      </c>
      <c r="C72" s="9">
        <v>0</v>
      </c>
      <c r="D72" s="9">
        <v>0</v>
      </c>
      <c r="E72" s="9">
        <v>0</v>
      </c>
      <c r="F72" s="9">
        <v>0</v>
      </c>
      <c r="H72" s="9">
        <v>2</v>
      </c>
      <c r="I72" s="10">
        <f>3.4+0.1+0.08+0.75+0.05+6.35+0.34+0.04+0.8+0.04+0.01+0.01+0.13+0.45+0.26+0.21</f>
        <v>13.02</v>
      </c>
      <c r="J72" s="10">
        <f>20.67+1.48+1.68+0.29+5.23+1.14+12.39+0.3+3.52+0.65+8.85+1.03+0.58+0.19+2.11+3.98+2.4+1.31</f>
        <v>67.800000000000011</v>
      </c>
      <c r="K72" s="10">
        <v>0.77</v>
      </c>
      <c r="L72" s="10">
        <f t="shared" si="11"/>
        <v>0.15360983102918588</v>
      </c>
      <c r="N72" s="9">
        <v>2</v>
      </c>
      <c r="O72" s="10">
        <f>16.08+0.05+0.21+0.86+5.26+0.25+1.22+0.5+0.29+0.11+0.32</f>
        <v>25.15</v>
      </c>
      <c r="P72" s="10">
        <f>63.36+0.79+1.69+6.02+11.62+4.77+11.7+5.86+2.66+2.24+4.79</f>
        <v>115.5</v>
      </c>
      <c r="Q72" s="10">
        <v>0.6</v>
      </c>
      <c r="R72" s="10">
        <f t="shared" si="12"/>
        <v>7.9522862823061632E-2</v>
      </c>
    </row>
    <row r="73" spans="2:18" x14ac:dyDescent="0.25">
      <c r="H73" s="9">
        <v>1.75</v>
      </c>
      <c r="I73" s="10">
        <f>1.76+0.91+0.23+0.07+0.05+0.63+0.03+6.02+0.25+0.02+0.25+0.31+0.03+0.02+0.1+0.36+0.2+0.18</f>
        <v>11.419999999999996</v>
      </c>
      <c r="J73" s="10">
        <f>9.51+8.64+2.27+1.21+1.44+5.07+0.89+12.29+3.27+0.51+3.16+3.97+1.03+0.77+1.1+3.79+2.21+1.27</f>
        <v>62.400000000000013</v>
      </c>
      <c r="K73" s="10">
        <v>0.75</v>
      </c>
      <c r="L73" s="10">
        <f t="shared" si="11"/>
        <v>0.15323992994746063</v>
      </c>
      <c r="N73" s="9">
        <v>1.75</v>
      </c>
      <c r="O73" s="10">
        <f>13.92+0.46+0.07+0.03+0.18+0.75+4.96+0.15+0.18+0.76+0.38+0.23+0.06+0.1+0.11</f>
        <v>22.34</v>
      </c>
      <c r="P73" s="10">
        <f>53.62+5.66+3.3+0.69+1.43+4.85+11.47+3.8+2.74+8.59+5.42+2.45+1.89+1.5+2.95</f>
        <v>110.36</v>
      </c>
      <c r="Q73" s="10">
        <v>0.57999999999999996</v>
      </c>
      <c r="R73" s="10">
        <f t="shared" si="12"/>
        <v>7.8334825425246196E-2</v>
      </c>
    </row>
    <row r="74" spans="2:18" x14ac:dyDescent="0.25">
      <c r="H74" s="9">
        <v>1.5</v>
      </c>
      <c r="I74" s="10">
        <f>1.53+0.7+0.17+0.05+0.02+0.51+0.01+5.72+0.18+0.02+0.18+0.22+0.01+0.08+0.26+0.16+0.15</f>
        <v>9.9699999999999989</v>
      </c>
      <c r="J74" s="10">
        <f>9.5+8.4+1.95+0.92+0.87+4.81+0.62+12.2+3+0.37+0.18+0.21+0.49+2.85+3.63+0.57+0.98+3.54+1.93+1.23</f>
        <v>58.249999999999993</v>
      </c>
      <c r="K74" s="10">
        <v>0.72</v>
      </c>
      <c r="L74" s="10">
        <f t="shared" si="11"/>
        <v>0.15045135406218657</v>
      </c>
      <c r="N74" s="9">
        <v>1.5</v>
      </c>
      <c r="O74" s="10">
        <f>12.73+0.01+0.03+0.03+0.25+0.01+0.01+0.14+0.63+4.71+0.02+0.05+0.11+0.44+0.12+0.03+0.23+0.17+0.01+0.01+0.07+0.04</f>
        <v>19.850000000000009</v>
      </c>
      <c r="P74" s="10">
        <f>52.07+1.18+1.24+0.75+3.08+0.56+0.58+1.29+4.6+11.31+0.8+1.76+1.16+5.45+2.73+0.77+3.34+2.27+0.67+0.7+1.37+1.04</f>
        <v>98.720000000000013</v>
      </c>
      <c r="Q74" s="10">
        <v>0.56000000000000005</v>
      </c>
      <c r="R74" s="10">
        <f t="shared" si="12"/>
        <v>7.5566750629722887E-2</v>
      </c>
    </row>
    <row r="75" spans="2:18" x14ac:dyDescent="0.25">
      <c r="H75" s="9">
        <v>1.25</v>
      </c>
      <c r="I75" s="10">
        <f>1.18+0.06+0.06+0.3+0.11+0.01+0.12+0.02+0.35+0.03+5.35+0.11+0.1+0.02+0.04+0.06+0.05+0.17+0.11+0.12</f>
        <v>8.3699999999999974</v>
      </c>
      <c r="J75" s="10">
        <f>8.19+1.05+1.5+3.75+1.27+0.84+1.65+0.68+3.73+0.85+11.95+1.91+2.5+0.82+0.84+1.41+0.82+2.81+1.62+1.19</f>
        <v>49.379999999999995</v>
      </c>
      <c r="K75" s="10">
        <v>0.7</v>
      </c>
      <c r="L75" s="10">
        <f t="shared" si="11"/>
        <v>0.14934289127837519</v>
      </c>
      <c r="N75" s="9">
        <v>1.25</v>
      </c>
      <c r="O75" s="10">
        <f>9.49+0.14+1.56+0.17+0.11+0.53+4.39+0.01+0.08+0.29+0.03+0.02+0.01+0.11+0.04+0.11+0.03+0.01+0.01</f>
        <v>17.140000000000004</v>
      </c>
      <c r="P75" s="10">
        <f>39.57+1.66+10.51+2.64+1.24+3.15+11.48+0.8+1.06+5.23+0.79+0.62+0.5+1.63+0.99+2.12+1.23+0.63+0.44+0.23+0.39+0.15</f>
        <v>87.060000000000016</v>
      </c>
      <c r="Q75" s="10">
        <v>0.52</v>
      </c>
      <c r="R75" s="10">
        <f t="shared" si="12"/>
        <v>7.2928821470245028E-2</v>
      </c>
    </row>
    <row r="76" spans="2:18" x14ac:dyDescent="0.25">
      <c r="H76" s="9">
        <v>1</v>
      </c>
      <c r="I76" s="10">
        <f>0.11+0.84+0.03+0.02+0.19+0.07+0.07+0.01+0.07+0.17+0.01+5.03+0.06+0.01+0.02+0.02+0.01+0.01+0.03+0.03+0.07+0.06+0.08</f>
        <v>7.0199999999999987</v>
      </c>
      <c r="J76" s="10">
        <f>0.67+7.41+0.8+0.98+2.74+0.98+1.32+0.42+0.31+0.98+2.54+0.58+12.05+1.63+0.68+1.24+0.62+0.38+0.33+0.68+0.68+0.56+1.1+1.35+1.14</f>
        <v>42.170000000000009</v>
      </c>
      <c r="K76" s="10">
        <v>0.67</v>
      </c>
      <c r="L76" s="10">
        <f t="shared" si="11"/>
        <v>0.14245014245014248</v>
      </c>
      <c r="N76" s="9">
        <v>1</v>
      </c>
      <c r="O76" s="10">
        <f>8.3+0.1+0.06+1.12+0.05+0.07+0.03+0.08+0.43+4.02+0.05+0.03+0.02+0.01+0.07+0.02+0.06+0.01+0.04+0.01</f>
        <v>14.58</v>
      </c>
      <c r="P76" s="10">
        <f>39.4+1.37+0.83+8.07+1.09+1.37+0.78+1.08+2.81+10.98+0.87+1.3+0.65+0.39+0.23+1.74+0.49+0.26+0.23+1.09+0.35+0.31+0.18+0.16+1.07+0.56</f>
        <v>77.660000000000011</v>
      </c>
      <c r="Q76" s="10">
        <v>0.49</v>
      </c>
      <c r="R76" s="10">
        <f t="shared" si="12"/>
        <v>6.8587105624142664E-2</v>
      </c>
    </row>
    <row r="77" spans="2:18" x14ac:dyDescent="0.25">
      <c r="H77" s="9">
        <v>0.75</v>
      </c>
      <c r="I77" s="10">
        <f>0.1+0.09+0.52+0.01+0.04+0.07+0.05+0.04+0.04+0.01+0.09+4.63+0.02+0.01+0.02+0.04+0.03+0.05</f>
        <v>5.8599999999999994</v>
      </c>
      <c r="J77" s="10">
        <f>0.67+1.56+5.64+0.5+0.76+1.38+0.79+0.98+0.75+0.71+1.12+11.94+0.64+0.41+0.34+0.9+0.8+1.11</f>
        <v>30.999999999999996</v>
      </c>
      <c r="K77" s="10">
        <v>0.63</v>
      </c>
      <c r="L77" s="10">
        <f t="shared" si="11"/>
        <v>0.12798634812286691</v>
      </c>
      <c r="N77" s="9">
        <v>0.75</v>
      </c>
      <c r="O77" s="10">
        <f>7.05+0.06+0.04+0.88+0.02+0.04+0.05+0.34+3.71+0.03+0.01+0.01+0.03+0.02+0.01</f>
        <v>12.299999999999995</v>
      </c>
      <c r="P77" s="10">
        <f>39.3+1.14+0.68+7.84+0.83+0.86+0.82+2.74+10.86+0.68+0.34+0.44+0.83+0.82+0.44+0.21+0.14+0.36+0.14+0.08</f>
        <v>69.549999999999983</v>
      </c>
      <c r="Q77" s="10">
        <v>0.46</v>
      </c>
      <c r="R77" s="10">
        <f t="shared" si="12"/>
        <v>6.097560975609758E-2</v>
      </c>
    </row>
    <row r="78" spans="2:18" x14ac:dyDescent="0.25">
      <c r="H78" s="9">
        <v>0.5</v>
      </c>
      <c r="I78" s="10">
        <f>0.07+0.04+0.18+0.02+0.03+0.02+0.01+0.02+0.05+4.26+0.02+0.01</f>
        <v>4.7299999999999995</v>
      </c>
      <c r="J78" s="10">
        <f>0.52+1.36+2.88+0.48+0.19+0.97+0.58+0.56+0.54+0.87+11.55+0.26+0.42+0.12+0.86+0.35</f>
        <v>22.510000000000005</v>
      </c>
      <c r="K78" s="10">
        <v>0.6</v>
      </c>
      <c r="L78" s="10">
        <f t="shared" si="11"/>
        <v>0.10570824524312897</v>
      </c>
      <c r="N78" s="9">
        <v>0.5</v>
      </c>
      <c r="O78" s="10">
        <f>4.58+0.25+0.49+0.27+0.08+0.02+0.02+0.61+0.01+0.02+0.25+3.3+0.02</f>
        <v>9.9199999999999982</v>
      </c>
      <c r="P78" s="10">
        <f>24.66+2.82+5.79+4.14+1.49+0.9+0.49+7.47+0.51+0.55+2.56+10.93+0.28+0.44+0.26</f>
        <v>63.29</v>
      </c>
      <c r="Q78" s="10">
        <v>0.42</v>
      </c>
      <c r="R78" s="10">
        <f t="shared" si="12"/>
        <v>5.0403225806451624E-2</v>
      </c>
    </row>
    <row r="79" spans="2:18" x14ac:dyDescent="0.25">
      <c r="H79" s="9">
        <v>0.25</v>
      </c>
      <c r="I79" s="10">
        <f>0.05+0.09+0.07+0.03+3.78+0.02</f>
        <v>4.0399999999999991</v>
      </c>
      <c r="J79" s="10">
        <f>0.46+1.38+2.5+0.6+11+0.36+0.2+0.2+0.09+0.26</f>
        <v>17.05</v>
      </c>
      <c r="K79" s="10">
        <v>0.56000000000000005</v>
      </c>
      <c r="L79" s="10">
        <f t="shared" si="11"/>
        <v>6.1881188118811895E-2</v>
      </c>
      <c r="N79" s="9">
        <v>0.25</v>
      </c>
      <c r="O79" s="10">
        <f>2.36+1.19+0.14+0.15+0.06+0.04+0.03+0.12+0.03+0.27+0.03+0.14+2.85</f>
        <v>7.41</v>
      </c>
      <c r="P79" s="10">
        <f>15.23+8.74+2.57+1.92+1.12+0.81+0.45+0.24+2.81+0.82+5.84+1.77+2.33+10.68</f>
        <v>55.33</v>
      </c>
      <c r="Q79" s="10">
        <v>0.38</v>
      </c>
      <c r="R79" s="10">
        <f t="shared" si="12"/>
        <v>3.3738191632928474E-2</v>
      </c>
    </row>
    <row r="80" spans="2:18" x14ac:dyDescent="0.25">
      <c r="H80" s="9">
        <v>0</v>
      </c>
      <c r="I80" s="9">
        <v>0</v>
      </c>
      <c r="J80" s="9">
        <v>0</v>
      </c>
      <c r="K80" s="9">
        <v>0</v>
      </c>
      <c r="L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>
      <selection activeCell="O29" sqref="O29"/>
    </sheetView>
  </sheetViews>
  <sheetFormatPr defaultColWidth="14.44140625" defaultRowHeight="15.75" customHeight="1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>
      <selection activeCell="O31" sqref="O31"/>
    </sheetView>
  </sheetViews>
  <sheetFormatPr defaultColWidth="14.44140625" defaultRowHeight="15.75" customHeight="1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>
      <selection activeCell="X2" sqref="X2"/>
    </sheetView>
  </sheetViews>
  <sheetFormatPr defaultColWidth="14.44140625" defaultRowHeight="15.75" customHeight="1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tabSelected="1" topLeftCell="D19" workbookViewId="0">
      <selection activeCell="O31" sqref="O31"/>
    </sheetView>
  </sheetViews>
  <sheetFormatPr defaultColWidth="14.44140625" defaultRowHeight="15.75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Collected Data Site 360</vt:lpstr>
      <vt:lpstr>Discharge vs Depth</vt:lpstr>
      <vt:lpstr>Discharge vs Width</vt:lpstr>
      <vt:lpstr>Discharge vs Area</vt:lpstr>
      <vt:lpstr>Discharge vs 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Fahmidah Ashraf</dc:creator>
  <cp:lastModifiedBy>Ruma</cp:lastModifiedBy>
  <dcterms:created xsi:type="dcterms:W3CDTF">2021-07-17T00:21:29Z</dcterms:created>
  <dcterms:modified xsi:type="dcterms:W3CDTF">2021-07-17T00:21:29Z</dcterms:modified>
</cp:coreProperties>
</file>