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Collected Data Site 364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jwBRWmqF1iA7mweh7kkepiYIMgRg=="/>
    </ext>
  </extLst>
</workbook>
</file>

<file path=xl/calcChain.xml><?xml version="1.0" encoding="utf-8"?>
<calcChain xmlns="http://schemas.openxmlformats.org/spreadsheetml/2006/main">
  <c r="F73" i="1" l="1"/>
  <c r="R72" i="1"/>
  <c r="P72" i="1"/>
  <c r="O72" i="1"/>
  <c r="L72" i="1"/>
  <c r="J72" i="1"/>
  <c r="I72" i="1"/>
  <c r="F72" i="1"/>
  <c r="D72" i="1"/>
  <c r="C72" i="1"/>
  <c r="R71" i="1"/>
  <c r="P71" i="1"/>
  <c r="O71" i="1"/>
  <c r="L71" i="1"/>
  <c r="J71" i="1"/>
  <c r="I71" i="1"/>
  <c r="F71" i="1"/>
  <c r="P70" i="1"/>
  <c r="O70" i="1"/>
  <c r="R70" i="1" s="1"/>
  <c r="J70" i="1"/>
  <c r="I70" i="1"/>
  <c r="L70" i="1" s="1"/>
  <c r="F70" i="1"/>
  <c r="R69" i="1"/>
  <c r="P69" i="1"/>
  <c r="O69" i="1"/>
  <c r="L69" i="1"/>
  <c r="J69" i="1"/>
  <c r="I69" i="1"/>
  <c r="F69" i="1"/>
  <c r="P68" i="1"/>
  <c r="O68" i="1"/>
  <c r="R68" i="1" s="1"/>
  <c r="J68" i="1"/>
  <c r="I68" i="1"/>
  <c r="L68" i="1" s="1"/>
  <c r="F68" i="1"/>
  <c r="R67" i="1"/>
  <c r="P67" i="1"/>
  <c r="O67" i="1"/>
  <c r="L67" i="1"/>
  <c r="J67" i="1"/>
  <c r="I67" i="1"/>
  <c r="F67" i="1"/>
  <c r="P66" i="1"/>
  <c r="O66" i="1"/>
  <c r="R66" i="1" s="1"/>
  <c r="J66" i="1"/>
  <c r="I66" i="1"/>
  <c r="L66" i="1" s="1"/>
  <c r="F66" i="1"/>
  <c r="R65" i="1"/>
  <c r="P65" i="1"/>
  <c r="O65" i="1"/>
  <c r="L65" i="1"/>
  <c r="J65" i="1"/>
  <c r="I65" i="1"/>
  <c r="F65" i="1"/>
  <c r="P64" i="1"/>
  <c r="O64" i="1"/>
  <c r="R64" i="1" s="1"/>
  <c r="J64" i="1"/>
  <c r="I64" i="1"/>
  <c r="L64" i="1" s="1"/>
  <c r="F64" i="1"/>
  <c r="R63" i="1"/>
  <c r="P63" i="1"/>
  <c r="O63" i="1"/>
  <c r="L63" i="1"/>
  <c r="J63" i="1"/>
  <c r="I63" i="1"/>
  <c r="F63" i="1"/>
  <c r="P62" i="1"/>
  <c r="O62" i="1"/>
  <c r="R62" i="1" s="1"/>
  <c r="J62" i="1"/>
  <c r="I62" i="1"/>
  <c r="L62" i="1" s="1"/>
  <c r="F62" i="1"/>
  <c r="R61" i="1"/>
  <c r="P61" i="1"/>
  <c r="O61" i="1"/>
  <c r="L61" i="1"/>
  <c r="J61" i="1"/>
  <c r="I61" i="1"/>
  <c r="F61" i="1"/>
  <c r="P60" i="1"/>
  <c r="O60" i="1"/>
  <c r="R60" i="1" s="1"/>
  <c r="J60" i="1"/>
  <c r="I60" i="1"/>
  <c r="L60" i="1" s="1"/>
  <c r="F60" i="1"/>
  <c r="R59" i="1"/>
  <c r="P59" i="1"/>
  <c r="O59" i="1"/>
  <c r="L59" i="1"/>
  <c r="J59" i="1"/>
  <c r="I59" i="1"/>
  <c r="F59" i="1"/>
  <c r="P58" i="1"/>
  <c r="O58" i="1"/>
  <c r="R58" i="1" s="1"/>
  <c r="J58" i="1"/>
  <c r="I58" i="1"/>
  <c r="L58" i="1" s="1"/>
  <c r="F58" i="1"/>
  <c r="R57" i="1"/>
  <c r="P57" i="1"/>
  <c r="O57" i="1"/>
  <c r="L57" i="1"/>
  <c r="J57" i="1"/>
  <c r="I57" i="1"/>
  <c r="F57" i="1"/>
  <c r="P56" i="1"/>
  <c r="O56" i="1"/>
  <c r="R56" i="1" s="1"/>
  <c r="J56" i="1"/>
  <c r="I56" i="1"/>
  <c r="L56" i="1" s="1"/>
  <c r="F56" i="1"/>
  <c r="R55" i="1"/>
  <c r="P55" i="1"/>
  <c r="O55" i="1"/>
  <c r="L55" i="1"/>
  <c r="J55" i="1"/>
  <c r="I55" i="1"/>
  <c r="F55" i="1"/>
  <c r="P54" i="1"/>
  <c r="O54" i="1"/>
  <c r="R54" i="1" s="1"/>
  <c r="J54" i="1"/>
  <c r="I54" i="1"/>
  <c r="L54" i="1" s="1"/>
  <c r="F54" i="1"/>
  <c r="R53" i="1"/>
  <c r="P53" i="1"/>
  <c r="O53" i="1"/>
  <c r="L53" i="1"/>
  <c r="J53" i="1"/>
  <c r="I53" i="1"/>
  <c r="F53" i="1"/>
  <c r="P52" i="1"/>
  <c r="O52" i="1"/>
  <c r="R52" i="1" s="1"/>
  <c r="J52" i="1"/>
  <c r="I52" i="1"/>
  <c r="L52" i="1" s="1"/>
  <c r="F52" i="1"/>
  <c r="R51" i="1"/>
  <c r="P51" i="1"/>
  <c r="O51" i="1"/>
  <c r="L51" i="1"/>
  <c r="J51" i="1"/>
  <c r="I51" i="1"/>
  <c r="F51" i="1"/>
  <c r="P50" i="1"/>
  <c r="O50" i="1"/>
  <c r="R50" i="1" s="1"/>
  <c r="J50" i="1"/>
  <c r="I50" i="1"/>
  <c r="L50" i="1" s="1"/>
  <c r="F50" i="1"/>
  <c r="R49" i="1"/>
  <c r="J49" i="1"/>
  <c r="I49" i="1"/>
  <c r="L49" i="1" s="1"/>
  <c r="F49" i="1"/>
  <c r="R42" i="1"/>
  <c r="R41" i="1"/>
  <c r="R40" i="1"/>
  <c r="P40" i="1"/>
  <c r="O40" i="1"/>
  <c r="R39" i="1"/>
  <c r="P39" i="1"/>
  <c r="O39" i="1"/>
  <c r="R38" i="1"/>
  <c r="P38" i="1"/>
  <c r="O38" i="1"/>
  <c r="L38" i="1"/>
  <c r="J38" i="1"/>
  <c r="I38" i="1"/>
  <c r="F38" i="1"/>
  <c r="P37" i="1"/>
  <c r="O37" i="1"/>
  <c r="R37" i="1" s="1"/>
  <c r="J37" i="1"/>
  <c r="I37" i="1"/>
  <c r="L37" i="1" s="1"/>
  <c r="D37" i="1"/>
  <c r="C37" i="1"/>
  <c r="F37" i="1" s="1"/>
  <c r="P36" i="1"/>
  <c r="O36" i="1"/>
  <c r="R36" i="1" s="1"/>
  <c r="J36" i="1"/>
  <c r="I36" i="1"/>
  <c r="L36" i="1" s="1"/>
  <c r="D36" i="1"/>
  <c r="C36" i="1"/>
  <c r="F36" i="1" s="1"/>
  <c r="P35" i="1"/>
  <c r="O35" i="1"/>
  <c r="R35" i="1" s="1"/>
  <c r="J35" i="1"/>
  <c r="I35" i="1"/>
  <c r="L35" i="1" s="1"/>
  <c r="D35" i="1"/>
  <c r="C35" i="1"/>
  <c r="F35" i="1" s="1"/>
  <c r="P34" i="1"/>
  <c r="O34" i="1"/>
  <c r="R34" i="1" s="1"/>
  <c r="J34" i="1"/>
  <c r="I34" i="1"/>
  <c r="L34" i="1" s="1"/>
  <c r="D34" i="1"/>
  <c r="C34" i="1"/>
  <c r="F34" i="1" s="1"/>
  <c r="P33" i="1"/>
  <c r="O33" i="1"/>
  <c r="R33" i="1" s="1"/>
  <c r="J33" i="1"/>
  <c r="I33" i="1"/>
  <c r="L33" i="1" s="1"/>
  <c r="D33" i="1"/>
  <c r="C33" i="1"/>
  <c r="F33" i="1" s="1"/>
  <c r="P32" i="1"/>
  <c r="O32" i="1"/>
  <c r="R32" i="1" s="1"/>
  <c r="J32" i="1"/>
  <c r="I32" i="1"/>
  <c r="L32" i="1" s="1"/>
  <c r="D32" i="1"/>
  <c r="C32" i="1"/>
  <c r="F32" i="1" s="1"/>
  <c r="P31" i="1"/>
  <c r="O31" i="1"/>
  <c r="R31" i="1" s="1"/>
  <c r="J31" i="1"/>
  <c r="I31" i="1"/>
  <c r="L31" i="1" s="1"/>
  <c r="D31" i="1"/>
  <c r="C31" i="1"/>
  <c r="F31" i="1" s="1"/>
  <c r="P30" i="1"/>
  <c r="O30" i="1"/>
  <c r="R30" i="1" s="1"/>
  <c r="J30" i="1"/>
  <c r="I30" i="1"/>
  <c r="L30" i="1" s="1"/>
  <c r="D30" i="1"/>
  <c r="C30" i="1"/>
  <c r="F30" i="1" s="1"/>
  <c r="P29" i="1"/>
  <c r="O29" i="1"/>
  <c r="R29" i="1" s="1"/>
  <c r="J29" i="1"/>
  <c r="I29" i="1"/>
  <c r="L29" i="1" s="1"/>
  <c r="D29" i="1"/>
  <c r="C29" i="1"/>
  <c r="F29" i="1" s="1"/>
  <c r="P28" i="1"/>
  <c r="O28" i="1"/>
  <c r="R28" i="1" s="1"/>
  <c r="J28" i="1"/>
  <c r="I28" i="1"/>
  <c r="L28" i="1" s="1"/>
  <c r="D28" i="1"/>
  <c r="C28" i="1"/>
  <c r="F28" i="1" s="1"/>
  <c r="P27" i="1"/>
  <c r="O27" i="1"/>
  <c r="R27" i="1" s="1"/>
  <c r="J27" i="1"/>
  <c r="I27" i="1"/>
  <c r="L27" i="1" s="1"/>
  <c r="D27" i="1"/>
  <c r="C27" i="1"/>
  <c r="F27" i="1" s="1"/>
  <c r="P26" i="1"/>
  <c r="O26" i="1"/>
  <c r="R26" i="1" s="1"/>
  <c r="J26" i="1"/>
  <c r="I26" i="1"/>
  <c r="L26" i="1" s="1"/>
  <c r="D26" i="1"/>
  <c r="C26" i="1"/>
  <c r="F26" i="1" s="1"/>
  <c r="P25" i="1"/>
  <c r="O25" i="1"/>
  <c r="R25" i="1" s="1"/>
  <c r="J25" i="1"/>
  <c r="I25" i="1"/>
  <c r="L25" i="1" s="1"/>
  <c r="D25" i="1"/>
  <c r="C25" i="1"/>
  <c r="F25" i="1" s="1"/>
  <c r="P24" i="1"/>
  <c r="O24" i="1"/>
  <c r="R24" i="1" s="1"/>
  <c r="J24" i="1"/>
  <c r="I24" i="1"/>
  <c r="L24" i="1" s="1"/>
  <c r="D24" i="1"/>
  <c r="C24" i="1"/>
  <c r="F24" i="1" s="1"/>
  <c r="P23" i="1"/>
  <c r="O23" i="1"/>
  <c r="R23" i="1" s="1"/>
  <c r="J23" i="1"/>
  <c r="I23" i="1"/>
  <c r="L23" i="1" s="1"/>
  <c r="D23" i="1"/>
  <c r="C23" i="1"/>
  <c r="F23" i="1" s="1"/>
  <c r="R16" i="1"/>
  <c r="L16" i="1"/>
  <c r="P15" i="1"/>
  <c r="O15" i="1"/>
  <c r="R15" i="1" s="1"/>
  <c r="L15" i="1"/>
  <c r="F15" i="1"/>
  <c r="P14" i="1"/>
  <c r="O14" i="1"/>
  <c r="R14" i="1" s="1"/>
  <c r="L14" i="1"/>
  <c r="F14" i="1"/>
  <c r="P13" i="1"/>
  <c r="O13" i="1"/>
  <c r="R13" i="1" s="1"/>
  <c r="J13" i="1"/>
  <c r="I13" i="1"/>
  <c r="L13" i="1" s="1"/>
  <c r="F13" i="1"/>
  <c r="D13" i="1"/>
  <c r="P12" i="1"/>
  <c r="O12" i="1"/>
  <c r="R12" i="1" s="1"/>
  <c r="J12" i="1"/>
  <c r="I12" i="1"/>
  <c r="L12" i="1" s="1"/>
  <c r="D12" i="1"/>
  <c r="C12" i="1"/>
  <c r="F12" i="1" s="1"/>
  <c r="P11" i="1"/>
  <c r="O11" i="1"/>
  <c r="R11" i="1" s="1"/>
  <c r="J11" i="1"/>
  <c r="I11" i="1"/>
  <c r="L11" i="1" s="1"/>
  <c r="D11" i="1"/>
  <c r="C11" i="1"/>
  <c r="F11" i="1" s="1"/>
  <c r="P10" i="1"/>
  <c r="O10" i="1"/>
  <c r="R10" i="1" s="1"/>
  <c r="J10" i="1"/>
  <c r="I10" i="1"/>
  <c r="L10" i="1" s="1"/>
  <c r="D10" i="1"/>
  <c r="C10" i="1"/>
  <c r="F10" i="1" s="1"/>
  <c r="P9" i="1"/>
  <c r="O9" i="1"/>
  <c r="R9" i="1" s="1"/>
  <c r="J9" i="1"/>
  <c r="I9" i="1"/>
  <c r="L9" i="1" s="1"/>
  <c r="D9" i="1"/>
  <c r="C9" i="1"/>
  <c r="F9" i="1" s="1"/>
  <c r="P8" i="1"/>
  <c r="O8" i="1"/>
  <c r="R8" i="1" s="1"/>
  <c r="J8" i="1"/>
  <c r="I8" i="1"/>
  <c r="L8" i="1" s="1"/>
  <c r="D8" i="1"/>
  <c r="C8" i="1"/>
  <c r="F8" i="1" s="1"/>
  <c r="P7" i="1"/>
  <c r="O7" i="1"/>
  <c r="R7" i="1" s="1"/>
  <c r="J7" i="1"/>
  <c r="I7" i="1"/>
  <c r="L7" i="1" s="1"/>
  <c r="D7" i="1"/>
  <c r="C7" i="1"/>
  <c r="F7" i="1" s="1"/>
  <c r="P6" i="1"/>
  <c r="O6" i="1"/>
  <c r="R6" i="1" s="1"/>
  <c r="J6" i="1"/>
  <c r="I6" i="1"/>
  <c r="L6" i="1" s="1"/>
  <c r="D6" i="1"/>
  <c r="C6" i="1"/>
  <c r="F6" i="1" s="1"/>
</calcChain>
</file>

<file path=xl/sharedStrings.xml><?xml version="1.0" encoding="utf-8"?>
<sst xmlns="http://schemas.openxmlformats.org/spreadsheetml/2006/main" count="64" uniqueCount="8">
  <si>
    <t>Site</t>
  </si>
  <si>
    <t>Cross Section</t>
  </si>
  <si>
    <t>Stream Discharge (m^3/s)</t>
  </si>
  <si>
    <t>Area (m^2)</t>
  </si>
  <si>
    <t>Width (m)</t>
  </si>
  <si>
    <t>Depth (m)</t>
  </si>
  <si>
    <t>Velocity (m/s)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</si>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</sst>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2" xfId="0" applyFont="1" applyBorder="1"/>
    <xf numFmtId="0" fontId="3" fillId="0" borderId="0" xfId="0" applyFont="1"/>
    <xf numFmtId="0" fontId="4" fillId="0" borderId="0" xfId="0" applyFont="1"/>
    <xf numFmtId="0" fontId="1" fillId="0" borderId="3" xfId="0" applyFont="1" applyBorder="1"/>
    <xf numFmtId="0" fontId="1" fillId="0" borderId="4" xfId="0" applyFont="1" applyBorder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(11.28)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10358132803493"/>
                  <c:y val="-0.13233558833314849"/>
                </c:manualLayout>
              </c:layout>
              <c:numFmt formatCode="General" sourceLinked="0"/>
            </c:trendlineLbl>
          </c:trendline>
          <c:xVal>
            <c:numRef>
              <c:f>'Collected Data Site 364'!$B$6:$B$15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'Collected Data Site 364'!$E$6:$E$15</c:f>
              <c:numCache>
                <c:formatCode>General</c:formatCode>
                <c:ptCount val="10"/>
                <c:pt idx="0">
                  <c:v>1.05</c:v>
                </c:pt>
                <c:pt idx="1">
                  <c:v>1</c:v>
                </c:pt>
                <c:pt idx="2">
                  <c:v>0.96</c:v>
                </c:pt>
                <c:pt idx="3">
                  <c:v>0.91</c:v>
                </c:pt>
                <c:pt idx="4">
                  <c:v>0.81</c:v>
                </c:pt>
                <c:pt idx="5">
                  <c:v>0.7</c:v>
                </c:pt>
                <c:pt idx="6">
                  <c:v>0.62</c:v>
                </c:pt>
                <c:pt idx="7">
                  <c:v>0.53</c:v>
                </c:pt>
                <c:pt idx="8">
                  <c:v>0.42</c:v>
                </c:pt>
                <c:pt idx="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1-452F-8B6F-2F1E3556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66306"/>
        <c:axId val="1311901973"/>
      </c:scatterChart>
      <c:valAx>
        <c:axId val="58666630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1901973"/>
        <c:crosses val="autoZero"/>
        <c:crossBetween val="midCat"/>
      </c:valAx>
      <c:valAx>
        <c:axId val="131190197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6663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(11.28)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2427778494901253"/>
                  <c:y val="-6.3146843486669426E-3"/>
                </c:manualLayout>
              </c:layout>
              <c:numFmt formatCode="General" sourceLinked="0"/>
            </c:trendlineLbl>
          </c:trendline>
          <c:xVal>
            <c:numRef>
              <c:f>'Collected Data Site 364'!$B$6:$B$15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'Collected Data Site 364'!$D$6:$D$15</c:f>
              <c:numCache>
                <c:formatCode>General</c:formatCode>
                <c:ptCount val="10"/>
                <c:pt idx="0">
                  <c:v>34.000000000000007</c:v>
                </c:pt>
                <c:pt idx="1">
                  <c:v>30.459999999999997</c:v>
                </c:pt>
                <c:pt idx="2">
                  <c:v>28.27</c:v>
                </c:pt>
                <c:pt idx="3">
                  <c:v>24.41</c:v>
                </c:pt>
                <c:pt idx="4">
                  <c:v>17.95</c:v>
                </c:pt>
                <c:pt idx="5">
                  <c:v>13.69</c:v>
                </c:pt>
                <c:pt idx="6">
                  <c:v>13.15</c:v>
                </c:pt>
                <c:pt idx="7">
                  <c:v>11.34</c:v>
                </c:pt>
                <c:pt idx="8">
                  <c:v>10.57</c:v>
                </c:pt>
                <c:pt idx="9">
                  <c:v>10.14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68-4EE5-A0D4-552F44AB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84145"/>
        <c:axId val="85079089"/>
      </c:scatterChart>
      <c:valAx>
        <c:axId val="162198414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079089"/>
        <c:crosses val="autoZero"/>
        <c:crossBetween val="midCat"/>
      </c:valAx>
      <c:valAx>
        <c:axId val="8507908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19841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(43.22)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8413825321015201"/>
                  <c:y val="1.3614035087719299E-2"/>
                </c:manualLayout>
              </c:layout>
              <c:numFmt formatCode="General" sourceLinked="0"/>
            </c:trendlineLbl>
          </c:trendline>
          <c:xVal>
            <c:numRef>
              <c:f>'Collected Data Site 364'!$H$6:$H$16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'Collected Data Site 364'!$J$6:$J$16</c:f>
              <c:numCache>
                <c:formatCode>General</c:formatCode>
                <c:ptCount val="11"/>
                <c:pt idx="0">
                  <c:v>65.20999999999998</c:v>
                </c:pt>
                <c:pt idx="1">
                  <c:v>59.18</c:v>
                </c:pt>
                <c:pt idx="2">
                  <c:v>55.42</c:v>
                </c:pt>
                <c:pt idx="3">
                  <c:v>52.56</c:v>
                </c:pt>
                <c:pt idx="4">
                  <c:v>47.92</c:v>
                </c:pt>
                <c:pt idx="5">
                  <c:v>42.99</c:v>
                </c:pt>
                <c:pt idx="6">
                  <c:v>22.97</c:v>
                </c:pt>
                <c:pt idx="7">
                  <c:v>15.44</c:v>
                </c:pt>
                <c:pt idx="8">
                  <c:v>14.09</c:v>
                </c:pt>
                <c:pt idx="9">
                  <c:v>13.79</c:v>
                </c:pt>
                <c:pt idx="10">
                  <c:v>13.04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2-41FB-8342-E02B6DEE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73820"/>
        <c:axId val="2015247345"/>
      </c:scatterChart>
      <c:valAx>
        <c:axId val="1256373820"/>
        <c:scaling>
          <c:logBase val="10"/>
          <c:orientation val="minMax"/>
          <c:max val="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5247345"/>
        <c:crosses val="autoZero"/>
        <c:crossBetween val="midCat"/>
      </c:valAx>
      <c:valAx>
        <c:axId val="201524734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63738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(88.32)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9101304959830843"/>
                  <c:y val="-7.9794815121793983E-2"/>
                </c:manualLayout>
              </c:layout>
              <c:numFmt formatCode="General" sourceLinked="0"/>
            </c:trendlineLbl>
          </c:trendline>
          <c:xVal>
            <c:numRef>
              <c:f>'Collected Data Site 364'!$N$6:$N$16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'Collected Data Site 364'!$P$6:$P$16</c:f>
              <c:numCache>
                <c:formatCode>General</c:formatCode>
                <c:ptCount val="11"/>
                <c:pt idx="0">
                  <c:v>113.52</c:v>
                </c:pt>
                <c:pt idx="1">
                  <c:v>107.55000000000001</c:v>
                </c:pt>
                <c:pt idx="2">
                  <c:v>105.08000000000001</c:v>
                </c:pt>
                <c:pt idx="3">
                  <c:v>101.69</c:v>
                </c:pt>
                <c:pt idx="4">
                  <c:v>97.07</c:v>
                </c:pt>
                <c:pt idx="5">
                  <c:v>86.95</c:v>
                </c:pt>
                <c:pt idx="6">
                  <c:v>75.19</c:v>
                </c:pt>
                <c:pt idx="7">
                  <c:v>52.519999999999996</c:v>
                </c:pt>
                <c:pt idx="8">
                  <c:v>29.060000000000002</c:v>
                </c:pt>
                <c:pt idx="9">
                  <c:v>12.07</c:v>
                </c:pt>
                <c:pt idx="10">
                  <c:v>10.96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D-4703-AD03-61AD3CC2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15368"/>
        <c:axId val="1629042197"/>
      </c:scatterChart>
      <c:valAx>
        <c:axId val="1637915368"/>
        <c:scaling>
          <c:logBase val="10"/>
          <c:orientation val="minMax"/>
          <c:max val="1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9042197"/>
        <c:crosses val="autoZero"/>
        <c:crossBetween val="midCat"/>
      </c:valAx>
      <c:valAx>
        <c:axId val="162904219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91536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(146.24)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735682629835205"/>
                  <c:y val="-9.2319196942487455E-2"/>
                </c:manualLayout>
              </c:layout>
              <c:numFmt formatCode="General" sourceLinked="0"/>
            </c:trendlineLbl>
          </c:trendline>
          <c:xVal>
            <c:numRef>
              <c:f>'Collected Data Site 364'!$B$23:$B$38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364'!$D$23:$D$38</c:f>
              <c:numCache>
                <c:formatCode>General</c:formatCode>
                <c:ptCount val="16"/>
                <c:pt idx="0">
                  <c:v>99.830000000000013</c:v>
                </c:pt>
                <c:pt idx="1">
                  <c:v>97.890000000000015</c:v>
                </c:pt>
                <c:pt idx="2">
                  <c:v>95.04</c:v>
                </c:pt>
                <c:pt idx="3">
                  <c:v>92.699999999999989</c:v>
                </c:pt>
                <c:pt idx="4">
                  <c:v>91.59</c:v>
                </c:pt>
                <c:pt idx="5">
                  <c:v>89.460000000000008</c:v>
                </c:pt>
                <c:pt idx="6">
                  <c:v>85.92</c:v>
                </c:pt>
                <c:pt idx="7">
                  <c:v>83.84</c:v>
                </c:pt>
                <c:pt idx="8">
                  <c:v>81.819999999999993</c:v>
                </c:pt>
                <c:pt idx="9">
                  <c:v>74.039999999999992</c:v>
                </c:pt>
                <c:pt idx="10">
                  <c:v>58.849999999999994</c:v>
                </c:pt>
                <c:pt idx="11">
                  <c:v>44.85</c:v>
                </c:pt>
                <c:pt idx="12">
                  <c:v>27.62</c:v>
                </c:pt>
                <c:pt idx="13">
                  <c:v>20.330000000000002</c:v>
                </c:pt>
                <c:pt idx="14">
                  <c:v>12.559999999999999</c:v>
                </c:pt>
                <c:pt idx="15">
                  <c:v>10.84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8-4DCB-A7F5-4743F6B9F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38496"/>
        <c:axId val="1556534653"/>
      </c:scatterChart>
      <c:valAx>
        <c:axId val="127543849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6534653"/>
        <c:crosses val="autoZero"/>
        <c:crossBetween val="midCat"/>
      </c:valAx>
      <c:valAx>
        <c:axId val="155653465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54384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(189.66)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1.2755905511811024E-2"/>
                  <c:y val="0.31770760233918127"/>
                </c:manualLayout>
              </c:layout>
              <c:numFmt formatCode="General" sourceLinked="0"/>
            </c:trendlineLbl>
          </c:trendline>
          <c:xVal>
            <c:numRef>
              <c:f>'Collected Data Site 364'!$H$23:$H$38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364'!$J$23:$J$38</c:f>
              <c:numCache>
                <c:formatCode>General</c:formatCode>
                <c:ptCount val="16"/>
                <c:pt idx="0">
                  <c:v>88.030000000000015</c:v>
                </c:pt>
                <c:pt idx="1">
                  <c:v>82.609999999999985</c:v>
                </c:pt>
                <c:pt idx="2">
                  <c:v>75.369999999999976</c:v>
                </c:pt>
                <c:pt idx="3">
                  <c:v>68.260000000000005</c:v>
                </c:pt>
                <c:pt idx="4">
                  <c:v>64.059999999999988</c:v>
                </c:pt>
                <c:pt idx="5">
                  <c:v>60.54</c:v>
                </c:pt>
                <c:pt idx="6">
                  <c:v>58.69</c:v>
                </c:pt>
                <c:pt idx="7">
                  <c:v>55.8</c:v>
                </c:pt>
                <c:pt idx="8">
                  <c:v>53.349999999999994</c:v>
                </c:pt>
                <c:pt idx="9">
                  <c:v>51.35</c:v>
                </c:pt>
                <c:pt idx="10">
                  <c:v>48.68</c:v>
                </c:pt>
                <c:pt idx="11">
                  <c:v>46.870000000000005</c:v>
                </c:pt>
                <c:pt idx="12">
                  <c:v>45.91</c:v>
                </c:pt>
                <c:pt idx="13">
                  <c:v>38.53</c:v>
                </c:pt>
                <c:pt idx="14">
                  <c:v>24.439999999999998</c:v>
                </c:pt>
                <c:pt idx="15">
                  <c:v>12.28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1-497F-8461-94C610F4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950810"/>
        <c:axId val="1118227876"/>
      </c:scatterChart>
      <c:valAx>
        <c:axId val="175495081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8227876"/>
        <c:crosses val="autoZero"/>
        <c:crossBetween val="midCat"/>
      </c:valAx>
      <c:valAx>
        <c:axId val="111822787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49508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(225.06)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4805583728263473"/>
                  <c:y val="2.6516738039324032E-2"/>
                </c:manualLayout>
              </c:layout>
              <c:numFmt formatCode="General" sourceLinked="0"/>
            </c:trendlineLbl>
          </c:trendline>
          <c:xVal>
            <c:numRef>
              <c:f>'Collected Data Site 364'!$N$23:$N$42</c:f>
              <c:numCache>
                <c:formatCode>General</c:formatCode>
                <c:ptCount val="20"/>
                <c:pt idx="0">
                  <c:v>4</c:v>
                </c:pt>
                <c:pt idx="1">
                  <c:v>3.8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2.8</c:v>
                </c:pt>
                <c:pt idx="7">
                  <c:v>2.6</c:v>
                </c:pt>
                <c:pt idx="8">
                  <c:v>2.4</c:v>
                </c:pt>
                <c:pt idx="9">
                  <c:v>2.2000000000000002</c:v>
                </c:pt>
                <c:pt idx="10">
                  <c:v>2</c:v>
                </c:pt>
                <c:pt idx="11">
                  <c:v>1.8</c:v>
                </c:pt>
                <c:pt idx="12">
                  <c:v>1.6</c:v>
                </c:pt>
                <c:pt idx="13">
                  <c:v>1.4</c:v>
                </c:pt>
                <c:pt idx="14">
                  <c:v>1.2</c:v>
                </c:pt>
                <c:pt idx="15">
                  <c:v>1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0.2</c:v>
                </c:pt>
              </c:numCache>
            </c:numRef>
          </c:xVal>
          <c:yVal>
            <c:numRef>
              <c:f>'Collected Data Site 364'!$P$23:$P$42</c:f>
              <c:numCache>
                <c:formatCode>General</c:formatCode>
                <c:ptCount val="20"/>
                <c:pt idx="0">
                  <c:v>47.060000000000009</c:v>
                </c:pt>
                <c:pt idx="1">
                  <c:v>44.260000000000005</c:v>
                </c:pt>
                <c:pt idx="2">
                  <c:v>43.18</c:v>
                </c:pt>
                <c:pt idx="3">
                  <c:v>41.46</c:v>
                </c:pt>
                <c:pt idx="4">
                  <c:v>40.85</c:v>
                </c:pt>
                <c:pt idx="5">
                  <c:v>39.629999999999995</c:v>
                </c:pt>
                <c:pt idx="6">
                  <c:v>36.75</c:v>
                </c:pt>
                <c:pt idx="7">
                  <c:v>33.74</c:v>
                </c:pt>
                <c:pt idx="8">
                  <c:v>31.65</c:v>
                </c:pt>
                <c:pt idx="9">
                  <c:v>29.549999999999997</c:v>
                </c:pt>
                <c:pt idx="10">
                  <c:v>27.019999999999996</c:v>
                </c:pt>
                <c:pt idx="11">
                  <c:v>24.45</c:v>
                </c:pt>
                <c:pt idx="12">
                  <c:v>21.92</c:v>
                </c:pt>
                <c:pt idx="13">
                  <c:v>20.68</c:v>
                </c:pt>
                <c:pt idx="14">
                  <c:v>18.100000000000001</c:v>
                </c:pt>
                <c:pt idx="15">
                  <c:v>16.59</c:v>
                </c:pt>
                <c:pt idx="16">
                  <c:v>14.84</c:v>
                </c:pt>
                <c:pt idx="17">
                  <c:v>9.3899999999999988</c:v>
                </c:pt>
                <c:pt idx="18">
                  <c:v>8.0299999999999994</c:v>
                </c:pt>
                <c:pt idx="19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1-4BDB-B40B-A927A3AD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0975"/>
        <c:axId val="871110765"/>
      </c:scatterChart>
      <c:valAx>
        <c:axId val="21289097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1110765"/>
        <c:crosses val="autoZero"/>
        <c:crossBetween val="midCat"/>
      </c:valAx>
      <c:valAx>
        <c:axId val="87111076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8909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(306.7)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9.3876216292635553E-2"/>
                  <c:y val="0.30822157756596213"/>
                </c:manualLayout>
              </c:layout>
              <c:numFmt formatCode="General" sourceLinked="0"/>
            </c:trendlineLbl>
          </c:trendline>
          <c:xVal>
            <c:numRef>
              <c:f>'Collected Data Site 364'!$B$49:$B$73</c:f>
              <c:numCache>
                <c:formatCode>General</c:formatCode>
                <c:ptCount val="25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110</c:v>
                </c:pt>
                <c:pt idx="15">
                  <c:v>100</c:v>
                </c:pt>
                <c:pt idx="16">
                  <c:v>90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50</c:v>
                </c:pt>
                <c:pt idx="21">
                  <c:v>40</c:v>
                </c:pt>
                <c:pt idx="22">
                  <c:v>30</c:v>
                </c:pt>
                <c:pt idx="23">
                  <c:v>20</c:v>
                </c:pt>
                <c:pt idx="24">
                  <c:v>10</c:v>
                </c:pt>
              </c:numCache>
            </c:numRef>
          </c:xVal>
          <c:yVal>
            <c:numRef>
              <c:f>'Collected Data Site 364'!$D$49:$D$73</c:f>
              <c:numCache>
                <c:formatCode>General</c:formatCode>
                <c:ptCount val="25"/>
                <c:pt idx="0">
                  <c:v>49.47</c:v>
                </c:pt>
                <c:pt idx="1">
                  <c:v>47.66</c:v>
                </c:pt>
                <c:pt idx="2">
                  <c:v>47.11</c:v>
                </c:pt>
                <c:pt idx="3">
                  <c:v>46.46</c:v>
                </c:pt>
                <c:pt idx="4">
                  <c:v>46.13</c:v>
                </c:pt>
                <c:pt idx="5">
                  <c:v>45.64</c:v>
                </c:pt>
                <c:pt idx="6">
                  <c:v>45.34</c:v>
                </c:pt>
                <c:pt idx="7">
                  <c:v>44.82</c:v>
                </c:pt>
                <c:pt idx="8">
                  <c:v>44.48</c:v>
                </c:pt>
                <c:pt idx="9">
                  <c:v>44.06</c:v>
                </c:pt>
                <c:pt idx="10">
                  <c:v>43.69</c:v>
                </c:pt>
                <c:pt idx="11">
                  <c:v>43.16</c:v>
                </c:pt>
                <c:pt idx="12">
                  <c:v>42.75</c:v>
                </c:pt>
                <c:pt idx="13">
                  <c:v>42.16</c:v>
                </c:pt>
                <c:pt idx="14">
                  <c:v>41.85</c:v>
                </c:pt>
                <c:pt idx="15">
                  <c:v>41.45</c:v>
                </c:pt>
                <c:pt idx="16">
                  <c:v>41.12</c:v>
                </c:pt>
                <c:pt idx="17">
                  <c:v>40.78</c:v>
                </c:pt>
                <c:pt idx="18">
                  <c:v>40.35</c:v>
                </c:pt>
                <c:pt idx="19">
                  <c:v>39.99</c:v>
                </c:pt>
                <c:pt idx="20">
                  <c:v>39.590000000000003</c:v>
                </c:pt>
                <c:pt idx="21">
                  <c:v>39.07</c:v>
                </c:pt>
                <c:pt idx="22">
                  <c:v>38.43</c:v>
                </c:pt>
                <c:pt idx="23">
                  <c:v>32.78</c:v>
                </c:pt>
                <c:pt idx="24">
                  <c:v>21.91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0-4A97-9431-3C9578FD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55432"/>
        <c:axId val="507876423"/>
      </c:scatterChart>
      <c:valAx>
        <c:axId val="1988155432"/>
        <c:scaling>
          <c:logBase val="10"/>
          <c:orientation val="minMax"/>
          <c:max val="1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7876423"/>
        <c:crosses val="autoZero"/>
        <c:crossBetween val="midCat"/>
      </c:valAx>
      <c:valAx>
        <c:axId val="50787642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81554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(362.94)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1.5563628316952184E-2"/>
                  <c:y val="0.28495906432748536"/>
                </c:manualLayout>
              </c:layout>
              <c:numFmt formatCode="General" sourceLinked="0"/>
            </c:trendlineLbl>
          </c:trendline>
          <c:xVal>
            <c:numRef>
              <c:f>'Collected Data Site 364'!$H$49:$H$72</c:f>
              <c:numCache>
                <c:formatCode>General</c:formatCode>
                <c:ptCount val="24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5</c:v>
                </c:pt>
                <c:pt idx="5">
                  <c:v>4.75</c:v>
                </c:pt>
                <c:pt idx="6">
                  <c:v>4.5</c:v>
                </c:pt>
                <c:pt idx="7">
                  <c:v>4.25</c:v>
                </c:pt>
                <c:pt idx="8">
                  <c:v>4</c:v>
                </c:pt>
                <c:pt idx="9">
                  <c:v>3.75</c:v>
                </c:pt>
                <c:pt idx="10">
                  <c:v>3.5</c:v>
                </c:pt>
                <c:pt idx="11">
                  <c:v>3.25</c:v>
                </c:pt>
                <c:pt idx="12">
                  <c:v>3</c:v>
                </c:pt>
                <c:pt idx="13">
                  <c:v>2.75</c:v>
                </c:pt>
                <c:pt idx="14">
                  <c:v>2.5</c:v>
                </c:pt>
                <c:pt idx="15">
                  <c:v>2.25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</c:numCache>
            </c:numRef>
          </c:xVal>
          <c:yVal>
            <c:numRef>
              <c:f>'Collected Data Site 364'!$J$49:$J$72</c:f>
              <c:numCache>
                <c:formatCode>General</c:formatCode>
                <c:ptCount val="24"/>
                <c:pt idx="0">
                  <c:v>82.59</c:v>
                </c:pt>
                <c:pt idx="1">
                  <c:v>76.929999999999993</c:v>
                </c:pt>
                <c:pt idx="2">
                  <c:v>73.42</c:v>
                </c:pt>
                <c:pt idx="3">
                  <c:v>70.350000000000009</c:v>
                </c:pt>
                <c:pt idx="4">
                  <c:v>68.33</c:v>
                </c:pt>
                <c:pt idx="5">
                  <c:v>66.87</c:v>
                </c:pt>
                <c:pt idx="6">
                  <c:v>64.669999999999987</c:v>
                </c:pt>
                <c:pt idx="7">
                  <c:v>63.480000000000004</c:v>
                </c:pt>
                <c:pt idx="8">
                  <c:v>61.71</c:v>
                </c:pt>
                <c:pt idx="9">
                  <c:v>60.580000000000005</c:v>
                </c:pt>
                <c:pt idx="10">
                  <c:v>58.739999999999995</c:v>
                </c:pt>
                <c:pt idx="11">
                  <c:v>56.739999999999995</c:v>
                </c:pt>
                <c:pt idx="12">
                  <c:v>54.429999999999993</c:v>
                </c:pt>
                <c:pt idx="13">
                  <c:v>52.73</c:v>
                </c:pt>
                <c:pt idx="14">
                  <c:v>49.58</c:v>
                </c:pt>
                <c:pt idx="15">
                  <c:v>47.309999999999995</c:v>
                </c:pt>
                <c:pt idx="16">
                  <c:v>43.24</c:v>
                </c:pt>
                <c:pt idx="17">
                  <c:v>41.660000000000004</c:v>
                </c:pt>
                <c:pt idx="18">
                  <c:v>40.649999999999991</c:v>
                </c:pt>
                <c:pt idx="19">
                  <c:v>38.4</c:v>
                </c:pt>
                <c:pt idx="20">
                  <c:v>36.29</c:v>
                </c:pt>
                <c:pt idx="21">
                  <c:v>34.07</c:v>
                </c:pt>
                <c:pt idx="22">
                  <c:v>30.85</c:v>
                </c:pt>
                <c:pt idx="23">
                  <c:v>28.02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8-460A-A4DC-F4B5FFDE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89955"/>
        <c:axId val="1464400781"/>
      </c:scatterChart>
      <c:valAx>
        <c:axId val="102138995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4400781"/>
        <c:crosses val="autoZero"/>
        <c:crossBetween val="midCat"/>
      </c:valAx>
      <c:valAx>
        <c:axId val="146440078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13899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(422.86)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8.4259959308365148E-2"/>
                  <c:y val="0.13057309941520467"/>
                </c:manualLayout>
              </c:layout>
              <c:numFmt formatCode="General" sourceLinked="0"/>
            </c:trendlineLbl>
          </c:trendline>
          <c:xVal>
            <c:numRef>
              <c:f>'Collected Data Site 364'!$N$49:$N$72</c:f>
              <c:numCache>
                <c:formatCode>General</c:formatCode>
                <c:ptCount val="24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5</c:v>
                </c:pt>
                <c:pt idx="5">
                  <c:v>4.75</c:v>
                </c:pt>
                <c:pt idx="6">
                  <c:v>4.5</c:v>
                </c:pt>
                <c:pt idx="7">
                  <c:v>4.25</c:v>
                </c:pt>
                <c:pt idx="8">
                  <c:v>4</c:v>
                </c:pt>
                <c:pt idx="9">
                  <c:v>3.75</c:v>
                </c:pt>
                <c:pt idx="10">
                  <c:v>3.5</c:v>
                </c:pt>
                <c:pt idx="11">
                  <c:v>3.25</c:v>
                </c:pt>
                <c:pt idx="12">
                  <c:v>3</c:v>
                </c:pt>
                <c:pt idx="13">
                  <c:v>2.75</c:v>
                </c:pt>
                <c:pt idx="14">
                  <c:v>2.5</c:v>
                </c:pt>
                <c:pt idx="15">
                  <c:v>2.25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</c:numCache>
            </c:numRef>
          </c:xVal>
          <c:yVal>
            <c:numRef>
              <c:f>'Collected Data Site 364'!$P$49:$P$72</c:f>
              <c:numCache>
                <c:formatCode>General</c:formatCode>
                <c:ptCount val="24"/>
                <c:pt idx="0">
                  <c:v>85.69</c:v>
                </c:pt>
                <c:pt idx="1">
                  <c:v>85.51</c:v>
                </c:pt>
                <c:pt idx="2">
                  <c:v>84.72</c:v>
                </c:pt>
                <c:pt idx="3">
                  <c:v>83.679999999999993</c:v>
                </c:pt>
                <c:pt idx="4">
                  <c:v>82.65</c:v>
                </c:pt>
                <c:pt idx="5">
                  <c:v>81.93</c:v>
                </c:pt>
                <c:pt idx="6">
                  <c:v>80.62</c:v>
                </c:pt>
                <c:pt idx="7">
                  <c:v>79.819999999999993</c:v>
                </c:pt>
                <c:pt idx="8">
                  <c:v>79.240000000000009</c:v>
                </c:pt>
                <c:pt idx="9">
                  <c:v>78.47</c:v>
                </c:pt>
                <c:pt idx="10">
                  <c:v>77.12</c:v>
                </c:pt>
                <c:pt idx="11">
                  <c:v>74.89</c:v>
                </c:pt>
                <c:pt idx="12">
                  <c:v>72.490000000000009</c:v>
                </c:pt>
                <c:pt idx="13">
                  <c:v>69.87</c:v>
                </c:pt>
                <c:pt idx="14">
                  <c:v>66.830000000000013</c:v>
                </c:pt>
                <c:pt idx="15">
                  <c:v>63.88</c:v>
                </c:pt>
                <c:pt idx="16">
                  <c:v>60.89</c:v>
                </c:pt>
                <c:pt idx="17">
                  <c:v>57.040000000000006</c:v>
                </c:pt>
                <c:pt idx="18">
                  <c:v>52.11</c:v>
                </c:pt>
                <c:pt idx="19">
                  <c:v>46.559999999999995</c:v>
                </c:pt>
                <c:pt idx="20">
                  <c:v>42.21</c:v>
                </c:pt>
                <c:pt idx="21">
                  <c:v>41.18</c:v>
                </c:pt>
                <c:pt idx="22">
                  <c:v>37.86</c:v>
                </c:pt>
                <c:pt idx="23">
                  <c:v>31.950000000000003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D-4C29-9990-7AE9F70F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3240"/>
        <c:axId val="1201280821"/>
      </c:scatterChart>
      <c:valAx>
        <c:axId val="16028324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1280821"/>
        <c:crosses val="autoZero"/>
        <c:crossBetween val="midCat"/>
      </c:valAx>
      <c:valAx>
        <c:axId val="120128082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2832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(11.28)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933633295838022"/>
                  <c:y val="-5.3951466592991666E-2"/>
                </c:manualLayout>
              </c:layout>
              <c:numFmt formatCode="General" sourceLinked="0"/>
            </c:trendlineLbl>
          </c:trendline>
          <c:xVal>
            <c:numRef>
              <c:f>'Collected Data Site 364'!$B$6:$B$15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'Collected Data Site 364'!$C$6:$C$15</c:f>
              <c:numCache>
                <c:formatCode>General</c:formatCode>
                <c:ptCount val="10"/>
                <c:pt idx="0">
                  <c:v>14.889999999999999</c:v>
                </c:pt>
                <c:pt idx="1">
                  <c:v>13.28</c:v>
                </c:pt>
                <c:pt idx="2">
                  <c:v>12.000000000000002</c:v>
                </c:pt>
                <c:pt idx="3">
                  <c:v>10.530000000000001</c:v>
                </c:pt>
                <c:pt idx="4">
                  <c:v>8.5</c:v>
                </c:pt>
                <c:pt idx="5">
                  <c:v>6.79</c:v>
                </c:pt>
                <c:pt idx="6">
                  <c:v>5.83</c:v>
                </c:pt>
                <c:pt idx="7">
                  <c:v>4.59</c:v>
                </c:pt>
                <c:pt idx="8">
                  <c:v>3.52</c:v>
                </c:pt>
                <c:pt idx="9">
                  <c:v>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0-4AC8-9D27-9495A534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956605"/>
        <c:axId val="724993198"/>
      </c:scatterChart>
      <c:valAx>
        <c:axId val="185695660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4993198"/>
        <c:crosses val="autoZero"/>
        <c:crossBetween val="midCat"/>
      </c:valAx>
      <c:valAx>
        <c:axId val="7249931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69566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(43.22)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33612319439091"/>
                  <c:y val="-0.16047630888244233"/>
                </c:manualLayout>
              </c:layout>
              <c:numFmt formatCode="General" sourceLinked="0"/>
            </c:trendlineLbl>
          </c:trendline>
          <c:xVal>
            <c:numRef>
              <c:f>'Collected Data Site 364'!$H$6:$H$16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'Collected Data Site 364'!$K$6:$K$16</c:f>
              <c:numCache>
                <c:formatCode>General</c:formatCode>
                <c:ptCount val="11"/>
                <c:pt idx="0">
                  <c:v>1.21</c:v>
                </c:pt>
                <c:pt idx="1">
                  <c:v>1.1599999999999999</c:v>
                </c:pt>
                <c:pt idx="2">
                  <c:v>1.1100000000000001</c:v>
                </c:pt>
                <c:pt idx="3">
                  <c:v>1.06</c:v>
                </c:pt>
                <c:pt idx="4">
                  <c:v>1</c:v>
                </c:pt>
                <c:pt idx="5">
                  <c:v>0.92</c:v>
                </c:pt>
                <c:pt idx="6">
                  <c:v>0.81</c:v>
                </c:pt>
                <c:pt idx="7">
                  <c:v>0.73</c:v>
                </c:pt>
                <c:pt idx="8">
                  <c:v>0.63</c:v>
                </c:pt>
                <c:pt idx="9">
                  <c:v>0.52</c:v>
                </c:pt>
                <c:pt idx="1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1-4703-B8E9-1DB6C8CF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45920"/>
        <c:axId val="132496113"/>
      </c:scatterChart>
      <c:valAx>
        <c:axId val="652245920"/>
        <c:scaling>
          <c:logBase val="10"/>
          <c:orientation val="minMax"/>
          <c:max val="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96113"/>
        <c:crosses val="autoZero"/>
        <c:crossBetween val="midCat"/>
      </c:valAx>
      <c:valAx>
        <c:axId val="13249611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2459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(43.22)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358399872147128"/>
                  <c:y val="-8.8380531380945811E-3"/>
                </c:manualLayout>
              </c:layout>
              <c:numFmt formatCode="General" sourceLinked="0"/>
            </c:trendlineLbl>
          </c:trendline>
          <c:xVal>
            <c:numRef>
              <c:f>'Collected Data Site 364'!$H$6:$H$16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'Collected Data Site 364'!$I$6:$I$16</c:f>
              <c:numCache>
                <c:formatCode>General</c:formatCode>
                <c:ptCount val="11"/>
                <c:pt idx="0">
                  <c:v>28.58</c:v>
                </c:pt>
                <c:pt idx="1">
                  <c:v>25.570000000000004</c:v>
                </c:pt>
                <c:pt idx="2">
                  <c:v>22.93</c:v>
                </c:pt>
                <c:pt idx="3">
                  <c:v>20.48</c:v>
                </c:pt>
                <c:pt idx="4">
                  <c:v>17.55</c:v>
                </c:pt>
                <c:pt idx="5">
                  <c:v>13.74</c:v>
                </c:pt>
                <c:pt idx="6">
                  <c:v>10</c:v>
                </c:pt>
                <c:pt idx="7">
                  <c:v>8.3899999999999988</c:v>
                </c:pt>
                <c:pt idx="8">
                  <c:v>6.9</c:v>
                </c:pt>
                <c:pt idx="9">
                  <c:v>5.47</c:v>
                </c:pt>
                <c:pt idx="10">
                  <c:v>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D-4C68-BA54-5CCDE7E6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24674"/>
        <c:axId val="2036705650"/>
      </c:scatterChart>
      <c:valAx>
        <c:axId val="619624674"/>
        <c:scaling>
          <c:logBase val="10"/>
          <c:orientation val="minMax"/>
          <c:max val="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705650"/>
        <c:crosses val="autoZero"/>
        <c:crossBetween val="midCat"/>
      </c:valAx>
      <c:valAx>
        <c:axId val="203670565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96246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(88.32)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4052997473676444"/>
                  <c:y val="4.1684210526315789E-2"/>
                </c:manualLayout>
              </c:layout>
              <c:numFmt formatCode="General" sourceLinked="0"/>
            </c:trendlineLbl>
          </c:trendline>
          <c:xVal>
            <c:numRef>
              <c:f>'Collected Data Site 364'!$N$6:$N$16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'Collected Data Site 364'!$O$6:$O$16</c:f>
              <c:numCache>
                <c:formatCode>General</c:formatCode>
                <c:ptCount val="11"/>
                <c:pt idx="0">
                  <c:v>52.76</c:v>
                </c:pt>
                <c:pt idx="1">
                  <c:v>47.56</c:v>
                </c:pt>
                <c:pt idx="2">
                  <c:v>42.64</c:v>
                </c:pt>
                <c:pt idx="3">
                  <c:v>38.32</c:v>
                </c:pt>
                <c:pt idx="4">
                  <c:v>32.68</c:v>
                </c:pt>
                <c:pt idx="5">
                  <c:v>25.63</c:v>
                </c:pt>
                <c:pt idx="6">
                  <c:v>17.37</c:v>
                </c:pt>
                <c:pt idx="7">
                  <c:v>11.959999999999999</c:v>
                </c:pt>
                <c:pt idx="8">
                  <c:v>7.6400000000000006</c:v>
                </c:pt>
                <c:pt idx="9">
                  <c:v>5.47</c:v>
                </c:pt>
                <c:pt idx="1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3-414C-8346-D93E9904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99813"/>
        <c:axId val="554933614"/>
      </c:scatterChart>
      <c:valAx>
        <c:axId val="920299813"/>
        <c:scaling>
          <c:logBase val="10"/>
          <c:orientation val="minMax"/>
          <c:max val="1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4933614"/>
        <c:crosses val="autoZero"/>
        <c:crossBetween val="midCat"/>
      </c:valAx>
      <c:valAx>
        <c:axId val="55493361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029981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(146.24)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961287625932003"/>
                  <c:y val="5.4087028595109825E-2"/>
                </c:manualLayout>
              </c:layout>
              <c:numFmt formatCode="General" sourceLinked="0"/>
            </c:trendlineLbl>
          </c:trendline>
          <c:xVal>
            <c:numRef>
              <c:f>'Collected Data Site 364'!$B$23:$B$38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364'!$C$23:$C$38</c:f>
              <c:numCache>
                <c:formatCode>General</c:formatCode>
                <c:ptCount val="16"/>
                <c:pt idx="0">
                  <c:v>48.36</c:v>
                </c:pt>
                <c:pt idx="1">
                  <c:v>45.76</c:v>
                </c:pt>
                <c:pt idx="2">
                  <c:v>42.89</c:v>
                </c:pt>
                <c:pt idx="3">
                  <c:v>39.85</c:v>
                </c:pt>
                <c:pt idx="4">
                  <c:v>35.980000000000004</c:v>
                </c:pt>
                <c:pt idx="5">
                  <c:v>32.07</c:v>
                </c:pt>
                <c:pt idx="6">
                  <c:v>27.66</c:v>
                </c:pt>
                <c:pt idx="7">
                  <c:v>24.7</c:v>
                </c:pt>
                <c:pt idx="8">
                  <c:v>21.060000000000002</c:v>
                </c:pt>
                <c:pt idx="9">
                  <c:v>17.580000000000002</c:v>
                </c:pt>
                <c:pt idx="10">
                  <c:v>14.02</c:v>
                </c:pt>
                <c:pt idx="11">
                  <c:v>10.939999999999998</c:v>
                </c:pt>
                <c:pt idx="12">
                  <c:v>8.629999999999999</c:v>
                </c:pt>
                <c:pt idx="13">
                  <c:v>6.93</c:v>
                </c:pt>
                <c:pt idx="14">
                  <c:v>5.75</c:v>
                </c:pt>
                <c:pt idx="15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2-4B9D-9C9C-E9D51CC9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42181"/>
        <c:axId val="639965910"/>
      </c:scatterChart>
      <c:valAx>
        <c:axId val="175154218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9965910"/>
        <c:crosses val="autoZero"/>
        <c:crossBetween val="midCat"/>
      </c:valAx>
      <c:valAx>
        <c:axId val="63996591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15421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(189.66)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2708612358034687"/>
                  <c:y val="2.7809734309527098E-2"/>
                </c:manualLayout>
              </c:layout>
              <c:numFmt formatCode="General" sourceLinked="0"/>
            </c:trendlineLbl>
          </c:trendline>
          <c:xVal>
            <c:numRef>
              <c:f>'Collected Data Site 364'!$H$23:$H$38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364'!$I$23:$I$38</c:f>
              <c:numCache>
                <c:formatCode>General</c:formatCode>
                <c:ptCount val="16"/>
                <c:pt idx="0">
                  <c:v>40.729999999999997</c:v>
                </c:pt>
                <c:pt idx="1">
                  <c:v>38.440000000000012</c:v>
                </c:pt>
                <c:pt idx="2">
                  <c:v>36.32</c:v>
                </c:pt>
                <c:pt idx="3">
                  <c:v>33.89</c:v>
                </c:pt>
                <c:pt idx="4">
                  <c:v>31.08</c:v>
                </c:pt>
                <c:pt idx="5">
                  <c:v>28.51</c:v>
                </c:pt>
                <c:pt idx="6">
                  <c:v>25.729999999999997</c:v>
                </c:pt>
                <c:pt idx="7">
                  <c:v>23.5</c:v>
                </c:pt>
                <c:pt idx="8">
                  <c:v>21.23</c:v>
                </c:pt>
                <c:pt idx="9">
                  <c:v>18.82</c:v>
                </c:pt>
                <c:pt idx="10">
                  <c:v>16.39</c:v>
                </c:pt>
                <c:pt idx="11">
                  <c:v>13.59</c:v>
                </c:pt>
                <c:pt idx="12">
                  <c:v>10.600000000000001</c:v>
                </c:pt>
                <c:pt idx="13">
                  <c:v>7.6099999999999994</c:v>
                </c:pt>
                <c:pt idx="14">
                  <c:v>4.91</c:v>
                </c:pt>
                <c:pt idx="15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B-4C40-AEB6-A26EB0D5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19184"/>
        <c:axId val="338746434"/>
      </c:scatterChart>
      <c:valAx>
        <c:axId val="16731918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8746434"/>
        <c:crosses val="autoZero"/>
        <c:crossBetween val="midCat"/>
      </c:valAx>
      <c:valAx>
        <c:axId val="33874643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31918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(225.06)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742351878146378"/>
                  <c:y val="-5.8865589169774829E-2"/>
                </c:manualLayout>
              </c:layout>
              <c:numFmt formatCode="General" sourceLinked="0"/>
            </c:trendlineLbl>
          </c:trendline>
          <c:xVal>
            <c:numRef>
              <c:f>'Collected Data Site 364'!$N$23:$N$42</c:f>
              <c:numCache>
                <c:formatCode>General</c:formatCode>
                <c:ptCount val="20"/>
                <c:pt idx="0">
                  <c:v>4</c:v>
                </c:pt>
                <c:pt idx="1">
                  <c:v>3.8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2.8</c:v>
                </c:pt>
                <c:pt idx="7">
                  <c:v>2.6</c:v>
                </c:pt>
                <c:pt idx="8">
                  <c:v>2.4</c:v>
                </c:pt>
                <c:pt idx="9">
                  <c:v>2.2000000000000002</c:v>
                </c:pt>
                <c:pt idx="10">
                  <c:v>2</c:v>
                </c:pt>
                <c:pt idx="11">
                  <c:v>1.8</c:v>
                </c:pt>
                <c:pt idx="12">
                  <c:v>1.6</c:v>
                </c:pt>
                <c:pt idx="13">
                  <c:v>1.4</c:v>
                </c:pt>
                <c:pt idx="14">
                  <c:v>1.2</c:v>
                </c:pt>
                <c:pt idx="15">
                  <c:v>1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0.2</c:v>
                </c:pt>
              </c:numCache>
            </c:numRef>
          </c:xVal>
          <c:yVal>
            <c:numRef>
              <c:f>'Collected Data Site 364'!$O$23:$O$42</c:f>
              <c:numCache>
                <c:formatCode>General</c:formatCode>
                <c:ptCount val="20"/>
                <c:pt idx="0">
                  <c:v>15.429999999999998</c:v>
                </c:pt>
                <c:pt idx="1">
                  <c:v>14.62</c:v>
                </c:pt>
                <c:pt idx="2">
                  <c:v>13.84</c:v>
                </c:pt>
                <c:pt idx="3">
                  <c:v>12.879999999999999</c:v>
                </c:pt>
                <c:pt idx="4">
                  <c:v>12.05</c:v>
                </c:pt>
                <c:pt idx="5">
                  <c:v>11.290000000000001</c:v>
                </c:pt>
                <c:pt idx="6">
                  <c:v>10.54</c:v>
                </c:pt>
                <c:pt idx="7">
                  <c:v>9.64</c:v>
                </c:pt>
                <c:pt idx="8">
                  <c:v>8.89</c:v>
                </c:pt>
                <c:pt idx="9">
                  <c:v>8.0300000000000011</c:v>
                </c:pt>
                <c:pt idx="10">
                  <c:v>7.3</c:v>
                </c:pt>
                <c:pt idx="11">
                  <c:v>6.7200000000000006</c:v>
                </c:pt>
                <c:pt idx="12">
                  <c:v>6.0600000000000005</c:v>
                </c:pt>
                <c:pt idx="13">
                  <c:v>5.4600000000000009</c:v>
                </c:pt>
                <c:pt idx="14">
                  <c:v>4.82</c:v>
                </c:pt>
                <c:pt idx="15">
                  <c:v>4.2300000000000004</c:v>
                </c:pt>
                <c:pt idx="16">
                  <c:v>3.61</c:v>
                </c:pt>
                <c:pt idx="17">
                  <c:v>3.07</c:v>
                </c:pt>
                <c:pt idx="18">
                  <c:v>2.64</c:v>
                </c:pt>
                <c:pt idx="19">
                  <c:v>2.1800000000000002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59-46F6-B34A-B22197BF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87470"/>
        <c:axId val="2036080824"/>
      </c:scatterChart>
      <c:valAx>
        <c:axId val="184458747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80824"/>
        <c:crosses val="autoZero"/>
        <c:crossBetween val="midCat"/>
      </c:valAx>
      <c:valAx>
        <c:axId val="203608082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45874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(306.7)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8263413794587205E-2"/>
                  <c:y val="0.34109941520467835"/>
                </c:manualLayout>
              </c:layout>
              <c:numFmt formatCode="General" sourceLinked="0"/>
            </c:trendlineLbl>
          </c:trendline>
          <c:xVal>
            <c:numRef>
              <c:f>'Collected Data Site 364'!$B$49:$B$73</c:f>
              <c:numCache>
                <c:formatCode>General</c:formatCode>
                <c:ptCount val="25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110</c:v>
                </c:pt>
                <c:pt idx="15">
                  <c:v>100</c:v>
                </c:pt>
                <c:pt idx="16">
                  <c:v>90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50</c:v>
                </c:pt>
                <c:pt idx="21">
                  <c:v>40</c:v>
                </c:pt>
                <c:pt idx="22">
                  <c:v>30</c:v>
                </c:pt>
                <c:pt idx="23">
                  <c:v>20</c:v>
                </c:pt>
                <c:pt idx="24">
                  <c:v>10</c:v>
                </c:pt>
              </c:numCache>
            </c:numRef>
          </c:xVal>
          <c:yVal>
            <c:numRef>
              <c:f>'Collected Data Site 364'!$C$49:$C$73</c:f>
              <c:numCache>
                <c:formatCode>General</c:formatCode>
                <c:ptCount val="25"/>
                <c:pt idx="0">
                  <c:v>90.59</c:v>
                </c:pt>
                <c:pt idx="1">
                  <c:v>87.79</c:v>
                </c:pt>
                <c:pt idx="2">
                  <c:v>85.28</c:v>
                </c:pt>
                <c:pt idx="3">
                  <c:v>82.37</c:v>
                </c:pt>
                <c:pt idx="4">
                  <c:v>79.91</c:v>
                </c:pt>
                <c:pt idx="5">
                  <c:v>77.2</c:v>
                </c:pt>
                <c:pt idx="6">
                  <c:v>74.53</c:v>
                </c:pt>
                <c:pt idx="7">
                  <c:v>71.73</c:v>
                </c:pt>
                <c:pt idx="8">
                  <c:v>68.819999999999993</c:v>
                </c:pt>
                <c:pt idx="9">
                  <c:v>66.38</c:v>
                </c:pt>
                <c:pt idx="10">
                  <c:v>63.47</c:v>
                </c:pt>
                <c:pt idx="11">
                  <c:v>60.65</c:v>
                </c:pt>
                <c:pt idx="12">
                  <c:v>58.08</c:v>
                </c:pt>
                <c:pt idx="13">
                  <c:v>54.89</c:v>
                </c:pt>
                <c:pt idx="14">
                  <c:v>51.63</c:v>
                </c:pt>
                <c:pt idx="15">
                  <c:v>48.66</c:v>
                </c:pt>
                <c:pt idx="16">
                  <c:v>45.65</c:v>
                </c:pt>
                <c:pt idx="17">
                  <c:v>42.37</c:v>
                </c:pt>
                <c:pt idx="18">
                  <c:v>38.74</c:v>
                </c:pt>
                <c:pt idx="19">
                  <c:v>35.090000000000003</c:v>
                </c:pt>
                <c:pt idx="20">
                  <c:v>31.26</c:v>
                </c:pt>
                <c:pt idx="21">
                  <c:v>27.12</c:v>
                </c:pt>
                <c:pt idx="22">
                  <c:v>22.46</c:v>
                </c:pt>
                <c:pt idx="23">
                  <c:v>16.690000000000001</c:v>
                </c:pt>
                <c:pt idx="24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4-40C0-B2A2-BBE55399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27178"/>
        <c:axId val="1051296374"/>
      </c:scatterChart>
      <c:valAx>
        <c:axId val="1276727178"/>
        <c:scaling>
          <c:logBase val="10"/>
          <c:orientation val="minMax"/>
          <c:max val="1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1296374"/>
        <c:crosses val="autoZero"/>
        <c:crossBetween val="midCat"/>
      </c:valAx>
      <c:valAx>
        <c:axId val="105129637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7271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(362.94)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4.2024186229057819E-3"/>
                  <c:y val="0.28809614587650229"/>
                </c:manualLayout>
              </c:layout>
              <c:numFmt formatCode="General" sourceLinked="0"/>
            </c:trendlineLbl>
          </c:trendline>
          <c:xVal>
            <c:numRef>
              <c:f>'Collected Data Site 364'!$H$49:$H$72</c:f>
              <c:numCache>
                <c:formatCode>General</c:formatCode>
                <c:ptCount val="24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5</c:v>
                </c:pt>
                <c:pt idx="5">
                  <c:v>4.75</c:v>
                </c:pt>
                <c:pt idx="6">
                  <c:v>4.5</c:v>
                </c:pt>
                <c:pt idx="7">
                  <c:v>4.25</c:v>
                </c:pt>
                <c:pt idx="8">
                  <c:v>4</c:v>
                </c:pt>
                <c:pt idx="9">
                  <c:v>3.75</c:v>
                </c:pt>
                <c:pt idx="10">
                  <c:v>3.5</c:v>
                </c:pt>
                <c:pt idx="11">
                  <c:v>3.25</c:v>
                </c:pt>
                <c:pt idx="12">
                  <c:v>3</c:v>
                </c:pt>
                <c:pt idx="13">
                  <c:v>2.75</c:v>
                </c:pt>
                <c:pt idx="14">
                  <c:v>2.5</c:v>
                </c:pt>
                <c:pt idx="15">
                  <c:v>2.25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</c:numCache>
            </c:numRef>
          </c:xVal>
          <c:yVal>
            <c:numRef>
              <c:f>'Collected Data Site 364'!$I$49:$I$72</c:f>
              <c:numCache>
                <c:formatCode>General</c:formatCode>
                <c:ptCount val="24"/>
                <c:pt idx="0">
                  <c:v>39.460000000000008</c:v>
                </c:pt>
                <c:pt idx="1">
                  <c:v>37.96</c:v>
                </c:pt>
                <c:pt idx="2">
                  <c:v>36.609999999999992</c:v>
                </c:pt>
                <c:pt idx="3">
                  <c:v>35.72</c:v>
                </c:pt>
                <c:pt idx="4">
                  <c:v>34.22</c:v>
                </c:pt>
                <c:pt idx="5">
                  <c:v>33.440000000000005</c:v>
                </c:pt>
                <c:pt idx="6">
                  <c:v>32.480000000000004</c:v>
                </c:pt>
                <c:pt idx="7">
                  <c:v>31.53</c:v>
                </c:pt>
                <c:pt idx="8">
                  <c:v>30.460000000000004</c:v>
                </c:pt>
                <c:pt idx="9">
                  <c:v>29.689999999999998</c:v>
                </c:pt>
                <c:pt idx="10">
                  <c:v>28.930000000000003</c:v>
                </c:pt>
                <c:pt idx="11">
                  <c:v>27.95</c:v>
                </c:pt>
                <c:pt idx="12">
                  <c:v>27.050000000000004</c:v>
                </c:pt>
                <c:pt idx="13">
                  <c:v>26.03</c:v>
                </c:pt>
                <c:pt idx="14">
                  <c:v>25.279999999999998</c:v>
                </c:pt>
                <c:pt idx="15">
                  <c:v>24.31</c:v>
                </c:pt>
                <c:pt idx="16">
                  <c:v>23.400000000000002</c:v>
                </c:pt>
                <c:pt idx="17">
                  <c:v>22.64</c:v>
                </c:pt>
                <c:pt idx="18">
                  <c:v>21.609999999999996</c:v>
                </c:pt>
                <c:pt idx="19">
                  <c:v>20.52</c:v>
                </c:pt>
                <c:pt idx="20">
                  <c:v>19.540000000000003</c:v>
                </c:pt>
                <c:pt idx="21">
                  <c:v>18.41</c:v>
                </c:pt>
                <c:pt idx="22">
                  <c:v>16.93</c:v>
                </c:pt>
                <c:pt idx="23">
                  <c:v>15.04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82E-9B5E-94520001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96463"/>
        <c:axId val="710192450"/>
      </c:scatterChart>
      <c:valAx>
        <c:axId val="137379646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0192450"/>
        <c:crosses val="autoZero"/>
        <c:crossBetween val="midCat"/>
      </c:valAx>
      <c:valAx>
        <c:axId val="71019245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37964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(422.86)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545626564121346"/>
                  <c:y val="-1.533103098954736E-2"/>
                </c:manualLayout>
              </c:layout>
              <c:numFmt formatCode="General" sourceLinked="0"/>
            </c:trendlineLbl>
          </c:trendline>
          <c:xVal>
            <c:numRef>
              <c:f>'Collected Data Site 364'!$N$49:$N$72</c:f>
              <c:numCache>
                <c:formatCode>General</c:formatCode>
                <c:ptCount val="24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5</c:v>
                </c:pt>
                <c:pt idx="5">
                  <c:v>4.75</c:v>
                </c:pt>
                <c:pt idx="6">
                  <c:v>4.5</c:v>
                </c:pt>
                <c:pt idx="7">
                  <c:v>4.25</c:v>
                </c:pt>
                <c:pt idx="8">
                  <c:v>4</c:v>
                </c:pt>
                <c:pt idx="9">
                  <c:v>3.75</c:v>
                </c:pt>
                <c:pt idx="10">
                  <c:v>3.5</c:v>
                </c:pt>
                <c:pt idx="11">
                  <c:v>3.25</c:v>
                </c:pt>
                <c:pt idx="12">
                  <c:v>3</c:v>
                </c:pt>
                <c:pt idx="13">
                  <c:v>2.75</c:v>
                </c:pt>
                <c:pt idx="14">
                  <c:v>2.5</c:v>
                </c:pt>
                <c:pt idx="15">
                  <c:v>2.25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</c:numCache>
            </c:numRef>
          </c:xVal>
          <c:yVal>
            <c:numRef>
              <c:f>'Collected Data Site 364'!$O$49:$O$72</c:f>
              <c:numCache>
                <c:formatCode>General</c:formatCode>
                <c:ptCount val="24"/>
                <c:pt idx="0">
                  <c:v>43.65</c:v>
                </c:pt>
                <c:pt idx="1">
                  <c:v>42.230000000000004</c:v>
                </c:pt>
                <c:pt idx="2">
                  <c:v>40.83</c:v>
                </c:pt>
                <c:pt idx="3">
                  <c:v>39.47</c:v>
                </c:pt>
                <c:pt idx="4">
                  <c:v>38</c:v>
                </c:pt>
                <c:pt idx="5">
                  <c:v>36.53</c:v>
                </c:pt>
                <c:pt idx="6">
                  <c:v>35.630000000000003</c:v>
                </c:pt>
                <c:pt idx="7">
                  <c:v>34.299999999999997</c:v>
                </c:pt>
                <c:pt idx="8">
                  <c:v>33.17</c:v>
                </c:pt>
                <c:pt idx="9">
                  <c:v>32.21</c:v>
                </c:pt>
                <c:pt idx="10">
                  <c:v>30.88</c:v>
                </c:pt>
                <c:pt idx="11">
                  <c:v>29.63</c:v>
                </c:pt>
                <c:pt idx="12">
                  <c:v>28.570000000000004</c:v>
                </c:pt>
                <c:pt idx="13">
                  <c:v>27.370000000000005</c:v>
                </c:pt>
                <c:pt idx="14">
                  <c:v>26.13</c:v>
                </c:pt>
                <c:pt idx="15">
                  <c:v>24.909999999999997</c:v>
                </c:pt>
                <c:pt idx="16">
                  <c:v>23.849999999999998</c:v>
                </c:pt>
                <c:pt idx="17">
                  <c:v>22.52</c:v>
                </c:pt>
                <c:pt idx="18">
                  <c:v>22.419999999999998</c:v>
                </c:pt>
                <c:pt idx="19">
                  <c:v>19.98</c:v>
                </c:pt>
                <c:pt idx="20">
                  <c:v>18.72</c:v>
                </c:pt>
                <c:pt idx="21">
                  <c:v>17.29</c:v>
                </c:pt>
                <c:pt idx="22">
                  <c:v>15.489999999999998</c:v>
                </c:pt>
                <c:pt idx="23">
                  <c:v>13.34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C-4734-9000-1D58887E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36678"/>
        <c:axId val="425719404"/>
      </c:scatterChart>
      <c:valAx>
        <c:axId val="172253667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5719404"/>
        <c:crosses val="autoZero"/>
        <c:crossBetween val="midCat"/>
      </c:valAx>
      <c:valAx>
        <c:axId val="42571940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25366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(11.28)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2.805283685333726E-2"/>
                  <c:y val="0.35640171294377676"/>
                </c:manualLayout>
              </c:layout>
              <c:numFmt formatCode="General" sourceLinked="0"/>
            </c:trendlineLbl>
          </c:trendline>
          <c:xVal>
            <c:numRef>
              <c:f>'Collected Data Site 364'!$B$6:$B$15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'Collected Data Site 364'!$F$6:$F$15</c:f>
              <c:numCache>
                <c:formatCode>General</c:formatCode>
                <c:ptCount val="10"/>
                <c:pt idx="0">
                  <c:v>0.67159167226326399</c:v>
                </c:pt>
                <c:pt idx="1">
                  <c:v>0.67771084337349397</c:v>
                </c:pt>
                <c:pt idx="2">
                  <c:v>0.66666666666666652</c:v>
                </c:pt>
                <c:pt idx="3">
                  <c:v>0.66476733143399802</c:v>
                </c:pt>
                <c:pt idx="4">
                  <c:v>0.70588235294117652</c:v>
                </c:pt>
                <c:pt idx="5">
                  <c:v>0.7363770250368189</c:v>
                </c:pt>
                <c:pt idx="6">
                  <c:v>0.68610634648370494</c:v>
                </c:pt>
                <c:pt idx="7">
                  <c:v>0.65359477124183007</c:v>
                </c:pt>
                <c:pt idx="8">
                  <c:v>0.56818181818181823</c:v>
                </c:pt>
                <c:pt idx="9">
                  <c:v>0.44052863436123346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2-40D2-BBD6-668A38DE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46007"/>
        <c:axId val="949078618"/>
      </c:scatterChart>
      <c:valAx>
        <c:axId val="95974600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9078618"/>
        <c:crosses val="autoZero"/>
        <c:crossBetween val="midCat"/>
      </c:valAx>
      <c:valAx>
        <c:axId val="94907861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97460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(43.22)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3254752991941582"/>
                  <c:y val="0.18838513606851776"/>
                </c:manualLayout>
              </c:layout>
              <c:numFmt formatCode="General" sourceLinked="0"/>
            </c:trendlineLbl>
          </c:trendline>
          <c:xVal>
            <c:numRef>
              <c:f>'Collected Data Site 364'!$H$6:$H$16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'Collected Data Site 364'!$L$6:$L$16</c:f>
              <c:numCache>
                <c:formatCode>General</c:formatCode>
                <c:ptCount val="11"/>
                <c:pt idx="0">
                  <c:v>0.38488453463960814</c:v>
                </c:pt>
                <c:pt idx="1">
                  <c:v>0.39108330074305819</c:v>
                </c:pt>
                <c:pt idx="2">
                  <c:v>0.39249890972525076</c:v>
                </c:pt>
                <c:pt idx="3">
                  <c:v>0.390625</c:v>
                </c:pt>
                <c:pt idx="4">
                  <c:v>0.39886039886039887</c:v>
                </c:pt>
                <c:pt idx="5">
                  <c:v>0.4366812227074236</c:v>
                </c:pt>
                <c:pt idx="6">
                  <c:v>0.5</c:v>
                </c:pt>
                <c:pt idx="7">
                  <c:v>0.47675804529201438</c:v>
                </c:pt>
                <c:pt idx="8">
                  <c:v>0.43478260869565216</c:v>
                </c:pt>
                <c:pt idx="9">
                  <c:v>0.3656307129798903</c:v>
                </c:pt>
                <c:pt idx="10">
                  <c:v>0.26595744680851063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3-4236-BF6E-8309C93F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822514"/>
        <c:axId val="835062341"/>
      </c:scatterChart>
      <c:valAx>
        <c:axId val="1593822514"/>
        <c:scaling>
          <c:logBase val="10"/>
          <c:orientation val="minMax"/>
          <c:max val="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062341"/>
        <c:crosses val="autoZero"/>
        <c:crossBetween val="midCat"/>
      </c:valAx>
      <c:valAx>
        <c:axId val="83506234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82251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(88.32)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1516081468837376"/>
                  <c:y val="-0.13380632684072385"/>
                </c:manualLayout>
              </c:layout>
              <c:numFmt formatCode="General" sourceLinked="0"/>
            </c:trendlineLbl>
          </c:trendline>
          <c:xVal>
            <c:numRef>
              <c:f>'Collected Data Site 364'!$N$6:$N$16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'Collected Data Site 364'!$Q$6:$Q$16</c:f>
              <c:numCache>
                <c:formatCode>General</c:formatCode>
                <c:ptCount val="11"/>
                <c:pt idx="0">
                  <c:v>1.3</c:v>
                </c:pt>
                <c:pt idx="1">
                  <c:v>1.26</c:v>
                </c:pt>
                <c:pt idx="2">
                  <c:v>1.21</c:v>
                </c:pt>
                <c:pt idx="3">
                  <c:v>1.17</c:v>
                </c:pt>
                <c:pt idx="4">
                  <c:v>1.1200000000000001</c:v>
                </c:pt>
                <c:pt idx="5">
                  <c:v>1.03</c:v>
                </c:pt>
                <c:pt idx="6">
                  <c:v>0.94</c:v>
                </c:pt>
                <c:pt idx="7">
                  <c:v>0.85</c:v>
                </c:pt>
                <c:pt idx="8">
                  <c:v>0.75</c:v>
                </c:pt>
                <c:pt idx="9">
                  <c:v>0.63</c:v>
                </c:pt>
                <c:pt idx="10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E-48DB-BAE9-3E257AF1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47514"/>
        <c:axId val="1447959577"/>
      </c:scatterChart>
      <c:valAx>
        <c:axId val="2082247514"/>
        <c:scaling>
          <c:logBase val="10"/>
          <c:orientation val="minMax"/>
          <c:max val="1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7959577"/>
        <c:crosses val="autoZero"/>
        <c:crossBetween val="midCat"/>
      </c:valAx>
      <c:valAx>
        <c:axId val="144795957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224751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(88.32)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6240246193002096"/>
                  <c:y val="5.6779849887185152E-2"/>
                </c:manualLayout>
              </c:layout>
              <c:numFmt formatCode="General" sourceLinked="0"/>
            </c:trendlineLbl>
          </c:trendline>
          <c:xVal>
            <c:numRef>
              <c:f>'Collected Data Site 364'!$N$6:$N$16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'Collected Data Site 364'!$R$6:$R$16</c:f>
              <c:numCache>
                <c:formatCode>General</c:formatCode>
                <c:ptCount val="11"/>
                <c:pt idx="0">
                  <c:v>0.20849128127369221</c:v>
                </c:pt>
                <c:pt idx="1">
                  <c:v>0.21026072329688814</c:v>
                </c:pt>
                <c:pt idx="2">
                  <c:v>0.21106941838649154</c:v>
                </c:pt>
                <c:pt idx="3">
                  <c:v>0.20876826722338204</c:v>
                </c:pt>
                <c:pt idx="4">
                  <c:v>0.21419828641370869</c:v>
                </c:pt>
                <c:pt idx="5">
                  <c:v>0.23410066328521265</c:v>
                </c:pt>
                <c:pt idx="6">
                  <c:v>0.28785261945883706</c:v>
                </c:pt>
                <c:pt idx="7">
                  <c:v>0.33444816053511706</c:v>
                </c:pt>
                <c:pt idx="8">
                  <c:v>0.3926701570680628</c:v>
                </c:pt>
                <c:pt idx="9">
                  <c:v>0.3656307129798903</c:v>
                </c:pt>
                <c:pt idx="10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C-4390-A7D1-1B6B7258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12247"/>
        <c:axId val="792148339"/>
      </c:scatterChart>
      <c:valAx>
        <c:axId val="923612247"/>
        <c:scaling>
          <c:logBase val="10"/>
          <c:orientation val="minMax"/>
          <c:max val="1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2148339"/>
        <c:crosses val="autoZero"/>
        <c:crossBetween val="midCat"/>
      </c:valAx>
      <c:valAx>
        <c:axId val="79214833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36122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(146.24)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3.5727034120734906E-2"/>
                  <c:y val="-0.19505640742275637"/>
                </c:manualLayout>
              </c:layout>
              <c:numFmt formatCode="General" sourceLinked="0"/>
            </c:trendlineLbl>
          </c:trendline>
          <c:xVal>
            <c:numRef>
              <c:f>'Collected Data Site 364'!$B$23:$B$38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364'!$F$23:$F$38</c:f>
              <c:numCache>
                <c:formatCode>General</c:formatCode>
                <c:ptCount val="16"/>
                <c:pt idx="0">
                  <c:v>0.16542597187758479</c:v>
                </c:pt>
                <c:pt idx="1">
                  <c:v>0.16389860139860141</c:v>
                </c:pt>
                <c:pt idx="2">
                  <c:v>0.16320820704126837</c:v>
                </c:pt>
                <c:pt idx="3">
                  <c:v>0.16311166875784189</c:v>
                </c:pt>
                <c:pt idx="4">
                  <c:v>0.16675931072818231</c:v>
                </c:pt>
                <c:pt idx="5">
                  <c:v>0.17149984409105082</c:v>
                </c:pt>
                <c:pt idx="6">
                  <c:v>0.18076644974692696</c:v>
                </c:pt>
                <c:pt idx="7">
                  <c:v>0.18218623481781376</c:v>
                </c:pt>
                <c:pt idx="8">
                  <c:v>0.18993352326685659</c:v>
                </c:pt>
                <c:pt idx="9">
                  <c:v>0.19908987485779292</c:v>
                </c:pt>
                <c:pt idx="10">
                  <c:v>0.21398002853067047</c:v>
                </c:pt>
                <c:pt idx="11">
                  <c:v>0.2285191956124315</c:v>
                </c:pt>
                <c:pt idx="12">
                  <c:v>0.23174971031286212</c:v>
                </c:pt>
                <c:pt idx="13">
                  <c:v>0.21645021645021645</c:v>
                </c:pt>
                <c:pt idx="14">
                  <c:v>0.17391304347826086</c:v>
                </c:pt>
                <c:pt idx="15">
                  <c:v>0.10822510822510822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1-432F-8C5A-E68B309F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58028"/>
        <c:axId val="1264959685"/>
      </c:scatterChart>
      <c:valAx>
        <c:axId val="134095802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959685"/>
        <c:crosses val="autoZero"/>
        <c:crossBetween val="midCat"/>
      </c:valAx>
      <c:valAx>
        <c:axId val="126495968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09580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(189.66)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3.767802389187333E-2"/>
                  <c:y val="-0.19656048257125755"/>
                </c:manualLayout>
              </c:layout>
              <c:numFmt formatCode="General" sourceLinked="0"/>
            </c:trendlineLbl>
          </c:trendline>
          <c:xVal>
            <c:numRef>
              <c:f>'Collected Data Site 364'!$H$23:$H$38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364'!$L$23:$L$38</c:f>
              <c:numCache>
                <c:formatCode>General</c:formatCode>
                <c:ptCount val="16"/>
                <c:pt idx="0">
                  <c:v>0.19641541861036094</c:v>
                </c:pt>
                <c:pt idx="1">
                  <c:v>0.19510926118626426</c:v>
                </c:pt>
                <c:pt idx="2">
                  <c:v>0.19273127753303965</c:v>
                </c:pt>
                <c:pt idx="3">
                  <c:v>0.19179699026261435</c:v>
                </c:pt>
                <c:pt idx="4">
                  <c:v>0.19305019305019305</c:v>
                </c:pt>
                <c:pt idx="5">
                  <c:v>0.1929147667485093</c:v>
                </c:pt>
                <c:pt idx="6">
                  <c:v>0.19432568985619902</c:v>
                </c:pt>
                <c:pt idx="7">
                  <c:v>0.19148936170212766</c:v>
                </c:pt>
                <c:pt idx="8">
                  <c:v>0.18841262364578426</c:v>
                </c:pt>
                <c:pt idx="9">
                  <c:v>0.18597236981934112</c:v>
                </c:pt>
                <c:pt idx="10">
                  <c:v>0.1830384380719951</c:v>
                </c:pt>
                <c:pt idx="11">
                  <c:v>0.18395879323031641</c:v>
                </c:pt>
                <c:pt idx="12">
                  <c:v>0.18867924528301885</c:v>
                </c:pt>
                <c:pt idx="13">
                  <c:v>0.19710906701708281</c:v>
                </c:pt>
                <c:pt idx="14">
                  <c:v>0.20366598778004072</c:v>
                </c:pt>
                <c:pt idx="15">
                  <c:v>0.15873015873015872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8-4085-BB58-DFCC7FC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44730"/>
        <c:axId val="313302303"/>
      </c:scatterChart>
      <c:valAx>
        <c:axId val="75684473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3302303"/>
        <c:crosses val="autoZero"/>
        <c:crossBetween val="midCat"/>
      </c:valAx>
      <c:valAx>
        <c:axId val="31330230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684473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(225.06)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7503172243329724"/>
                  <c:y val="3.0726159230096239E-3"/>
                </c:manualLayout>
              </c:layout>
              <c:numFmt formatCode="General" sourceLinked="0"/>
            </c:trendlineLbl>
          </c:trendline>
          <c:xVal>
            <c:numRef>
              <c:f>'Collected Data Site 364'!$N$23:$N$42</c:f>
              <c:numCache>
                <c:formatCode>General</c:formatCode>
                <c:ptCount val="20"/>
                <c:pt idx="0">
                  <c:v>4</c:v>
                </c:pt>
                <c:pt idx="1">
                  <c:v>3.8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2.8</c:v>
                </c:pt>
                <c:pt idx="7">
                  <c:v>2.6</c:v>
                </c:pt>
                <c:pt idx="8">
                  <c:v>2.4</c:v>
                </c:pt>
                <c:pt idx="9">
                  <c:v>2.2000000000000002</c:v>
                </c:pt>
                <c:pt idx="10">
                  <c:v>2</c:v>
                </c:pt>
                <c:pt idx="11">
                  <c:v>1.8</c:v>
                </c:pt>
                <c:pt idx="12">
                  <c:v>1.6</c:v>
                </c:pt>
                <c:pt idx="13">
                  <c:v>1.4</c:v>
                </c:pt>
                <c:pt idx="14">
                  <c:v>1.2</c:v>
                </c:pt>
                <c:pt idx="15">
                  <c:v>1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0.2</c:v>
                </c:pt>
              </c:numCache>
            </c:numRef>
          </c:xVal>
          <c:yVal>
            <c:numRef>
              <c:f>'Collected Data Site 364'!$R$23:$R$42</c:f>
              <c:numCache>
                <c:formatCode>General</c:formatCode>
                <c:ptCount val="20"/>
                <c:pt idx="0">
                  <c:v>0.25923525599481534</c:v>
                </c:pt>
                <c:pt idx="1">
                  <c:v>0.25991792065663477</c:v>
                </c:pt>
                <c:pt idx="2">
                  <c:v>0.26011560693641622</c:v>
                </c:pt>
                <c:pt idx="3">
                  <c:v>0.2639751552795031</c:v>
                </c:pt>
                <c:pt idx="4">
                  <c:v>0.26556016597510373</c:v>
                </c:pt>
                <c:pt idx="5">
                  <c:v>0.26572187776793621</c:v>
                </c:pt>
                <c:pt idx="6">
                  <c:v>0.26565464895635676</c:v>
                </c:pt>
                <c:pt idx="7">
                  <c:v>0.26970954356846472</c:v>
                </c:pt>
                <c:pt idx="8">
                  <c:v>0.26996625421822268</c:v>
                </c:pt>
                <c:pt idx="9">
                  <c:v>0.27397260273972601</c:v>
                </c:pt>
                <c:pt idx="10">
                  <c:v>0.27397260273972601</c:v>
                </c:pt>
                <c:pt idx="11">
                  <c:v>0.26785714285714285</c:v>
                </c:pt>
                <c:pt idx="12">
                  <c:v>0.264026402640264</c:v>
                </c:pt>
                <c:pt idx="13">
                  <c:v>0.25641025641025633</c:v>
                </c:pt>
                <c:pt idx="14">
                  <c:v>0.24896265560165973</c:v>
                </c:pt>
                <c:pt idx="15">
                  <c:v>0.23640661938534277</c:v>
                </c:pt>
                <c:pt idx="16">
                  <c:v>0.221606648199446</c:v>
                </c:pt>
                <c:pt idx="17">
                  <c:v>0.19543973941368079</c:v>
                </c:pt>
                <c:pt idx="18">
                  <c:v>0.15151515151515152</c:v>
                </c:pt>
                <c:pt idx="19">
                  <c:v>9.1743119266055051E-2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91-4654-A1E9-F3A7498A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545056"/>
        <c:axId val="2127115804"/>
      </c:scatterChart>
      <c:valAx>
        <c:axId val="190354505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7115804"/>
        <c:crosses val="autoZero"/>
        <c:crossBetween val="midCat"/>
      </c:valAx>
      <c:valAx>
        <c:axId val="212711580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35450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(306.7)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15441922218739"/>
                  <c:y val="-4.8416263756504124E-2"/>
                </c:manualLayout>
              </c:layout>
              <c:numFmt formatCode="General" sourceLinked="0"/>
            </c:trendlineLbl>
          </c:trendline>
          <c:xVal>
            <c:numRef>
              <c:f>'Collected Data Site 364'!$B$49:$B$73</c:f>
              <c:numCache>
                <c:formatCode>General</c:formatCode>
                <c:ptCount val="25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110</c:v>
                </c:pt>
                <c:pt idx="15">
                  <c:v>100</c:v>
                </c:pt>
                <c:pt idx="16">
                  <c:v>90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50</c:v>
                </c:pt>
                <c:pt idx="21">
                  <c:v>40</c:v>
                </c:pt>
                <c:pt idx="22">
                  <c:v>30</c:v>
                </c:pt>
                <c:pt idx="23">
                  <c:v>20</c:v>
                </c:pt>
                <c:pt idx="24">
                  <c:v>10</c:v>
                </c:pt>
              </c:numCache>
            </c:numRef>
          </c:xVal>
          <c:yVal>
            <c:numRef>
              <c:f>'Collected Data Site 364'!$F$49:$F$73</c:f>
              <c:numCache>
                <c:formatCode>General</c:formatCode>
                <c:ptCount val="25"/>
                <c:pt idx="0">
                  <c:v>2.7596864996136437</c:v>
                </c:pt>
                <c:pt idx="1">
                  <c:v>2.7337965599726619</c:v>
                </c:pt>
                <c:pt idx="2">
                  <c:v>2.6969981238273921</c:v>
                </c:pt>
                <c:pt idx="3">
                  <c:v>2.6708753186839869</c:v>
                </c:pt>
                <c:pt idx="4">
                  <c:v>2.6279564510073836</c:v>
                </c:pt>
                <c:pt idx="5">
                  <c:v>2.5906735751295336</c:v>
                </c:pt>
                <c:pt idx="6">
                  <c:v>2.5493090030860057</c:v>
                </c:pt>
                <c:pt idx="7">
                  <c:v>2.509410288582183</c:v>
                </c:pt>
                <c:pt idx="8">
                  <c:v>2.4702121476315027</c:v>
                </c:pt>
                <c:pt idx="9">
                  <c:v>2.410364567640856</c:v>
                </c:pt>
                <c:pt idx="10">
                  <c:v>2.3633212541358124</c:v>
                </c:pt>
                <c:pt idx="11">
                  <c:v>2.3083264633140974</c:v>
                </c:pt>
                <c:pt idx="12">
                  <c:v>2.2382920110192837</c:v>
                </c:pt>
                <c:pt idx="13">
                  <c:v>2.1861905629440699</c:v>
                </c:pt>
                <c:pt idx="14">
                  <c:v>2.1305442572147975</c:v>
                </c:pt>
                <c:pt idx="15">
                  <c:v>2.0550760378133992</c:v>
                </c:pt>
                <c:pt idx="16">
                  <c:v>1.9715224534501643</c:v>
                </c:pt>
                <c:pt idx="17">
                  <c:v>1.8881283927307058</c:v>
                </c:pt>
                <c:pt idx="18">
                  <c:v>1.8069179143004646</c:v>
                </c:pt>
                <c:pt idx="19">
                  <c:v>1.7098888572242803</c:v>
                </c:pt>
                <c:pt idx="20">
                  <c:v>1.599488163787588</c:v>
                </c:pt>
                <c:pt idx="21">
                  <c:v>1.4749262536873156</c:v>
                </c:pt>
                <c:pt idx="22">
                  <c:v>1.3357079252003561</c:v>
                </c:pt>
                <c:pt idx="23">
                  <c:v>1.1983223487118033</c:v>
                </c:pt>
                <c:pt idx="24">
                  <c:v>1.0416666666666667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D-42A9-B96F-375544AE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70158"/>
        <c:axId val="1111153061"/>
      </c:scatterChart>
      <c:valAx>
        <c:axId val="1746170158"/>
        <c:scaling>
          <c:logBase val="10"/>
          <c:orientation val="minMax"/>
          <c:max val="1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153061"/>
        <c:crosses val="autoZero"/>
        <c:crossBetween val="midCat"/>
      </c:valAx>
      <c:valAx>
        <c:axId val="111115306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617015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(362.94)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3.0065494149679888E-2"/>
                  <c:y val="-0.11758824883731639"/>
                </c:manualLayout>
              </c:layout>
              <c:numFmt formatCode="General" sourceLinked="0"/>
            </c:trendlineLbl>
          </c:trendline>
          <c:xVal>
            <c:numRef>
              <c:f>'Collected Data Site 364'!$H$49:$H$72</c:f>
              <c:numCache>
                <c:formatCode>General</c:formatCode>
                <c:ptCount val="24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5</c:v>
                </c:pt>
                <c:pt idx="5">
                  <c:v>4.75</c:v>
                </c:pt>
                <c:pt idx="6">
                  <c:v>4.5</c:v>
                </c:pt>
                <c:pt idx="7">
                  <c:v>4.25</c:v>
                </c:pt>
                <c:pt idx="8">
                  <c:v>4</c:v>
                </c:pt>
                <c:pt idx="9">
                  <c:v>3.75</c:v>
                </c:pt>
                <c:pt idx="10">
                  <c:v>3.5</c:v>
                </c:pt>
                <c:pt idx="11">
                  <c:v>3.25</c:v>
                </c:pt>
                <c:pt idx="12">
                  <c:v>3</c:v>
                </c:pt>
                <c:pt idx="13">
                  <c:v>2.75</c:v>
                </c:pt>
                <c:pt idx="14">
                  <c:v>2.5</c:v>
                </c:pt>
                <c:pt idx="15">
                  <c:v>2.25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</c:numCache>
            </c:numRef>
          </c:xVal>
          <c:yVal>
            <c:numRef>
              <c:f>'Collected Data Site 364'!$L$49:$L$72</c:f>
              <c:numCache>
                <c:formatCode>General</c:formatCode>
                <c:ptCount val="24"/>
                <c:pt idx="0">
                  <c:v>0.15205271160669029</c:v>
                </c:pt>
                <c:pt idx="1">
                  <c:v>0.15147523709167546</c:v>
                </c:pt>
                <c:pt idx="2">
                  <c:v>0.15023217700081948</c:v>
                </c:pt>
                <c:pt idx="3">
                  <c:v>0.14697648376259798</c:v>
                </c:pt>
                <c:pt idx="4">
                  <c:v>0.14611338398597312</c:v>
                </c:pt>
                <c:pt idx="5">
                  <c:v>0.14204545454545453</c:v>
                </c:pt>
                <c:pt idx="6">
                  <c:v>0.13854679802955663</c:v>
                </c:pt>
                <c:pt idx="7">
                  <c:v>0.13479226133840785</c:v>
                </c:pt>
                <c:pt idx="8">
                  <c:v>0.13131976362442546</c:v>
                </c:pt>
                <c:pt idx="9">
                  <c:v>0.12630515325025263</c:v>
                </c:pt>
                <c:pt idx="10">
                  <c:v>0.12098167991704112</c:v>
                </c:pt>
                <c:pt idx="11">
                  <c:v>0.11627906976744186</c:v>
                </c:pt>
                <c:pt idx="12">
                  <c:v>0.11090573012939001</c:v>
                </c:pt>
                <c:pt idx="13">
                  <c:v>0.10564733000384172</c:v>
                </c:pt>
                <c:pt idx="14">
                  <c:v>9.8892405063291153E-2</c:v>
                </c:pt>
                <c:pt idx="15">
                  <c:v>9.255450431921021E-2</c:v>
                </c:pt>
                <c:pt idx="16">
                  <c:v>8.5470085470085458E-2</c:v>
                </c:pt>
                <c:pt idx="17">
                  <c:v>7.729681978798586E-2</c:v>
                </c:pt>
                <c:pt idx="18">
                  <c:v>6.9412309116149942E-2</c:v>
                </c:pt>
                <c:pt idx="19">
                  <c:v>6.0916179337231972E-2</c:v>
                </c:pt>
                <c:pt idx="20">
                  <c:v>5.117707267144319E-2</c:v>
                </c:pt>
                <c:pt idx="21">
                  <c:v>4.0738728951656707E-2</c:v>
                </c:pt>
                <c:pt idx="22">
                  <c:v>2.9533372711163616E-2</c:v>
                </c:pt>
                <c:pt idx="23">
                  <c:v>1.6622340425531915E-2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8-4F29-BAC5-9D9B4243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619332"/>
        <c:axId val="85402100"/>
      </c:scatterChart>
      <c:valAx>
        <c:axId val="90261933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402100"/>
        <c:crosses val="autoZero"/>
        <c:crossBetween val="midCat"/>
      </c:valAx>
      <c:valAx>
        <c:axId val="854021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26193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(422.86)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4026246719160106"/>
                  <c:y val="-8.2850854169544602E-2"/>
                </c:manualLayout>
              </c:layout>
              <c:numFmt formatCode="General" sourceLinked="0"/>
            </c:trendlineLbl>
          </c:trendline>
          <c:xVal>
            <c:numRef>
              <c:f>'Collected Data Site 364'!$N$49:$N$72</c:f>
              <c:numCache>
                <c:formatCode>General</c:formatCode>
                <c:ptCount val="24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5</c:v>
                </c:pt>
                <c:pt idx="5">
                  <c:v>4.75</c:v>
                </c:pt>
                <c:pt idx="6">
                  <c:v>4.5</c:v>
                </c:pt>
                <c:pt idx="7">
                  <c:v>4.25</c:v>
                </c:pt>
                <c:pt idx="8">
                  <c:v>4</c:v>
                </c:pt>
                <c:pt idx="9">
                  <c:v>3.75</c:v>
                </c:pt>
                <c:pt idx="10">
                  <c:v>3.5</c:v>
                </c:pt>
                <c:pt idx="11">
                  <c:v>3.25</c:v>
                </c:pt>
                <c:pt idx="12">
                  <c:v>3</c:v>
                </c:pt>
                <c:pt idx="13">
                  <c:v>2.75</c:v>
                </c:pt>
                <c:pt idx="14">
                  <c:v>2.5</c:v>
                </c:pt>
                <c:pt idx="15">
                  <c:v>2.25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</c:numCache>
            </c:numRef>
          </c:xVal>
          <c:yVal>
            <c:numRef>
              <c:f>'Collected Data Site 364'!$R$49:$R$72</c:f>
              <c:numCache>
                <c:formatCode>General</c:formatCode>
                <c:ptCount val="24"/>
                <c:pt idx="0">
                  <c:v>0.13745704467353953</c:v>
                </c:pt>
                <c:pt idx="1">
                  <c:v>0.13615912858157705</c:v>
                </c:pt>
                <c:pt idx="2">
                  <c:v>0.13470487386725447</c:v>
                </c:pt>
                <c:pt idx="3">
                  <c:v>0.13301241449201925</c:v>
                </c:pt>
                <c:pt idx="4">
                  <c:v>0.13157894736842105</c:v>
                </c:pt>
                <c:pt idx="5">
                  <c:v>0.13003011223651792</c:v>
                </c:pt>
                <c:pt idx="6">
                  <c:v>0.12629806342969407</c:v>
                </c:pt>
                <c:pt idx="7">
                  <c:v>0.12390670553935861</c:v>
                </c:pt>
                <c:pt idx="8">
                  <c:v>0.12059089538739824</c:v>
                </c:pt>
                <c:pt idx="9">
                  <c:v>0.11642347097174791</c:v>
                </c:pt>
                <c:pt idx="10">
                  <c:v>0.1133419689119171</c:v>
                </c:pt>
                <c:pt idx="11">
                  <c:v>0.10968612892338846</c:v>
                </c:pt>
                <c:pt idx="12">
                  <c:v>0.10500525026251312</c:v>
                </c:pt>
                <c:pt idx="13">
                  <c:v>0.10047497259773473</c:v>
                </c:pt>
                <c:pt idx="14">
                  <c:v>9.5675468809797173E-2</c:v>
                </c:pt>
                <c:pt idx="15">
                  <c:v>9.0325170614211178E-2</c:v>
                </c:pt>
                <c:pt idx="16">
                  <c:v>8.385744234800839E-2</c:v>
                </c:pt>
                <c:pt idx="17">
                  <c:v>7.7708703374777977E-2</c:v>
                </c:pt>
                <c:pt idx="18">
                  <c:v>6.690454950936664E-2</c:v>
                </c:pt>
                <c:pt idx="19">
                  <c:v>6.2562562562562568E-2</c:v>
                </c:pt>
                <c:pt idx="20">
                  <c:v>5.3418803418803423E-2</c:v>
                </c:pt>
                <c:pt idx="21">
                  <c:v>4.3377674956622328E-2</c:v>
                </c:pt>
                <c:pt idx="22">
                  <c:v>3.2278889606197549E-2</c:v>
                </c:pt>
                <c:pt idx="23">
                  <c:v>1.8740629685157422E-2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11A-A005-0CF501C86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87610"/>
        <c:axId val="779640455"/>
      </c:scatterChart>
      <c:valAx>
        <c:axId val="150248761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9640455"/>
        <c:crosses val="autoZero"/>
        <c:crossBetween val="midCat"/>
      </c:valAx>
      <c:valAx>
        <c:axId val="77964045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24876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(146.24)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6.6981873167493405E-2"/>
                  <c:y val="-0.14282230510659852"/>
                </c:manualLayout>
              </c:layout>
              <c:numFmt formatCode="General" sourceLinked="0"/>
            </c:trendlineLbl>
          </c:trendline>
          <c:xVal>
            <c:numRef>
              <c:f>'Collected Data Site 364'!$B$23:$B$38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364'!$E$23:$E$38</c:f>
              <c:numCache>
                <c:formatCode>General</c:formatCode>
                <c:ptCount val="16"/>
                <c:pt idx="0">
                  <c:v>1.26</c:v>
                </c:pt>
                <c:pt idx="1">
                  <c:v>1.24</c:v>
                </c:pt>
                <c:pt idx="2">
                  <c:v>1.21</c:v>
                </c:pt>
                <c:pt idx="3">
                  <c:v>1.18</c:v>
                </c:pt>
                <c:pt idx="4">
                  <c:v>1.1399999999999999</c:v>
                </c:pt>
                <c:pt idx="5">
                  <c:v>1.1000000000000001</c:v>
                </c:pt>
                <c:pt idx="6">
                  <c:v>1.04</c:v>
                </c:pt>
                <c:pt idx="7">
                  <c:v>1.01</c:v>
                </c:pt>
                <c:pt idx="8">
                  <c:v>0.96</c:v>
                </c:pt>
                <c:pt idx="9">
                  <c:v>0.91</c:v>
                </c:pt>
                <c:pt idx="10">
                  <c:v>0.86</c:v>
                </c:pt>
                <c:pt idx="11">
                  <c:v>0.8</c:v>
                </c:pt>
                <c:pt idx="12">
                  <c:v>0.74</c:v>
                </c:pt>
                <c:pt idx="13">
                  <c:v>0.67</c:v>
                </c:pt>
                <c:pt idx="14">
                  <c:v>0.59</c:v>
                </c:pt>
                <c:pt idx="1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6-4DDA-B7E4-138C6DEE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7253"/>
        <c:axId val="261694516"/>
      </c:scatterChart>
      <c:valAx>
        <c:axId val="8983725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694516"/>
        <c:crosses val="autoZero"/>
        <c:crossBetween val="midCat"/>
      </c:valAx>
      <c:valAx>
        <c:axId val="26169451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83725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(189.66)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1.9290546918294144E-2"/>
                  <c:y val="-0.13974637380853708"/>
                </c:manualLayout>
              </c:layout>
              <c:numFmt formatCode="General" sourceLinked="0"/>
            </c:trendlineLbl>
          </c:trendline>
          <c:xVal>
            <c:numRef>
              <c:f>'Collected Data Site 364'!$H$23:$H$38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364'!$K$23:$K$38</c:f>
              <c:numCache>
                <c:formatCode>General</c:formatCode>
                <c:ptCount val="16"/>
                <c:pt idx="0">
                  <c:v>1.29</c:v>
                </c:pt>
                <c:pt idx="1">
                  <c:v>1.26</c:v>
                </c:pt>
                <c:pt idx="2">
                  <c:v>1.24</c:v>
                </c:pt>
                <c:pt idx="3">
                  <c:v>1.2</c:v>
                </c:pt>
                <c:pt idx="4">
                  <c:v>1.1599999999999999</c:v>
                </c:pt>
                <c:pt idx="5">
                  <c:v>1.1200000000000001</c:v>
                </c:pt>
                <c:pt idx="6">
                  <c:v>1.07</c:v>
                </c:pt>
                <c:pt idx="7">
                  <c:v>1.03</c:v>
                </c:pt>
                <c:pt idx="8">
                  <c:v>0.99</c:v>
                </c:pt>
                <c:pt idx="9">
                  <c:v>0.94</c:v>
                </c:pt>
                <c:pt idx="10">
                  <c:v>0.89</c:v>
                </c:pt>
                <c:pt idx="11">
                  <c:v>0.84</c:v>
                </c:pt>
                <c:pt idx="12">
                  <c:v>0.77</c:v>
                </c:pt>
                <c:pt idx="13">
                  <c:v>0.7</c:v>
                </c:pt>
                <c:pt idx="14">
                  <c:v>0.62</c:v>
                </c:pt>
                <c:pt idx="15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E-4CFF-A74C-9FD69B8A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78657"/>
        <c:axId val="35597771"/>
      </c:scatterChart>
      <c:valAx>
        <c:axId val="141877865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97771"/>
        <c:crosses val="autoZero"/>
        <c:crossBetween val="midCat"/>
      </c:valAx>
      <c:valAx>
        <c:axId val="3559777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877865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(225.06)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477981918926802"/>
                  <c:y val="-0.15455578578993415"/>
                </c:manualLayout>
              </c:layout>
              <c:numFmt formatCode="General" sourceLinked="0"/>
            </c:trendlineLbl>
          </c:trendline>
          <c:xVal>
            <c:numRef>
              <c:f>'Collected Data Site 364'!$N$23:$N$42</c:f>
              <c:numCache>
                <c:formatCode>General</c:formatCode>
                <c:ptCount val="20"/>
                <c:pt idx="0">
                  <c:v>4</c:v>
                </c:pt>
                <c:pt idx="1">
                  <c:v>3.8</c:v>
                </c:pt>
                <c:pt idx="2">
                  <c:v>3.6</c:v>
                </c:pt>
                <c:pt idx="3">
                  <c:v>3.4</c:v>
                </c:pt>
                <c:pt idx="4">
                  <c:v>3.2</c:v>
                </c:pt>
                <c:pt idx="5">
                  <c:v>3</c:v>
                </c:pt>
                <c:pt idx="6">
                  <c:v>2.8</c:v>
                </c:pt>
                <c:pt idx="7">
                  <c:v>2.6</c:v>
                </c:pt>
                <c:pt idx="8">
                  <c:v>2.4</c:v>
                </c:pt>
                <c:pt idx="9">
                  <c:v>2.2000000000000002</c:v>
                </c:pt>
                <c:pt idx="10">
                  <c:v>2</c:v>
                </c:pt>
                <c:pt idx="11">
                  <c:v>1.8</c:v>
                </c:pt>
                <c:pt idx="12">
                  <c:v>1.6</c:v>
                </c:pt>
                <c:pt idx="13">
                  <c:v>1.4</c:v>
                </c:pt>
                <c:pt idx="14">
                  <c:v>1.2</c:v>
                </c:pt>
                <c:pt idx="15">
                  <c:v>1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0.2</c:v>
                </c:pt>
              </c:numCache>
            </c:numRef>
          </c:xVal>
          <c:yVal>
            <c:numRef>
              <c:f>'Collected Data Site 364'!$Q$23:$Q$42</c:f>
              <c:numCache>
                <c:formatCode>General</c:formatCode>
                <c:ptCount val="20"/>
                <c:pt idx="0">
                  <c:v>1.08</c:v>
                </c:pt>
                <c:pt idx="1">
                  <c:v>1.07</c:v>
                </c:pt>
                <c:pt idx="2">
                  <c:v>1.05</c:v>
                </c:pt>
                <c:pt idx="3">
                  <c:v>1.03</c:v>
                </c:pt>
                <c:pt idx="4">
                  <c:v>1</c:v>
                </c:pt>
                <c:pt idx="5">
                  <c:v>0.99</c:v>
                </c:pt>
                <c:pt idx="6">
                  <c:v>0.97</c:v>
                </c:pt>
                <c:pt idx="7">
                  <c:v>0.94</c:v>
                </c:pt>
                <c:pt idx="8">
                  <c:v>0.92</c:v>
                </c:pt>
                <c:pt idx="9">
                  <c:v>0.89</c:v>
                </c:pt>
                <c:pt idx="10">
                  <c:v>0.86</c:v>
                </c:pt>
                <c:pt idx="11">
                  <c:v>0.84</c:v>
                </c:pt>
                <c:pt idx="12">
                  <c:v>0.81</c:v>
                </c:pt>
                <c:pt idx="13">
                  <c:v>0.78</c:v>
                </c:pt>
                <c:pt idx="14">
                  <c:v>0.75</c:v>
                </c:pt>
                <c:pt idx="15">
                  <c:v>0.72</c:v>
                </c:pt>
                <c:pt idx="16">
                  <c:v>0.68</c:v>
                </c:pt>
                <c:pt idx="17">
                  <c:v>0.64</c:v>
                </c:pt>
                <c:pt idx="18">
                  <c:v>0.59</c:v>
                </c:pt>
                <c:pt idx="19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0-4625-85CB-9BEE552D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07725"/>
        <c:axId val="459988712"/>
      </c:scatterChart>
      <c:valAx>
        <c:axId val="28380772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9988712"/>
        <c:crosses val="autoZero"/>
        <c:crossBetween val="midCat"/>
      </c:valAx>
      <c:valAx>
        <c:axId val="4599887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38077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(306.7)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15441922218739"/>
                  <c:y val="-4.4823133950361471E-2"/>
                </c:manualLayout>
              </c:layout>
              <c:numFmt formatCode="General" sourceLinked="0"/>
            </c:trendlineLbl>
          </c:trendline>
          <c:xVal>
            <c:numRef>
              <c:f>'Collected Data Site 364'!$B$49:$B$73</c:f>
              <c:numCache>
                <c:formatCode>General</c:formatCode>
                <c:ptCount val="25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110</c:v>
                </c:pt>
                <c:pt idx="15">
                  <c:v>100</c:v>
                </c:pt>
                <c:pt idx="16">
                  <c:v>90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50</c:v>
                </c:pt>
                <c:pt idx="21">
                  <c:v>40</c:v>
                </c:pt>
                <c:pt idx="22">
                  <c:v>30</c:v>
                </c:pt>
                <c:pt idx="23">
                  <c:v>20</c:v>
                </c:pt>
                <c:pt idx="24">
                  <c:v>10</c:v>
                </c:pt>
              </c:numCache>
            </c:numRef>
          </c:xVal>
          <c:yVal>
            <c:numRef>
              <c:f>'Collected Data Site 364'!$E$49:$E$73</c:f>
              <c:numCache>
                <c:formatCode>General</c:formatCode>
                <c:ptCount val="25"/>
                <c:pt idx="0">
                  <c:v>2.85</c:v>
                </c:pt>
                <c:pt idx="1">
                  <c:v>2.78</c:v>
                </c:pt>
                <c:pt idx="2">
                  <c:v>2.72</c:v>
                </c:pt>
                <c:pt idx="3">
                  <c:v>2.67</c:v>
                </c:pt>
                <c:pt idx="4">
                  <c:v>2.61</c:v>
                </c:pt>
                <c:pt idx="5">
                  <c:v>2.56</c:v>
                </c:pt>
                <c:pt idx="6">
                  <c:v>2.5</c:v>
                </c:pt>
                <c:pt idx="7">
                  <c:v>2.4300000000000002</c:v>
                </c:pt>
                <c:pt idx="8">
                  <c:v>2.37</c:v>
                </c:pt>
                <c:pt idx="9">
                  <c:v>2.31</c:v>
                </c:pt>
                <c:pt idx="10">
                  <c:v>2.2400000000000002</c:v>
                </c:pt>
                <c:pt idx="11">
                  <c:v>2.19</c:v>
                </c:pt>
                <c:pt idx="12">
                  <c:v>2.12</c:v>
                </c:pt>
                <c:pt idx="13">
                  <c:v>2.0299999999999998</c:v>
                </c:pt>
                <c:pt idx="14">
                  <c:v>1.96</c:v>
                </c:pt>
                <c:pt idx="15">
                  <c:v>1.89</c:v>
                </c:pt>
                <c:pt idx="16">
                  <c:v>1.82</c:v>
                </c:pt>
                <c:pt idx="17">
                  <c:v>1.74</c:v>
                </c:pt>
                <c:pt idx="18">
                  <c:v>1.64</c:v>
                </c:pt>
                <c:pt idx="19">
                  <c:v>1.56</c:v>
                </c:pt>
                <c:pt idx="20">
                  <c:v>1.46</c:v>
                </c:pt>
                <c:pt idx="21">
                  <c:v>1.35</c:v>
                </c:pt>
                <c:pt idx="22">
                  <c:v>1.25</c:v>
                </c:pt>
                <c:pt idx="23">
                  <c:v>1.0900000000000001</c:v>
                </c:pt>
                <c:pt idx="24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A-4C14-92FB-416E6A7B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292974"/>
        <c:axId val="850127502"/>
      </c:scatterChart>
      <c:valAx>
        <c:axId val="1360292974"/>
        <c:scaling>
          <c:logBase val="10"/>
          <c:orientation val="minMax"/>
          <c:max val="1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0127502"/>
        <c:crosses val="autoZero"/>
        <c:crossBetween val="midCat"/>
      </c:valAx>
      <c:valAx>
        <c:axId val="85012750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2929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(362.94)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9.8601319694851225E-2"/>
                  <c:y val="-0.14833024819266014"/>
                </c:manualLayout>
              </c:layout>
              <c:numFmt formatCode="General" sourceLinked="0"/>
            </c:trendlineLbl>
          </c:trendline>
          <c:xVal>
            <c:numRef>
              <c:f>'Collected Data Site 364'!$H$49:$H$72</c:f>
              <c:numCache>
                <c:formatCode>General</c:formatCode>
                <c:ptCount val="24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5</c:v>
                </c:pt>
                <c:pt idx="5">
                  <c:v>4.75</c:v>
                </c:pt>
                <c:pt idx="6">
                  <c:v>4.5</c:v>
                </c:pt>
                <c:pt idx="7">
                  <c:v>4.25</c:v>
                </c:pt>
                <c:pt idx="8">
                  <c:v>4</c:v>
                </c:pt>
                <c:pt idx="9">
                  <c:v>3.75</c:v>
                </c:pt>
                <c:pt idx="10">
                  <c:v>3.5</c:v>
                </c:pt>
                <c:pt idx="11">
                  <c:v>3.25</c:v>
                </c:pt>
                <c:pt idx="12">
                  <c:v>3</c:v>
                </c:pt>
                <c:pt idx="13">
                  <c:v>2.75</c:v>
                </c:pt>
                <c:pt idx="14">
                  <c:v>2.5</c:v>
                </c:pt>
                <c:pt idx="15">
                  <c:v>2.25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</c:numCache>
            </c:numRef>
          </c:xVal>
          <c:yVal>
            <c:numRef>
              <c:f>'Collected Data Site 364'!$K$49:$K$72</c:f>
              <c:numCache>
                <c:formatCode>General</c:formatCode>
                <c:ptCount val="24"/>
                <c:pt idx="0">
                  <c:v>1.32</c:v>
                </c:pt>
                <c:pt idx="1">
                  <c:v>1.3</c:v>
                </c:pt>
                <c:pt idx="2">
                  <c:v>1.28</c:v>
                </c:pt>
                <c:pt idx="3">
                  <c:v>1.27</c:v>
                </c:pt>
                <c:pt idx="4">
                  <c:v>1.25</c:v>
                </c:pt>
                <c:pt idx="5">
                  <c:v>1.24</c:v>
                </c:pt>
                <c:pt idx="6">
                  <c:v>1.22</c:v>
                </c:pt>
                <c:pt idx="7">
                  <c:v>1.21</c:v>
                </c:pt>
                <c:pt idx="8">
                  <c:v>1.2</c:v>
                </c:pt>
                <c:pt idx="9">
                  <c:v>1.17</c:v>
                </c:pt>
                <c:pt idx="10">
                  <c:v>1.1599999999999999</c:v>
                </c:pt>
                <c:pt idx="11">
                  <c:v>1.1499999999999999</c:v>
                </c:pt>
                <c:pt idx="12">
                  <c:v>1.1399999999999999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1.08</c:v>
                </c:pt>
                <c:pt idx="16">
                  <c:v>1.06</c:v>
                </c:pt>
                <c:pt idx="17">
                  <c:v>1.03</c:v>
                </c:pt>
                <c:pt idx="18">
                  <c:v>1.02</c:v>
                </c:pt>
                <c:pt idx="19">
                  <c:v>0.99</c:v>
                </c:pt>
                <c:pt idx="20">
                  <c:v>0.96</c:v>
                </c:pt>
                <c:pt idx="21">
                  <c:v>0.93</c:v>
                </c:pt>
                <c:pt idx="22">
                  <c:v>0.89</c:v>
                </c:pt>
                <c:pt idx="23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6-4459-A0C7-51C1F9C1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95338"/>
        <c:axId val="1655619745"/>
      </c:scatterChart>
      <c:valAx>
        <c:axId val="57859533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5619745"/>
        <c:crosses val="autoZero"/>
        <c:crossBetween val="midCat"/>
      </c:valAx>
      <c:valAx>
        <c:axId val="165561974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859533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(422.86)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3413431288756343"/>
                  <c:y val="-0.14173044158953815"/>
                </c:manualLayout>
              </c:layout>
              <c:numFmt formatCode="General" sourceLinked="0"/>
            </c:trendlineLbl>
          </c:trendline>
          <c:xVal>
            <c:numRef>
              <c:f>'Collected Data Site 364'!$N$49:$N$72</c:f>
              <c:numCache>
                <c:formatCode>General</c:formatCode>
                <c:ptCount val="24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5</c:v>
                </c:pt>
                <c:pt idx="5">
                  <c:v>4.75</c:v>
                </c:pt>
                <c:pt idx="6">
                  <c:v>4.5</c:v>
                </c:pt>
                <c:pt idx="7">
                  <c:v>4.25</c:v>
                </c:pt>
                <c:pt idx="8">
                  <c:v>4</c:v>
                </c:pt>
                <c:pt idx="9">
                  <c:v>3.75</c:v>
                </c:pt>
                <c:pt idx="10">
                  <c:v>3.5</c:v>
                </c:pt>
                <c:pt idx="11">
                  <c:v>3.25</c:v>
                </c:pt>
                <c:pt idx="12">
                  <c:v>3</c:v>
                </c:pt>
                <c:pt idx="13">
                  <c:v>2.75</c:v>
                </c:pt>
                <c:pt idx="14">
                  <c:v>2.5</c:v>
                </c:pt>
                <c:pt idx="15">
                  <c:v>2.25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</c:numCache>
            </c:numRef>
          </c:xVal>
          <c:yVal>
            <c:numRef>
              <c:f>'Collected Data Site 364'!$Q$49:$Q$72</c:f>
              <c:numCache>
                <c:formatCode>General</c:formatCode>
                <c:ptCount val="24"/>
                <c:pt idx="0">
                  <c:v>1.38</c:v>
                </c:pt>
                <c:pt idx="1">
                  <c:v>1.36</c:v>
                </c:pt>
                <c:pt idx="2">
                  <c:v>1.34</c:v>
                </c:pt>
                <c:pt idx="3">
                  <c:v>1.32</c:v>
                </c:pt>
                <c:pt idx="4">
                  <c:v>1.31</c:v>
                </c:pt>
                <c:pt idx="5">
                  <c:v>1.29</c:v>
                </c:pt>
                <c:pt idx="6">
                  <c:v>1.28</c:v>
                </c:pt>
                <c:pt idx="7">
                  <c:v>1.26</c:v>
                </c:pt>
                <c:pt idx="8">
                  <c:v>1.25</c:v>
                </c:pt>
                <c:pt idx="9">
                  <c:v>1.23</c:v>
                </c:pt>
                <c:pt idx="10">
                  <c:v>1.22</c:v>
                </c:pt>
                <c:pt idx="11">
                  <c:v>1.2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1.0900000000000001</c:v>
                </c:pt>
                <c:pt idx="18">
                  <c:v>1.06</c:v>
                </c:pt>
                <c:pt idx="19">
                  <c:v>1.05</c:v>
                </c:pt>
                <c:pt idx="20">
                  <c:v>1.01</c:v>
                </c:pt>
                <c:pt idx="21">
                  <c:v>0.98</c:v>
                </c:pt>
                <c:pt idx="22">
                  <c:v>0.94</c:v>
                </c:pt>
                <c:pt idx="23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5-417D-8C1D-06BF9BE8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73892"/>
        <c:axId val="864712619"/>
      </c:scatterChart>
      <c:valAx>
        <c:axId val="94937389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4712619"/>
        <c:crosses val="autoZero"/>
        <c:crossBetween val="midCat"/>
      </c:valAx>
      <c:valAx>
        <c:axId val="86471261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93738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76700" cy="2705100"/>
    <xdr:graphicFrame macro="">
      <xdr:nvGraphicFramePr>
        <xdr:cNvPr id="148397199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</xdr:colOff>
      <xdr:row>0</xdr:row>
      <xdr:rowOff>0</xdr:rowOff>
    </xdr:from>
    <xdr:ext cx="4086225" cy="2714625"/>
    <xdr:graphicFrame macro="">
      <xdr:nvGraphicFramePr>
        <xdr:cNvPr id="19663158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28575</xdr:colOff>
      <xdr:row>0</xdr:row>
      <xdr:rowOff>0</xdr:rowOff>
    </xdr:from>
    <xdr:ext cx="4086225" cy="2714625"/>
    <xdr:graphicFrame macro="">
      <xdr:nvGraphicFramePr>
        <xdr:cNvPr id="11101757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67175" cy="2714625"/>
    <xdr:graphicFrame macro="">
      <xdr:nvGraphicFramePr>
        <xdr:cNvPr id="182439527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105275" cy="2714625"/>
    <xdr:graphicFrame macro="">
      <xdr:nvGraphicFramePr>
        <xdr:cNvPr id="204251934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0</xdr:colOff>
      <xdr:row>15</xdr:row>
      <xdr:rowOff>0</xdr:rowOff>
    </xdr:from>
    <xdr:ext cx="4114800" cy="2714625"/>
    <xdr:graphicFrame macro="">
      <xdr:nvGraphicFramePr>
        <xdr:cNvPr id="105664056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067175" cy="2714625"/>
    <xdr:graphicFrame macro="">
      <xdr:nvGraphicFramePr>
        <xdr:cNvPr id="115252630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4076700" cy="2714625"/>
    <xdr:graphicFrame macro="">
      <xdr:nvGraphicFramePr>
        <xdr:cNvPr id="118461131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0</xdr:colOff>
      <xdr:row>30</xdr:row>
      <xdr:rowOff>0</xdr:rowOff>
    </xdr:from>
    <xdr:ext cx="4124325" cy="2714625"/>
    <xdr:graphicFrame macro="">
      <xdr:nvGraphicFramePr>
        <xdr:cNvPr id="207191776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67175" cy="2714625"/>
    <xdr:graphicFrame macro="">
      <xdr:nvGraphicFramePr>
        <xdr:cNvPr id="30450781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67175" cy="2714625"/>
    <xdr:graphicFrame macro="">
      <xdr:nvGraphicFramePr>
        <xdr:cNvPr id="106480677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67175" cy="2714625"/>
    <xdr:graphicFrame macro="">
      <xdr:nvGraphicFramePr>
        <xdr:cNvPr id="1878084221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67175" cy="2714625"/>
    <xdr:graphicFrame macro="">
      <xdr:nvGraphicFramePr>
        <xdr:cNvPr id="273263218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76700" cy="2714625"/>
    <xdr:graphicFrame macro="">
      <xdr:nvGraphicFramePr>
        <xdr:cNvPr id="172645683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0</xdr:colOff>
      <xdr:row>15</xdr:row>
      <xdr:rowOff>0</xdr:rowOff>
    </xdr:from>
    <xdr:ext cx="4067175" cy="2714625"/>
    <xdr:graphicFrame macro="">
      <xdr:nvGraphicFramePr>
        <xdr:cNvPr id="91064437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067175" cy="2714625"/>
    <xdr:graphicFrame macro="">
      <xdr:nvGraphicFramePr>
        <xdr:cNvPr id="31016388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4067175" cy="2714625"/>
    <xdr:graphicFrame macro="">
      <xdr:nvGraphicFramePr>
        <xdr:cNvPr id="774731119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0</xdr:colOff>
      <xdr:row>30</xdr:row>
      <xdr:rowOff>0</xdr:rowOff>
    </xdr:from>
    <xdr:ext cx="4067175" cy="2714625"/>
    <xdr:graphicFrame macro="">
      <xdr:nvGraphicFramePr>
        <xdr:cNvPr id="1411207284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67175" cy="2714625"/>
    <xdr:graphicFrame macro="">
      <xdr:nvGraphicFramePr>
        <xdr:cNvPr id="169441438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4067175" cy="2714625"/>
    <xdr:graphicFrame macro="">
      <xdr:nvGraphicFramePr>
        <xdr:cNvPr id="1696675403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67175" cy="2714625"/>
    <xdr:graphicFrame macro="">
      <xdr:nvGraphicFramePr>
        <xdr:cNvPr id="33639956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67175" cy="2714625"/>
    <xdr:graphicFrame macro="">
      <xdr:nvGraphicFramePr>
        <xdr:cNvPr id="1406149307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76700" cy="2714625"/>
    <xdr:graphicFrame macro="">
      <xdr:nvGraphicFramePr>
        <xdr:cNvPr id="360211305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0</xdr:colOff>
      <xdr:row>15</xdr:row>
      <xdr:rowOff>0</xdr:rowOff>
    </xdr:from>
    <xdr:ext cx="4067175" cy="2714625"/>
    <xdr:graphicFrame macro="">
      <xdr:nvGraphicFramePr>
        <xdr:cNvPr id="681669136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067175" cy="2714625"/>
    <xdr:graphicFrame macro="">
      <xdr:nvGraphicFramePr>
        <xdr:cNvPr id="292211038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4076700" cy="2714625"/>
    <xdr:graphicFrame macro="">
      <xdr:nvGraphicFramePr>
        <xdr:cNvPr id="1150574613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0</xdr:colOff>
      <xdr:row>30</xdr:row>
      <xdr:rowOff>0</xdr:rowOff>
    </xdr:from>
    <xdr:ext cx="4095750" cy="2714625"/>
    <xdr:graphicFrame macro="">
      <xdr:nvGraphicFramePr>
        <xdr:cNvPr id="1464704671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76700" cy="2714625"/>
    <xdr:graphicFrame macro="">
      <xdr:nvGraphicFramePr>
        <xdr:cNvPr id="779518437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</xdr:colOff>
      <xdr:row>0</xdr:row>
      <xdr:rowOff>0</xdr:rowOff>
    </xdr:from>
    <xdr:ext cx="4067175" cy="2714625"/>
    <xdr:graphicFrame macro="">
      <xdr:nvGraphicFramePr>
        <xdr:cNvPr id="28890260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4086225" cy="2714625"/>
    <xdr:graphicFrame macro="">
      <xdr:nvGraphicFramePr>
        <xdr:cNvPr id="222847727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095750" cy="2714625"/>
    <xdr:graphicFrame macro="">
      <xdr:nvGraphicFramePr>
        <xdr:cNvPr id="1913668420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15</xdr:row>
      <xdr:rowOff>0</xdr:rowOff>
    </xdr:from>
    <xdr:ext cx="4076700" cy="2714625"/>
    <xdr:graphicFrame macro="">
      <xdr:nvGraphicFramePr>
        <xdr:cNvPr id="231490694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0</xdr:colOff>
      <xdr:row>15</xdr:row>
      <xdr:rowOff>0</xdr:rowOff>
    </xdr:from>
    <xdr:ext cx="4086225" cy="2714625"/>
    <xdr:graphicFrame macro="">
      <xdr:nvGraphicFramePr>
        <xdr:cNvPr id="156956549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067175" cy="2714625"/>
    <xdr:graphicFrame macro="">
      <xdr:nvGraphicFramePr>
        <xdr:cNvPr id="51649878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4076700" cy="2714625"/>
    <xdr:graphicFrame macro="">
      <xdr:nvGraphicFramePr>
        <xdr:cNvPr id="2109602399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0</xdr:colOff>
      <xdr:row>30</xdr:row>
      <xdr:rowOff>0</xdr:rowOff>
    </xdr:from>
    <xdr:ext cx="4095750" cy="2714625"/>
    <xdr:graphicFrame macro="">
      <xdr:nvGraphicFramePr>
        <xdr:cNvPr id="1120686101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0"/>
  <sheetViews>
    <sheetView workbookViewId="0">
      <selection activeCell="V1" sqref="V1:V1048576"/>
    </sheetView>
  </sheetViews>
  <sheetFormatPr defaultColWidth="12.59765625" defaultRowHeight="15" customHeight="1" x14ac:dyDescent="0.25"/>
  <cols>
    <col min="1" max="1" width="7.59765625" customWidth="1"/>
    <col min="2" max="2" width="20.69921875" customWidth="1"/>
    <col min="3" max="3" width="9.19921875" customWidth="1"/>
    <col min="4" max="4" width="8.59765625" customWidth="1"/>
    <col min="5" max="5" width="8.5" customWidth="1"/>
    <col min="6" max="6" width="11.59765625" customWidth="1"/>
    <col min="7" max="7" width="7.59765625" customWidth="1"/>
    <col min="8" max="8" width="20.69921875" customWidth="1"/>
    <col min="9" max="9" width="9.19921875" customWidth="1"/>
    <col min="10" max="10" width="8.59765625" customWidth="1"/>
    <col min="11" max="11" width="8.5" customWidth="1"/>
    <col min="12" max="12" width="11.59765625" customWidth="1"/>
    <col min="13" max="13" width="7.59765625" customWidth="1"/>
    <col min="14" max="14" width="20.69921875" customWidth="1"/>
    <col min="15" max="15" width="9.19921875" customWidth="1"/>
    <col min="16" max="16" width="8.59765625" customWidth="1"/>
    <col min="17" max="17" width="8.5" customWidth="1"/>
    <col min="18" max="18" width="11.59765625" customWidth="1"/>
    <col min="19" max="21" width="7.59765625" customWidth="1"/>
    <col min="22" max="22" width="11.59765625" customWidth="1"/>
    <col min="23" max="26" width="7.59765625" customWidth="1"/>
  </cols>
  <sheetData>
    <row r="1" spans="2:22" ht="14.25" customHeight="1" x14ac:dyDescent="0.25"/>
    <row r="2" spans="2:22" ht="14.25" customHeight="1" x14ac:dyDescent="0.3">
      <c r="B2" s="1" t="s">
        <v>0</v>
      </c>
      <c r="C2" s="2">
        <v>364</v>
      </c>
      <c r="D2" s="2"/>
      <c r="E2" s="2"/>
      <c r="F2" s="2"/>
      <c r="H2" s="1" t="s">
        <v>0</v>
      </c>
      <c r="I2" s="2">
        <v>364</v>
      </c>
      <c r="J2" s="2"/>
      <c r="K2" s="2"/>
      <c r="L2" s="2"/>
      <c r="N2" s="1" t="s">
        <v>0</v>
      </c>
      <c r="O2" s="2">
        <v>364</v>
      </c>
      <c r="P2" s="2"/>
      <c r="Q2" s="2"/>
      <c r="R2" s="2"/>
    </row>
    <row r="3" spans="2:22" ht="14.25" customHeight="1" x14ac:dyDescent="0.3">
      <c r="B3" s="3" t="s">
        <v>1</v>
      </c>
      <c r="C3" s="2">
        <v>11.28</v>
      </c>
      <c r="D3" s="2"/>
      <c r="E3" s="2"/>
      <c r="F3" s="2"/>
      <c r="H3" s="3" t="s">
        <v>1</v>
      </c>
      <c r="I3" s="2">
        <v>43.22</v>
      </c>
      <c r="J3" s="2"/>
      <c r="K3" s="2"/>
      <c r="L3" s="2"/>
      <c r="N3" s="3" t="s">
        <v>1</v>
      </c>
      <c r="O3" s="2">
        <v>88.32</v>
      </c>
      <c r="P3" s="2"/>
      <c r="Q3" s="2"/>
      <c r="R3" s="2"/>
    </row>
    <row r="4" spans="2:22" ht="14.25" customHeight="1" x14ac:dyDescent="0.3">
      <c r="B4" s="2"/>
      <c r="C4" s="2"/>
      <c r="D4" s="2"/>
      <c r="E4" s="2"/>
      <c r="F4" s="2"/>
      <c r="H4" s="2"/>
      <c r="I4" s="2"/>
      <c r="J4" s="2"/>
      <c r="K4" s="2"/>
      <c r="L4" s="2"/>
      <c r="N4" s="2"/>
      <c r="O4" s="2"/>
      <c r="P4" s="2"/>
      <c r="Q4" s="2"/>
      <c r="R4" s="2"/>
    </row>
    <row r="5" spans="2:22" ht="14.25" customHeight="1" x14ac:dyDescent="0.3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4"/>
      <c r="H5" s="3" t="s">
        <v>2</v>
      </c>
      <c r="I5" s="3" t="s">
        <v>3</v>
      </c>
      <c r="J5" s="3" t="s">
        <v>4</v>
      </c>
      <c r="K5" s="3" t="s">
        <v>5</v>
      </c>
      <c r="L5" s="3" t="s">
        <v>6</v>
      </c>
      <c r="M5" s="4"/>
      <c r="N5" s="3" t="s">
        <v>2</v>
      </c>
      <c r="O5" s="3" t="s">
        <v>3</v>
      </c>
      <c r="P5" s="3" t="s">
        <v>4</v>
      </c>
      <c r="Q5" s="3" t="s">
        <v>5</v>
      </c>
      <c r="R5" s="3" t="s">
        <v>6</v>
      </c>
      <c r="S5" s="4"/>
      <c r="V5" s="5"/>
    </row>
    <row r="6" spans="2:22" ht="14.25" customHeight="1" x14ac:dyDescent="0.3">
      <c r="B6" s="6">
        <v>10</v>
      </c>
      <c r="C6" s="6">
        <f>2.87+0.08+11.32+0.61+0.01</f>
        <v>14.889999999999999</v>
      </c>
      <c r="D6" s="6">
        <f>12.16+1.58+15.46+3.99+0.81</f>
        <v>34.000000000000007</v>
      </c>
      <c r="E6" s="6">
        <v>1.05</v>
      </c>
      <c r="F6" s="6">
        <f t="shared" ref="F6:F15" si="0">B6/C6</f>
        <v>0.67159167226326399</v>
      </c>
      <c r="G6" s="7"/>
      <c r="H6" s="6">
        <v>11</v>
      </c>
      <c r="I6" s="6">
        <f>11.29+0.06+15.48+0.05+1.7</f>
        <v>28.58</v>
      </c>
      <c r="J6" s="6">
        <f>34.26+2.33+16.12+1.14+11.04+0.32</f>
        <v>65.20999999999998</v>
      </c>
      <c r="K6" s="6">
        <v>1.21</v>
      </c>
      <c r="L6" s="6">
        <f t="shared" ref="L6:L16" si="1">H6/I6</f>
        <v>0.38488453463960814</v>
      </c>
      <c r="M6" s="7"/>
      <c r="N6" s="6">
        <v>11</v>
      </c>
      <c r="O6" s="6">
        <f>15.5+13.76+0.16+23.34</f>
        <v>52.76</v>
      </c>
      <c r="P6" s="6">
        <f>41.84+16.41+2.58+52.69</f>
        <v>113.52</v>
      </c>
      <c r="Q6" s="6">
        <v>1.3</v>
      </c>
      <c r="R6" s="6">
        <f t="shared" ref="R6:R16" si="2">N6/O6</f>
        <v>0.20849128127369221</v>
      </c>
      <c r="S6" s="7"/>
      <c r="V6" s="8"/>
    </row>
    <row r="7" spans="2:22" ht="14.25" customHeight="1" x14ac:dyDescent="0.3">
      <c r="B7" s="6">
        <v>9</v>
      </c>
      <c r="C7" s="6">
        <f>2.27+0.02+10.55+0.44</f>
        <v>13.28</v>
      </c>
      <c r="D7" s="6">
        <f>11.59+0.75+15.06+3.06</f>
        <v>30.459999999999997</v>
      </c>
      <c r="E7" s="6">
        <v>1</v>
      </c>
      <c r="F7" s="6">
        <f t="shared" si="0"/>
        <v>0.67771084337349397</v>
      </c>
      <c r="G7" s="7"/>
      <c r="H7" s="6">
        <v>10</v>
      </c>
      <c r="I7" s="6">
        <f>9.64+14.75+1.17+0.01</f>
        <v>25.570000000000004</v>
      </c>
      <c r="J7" s="6">
        <f>32.53+15.75+10.06+0.19+0.23+0.42</f>
        <v>59.18</v>
      </c>
      <c r="K7" s="6">
        <v>1.1599999999999999</v>
      </c>
      <c r="L7" s="6">
        <f t="shared" si="1"/>
        <v>0.39108330074305819</v>
      </c>
      <c r="M7" s="7"/>
      <c r="N7" s="6">
        <v>10</v>
      </c>
      <c r="O7" s="6">
        <f>13.5+0.07+13.07+0.06+20.86</f>
        <v>47.56</v>
      </c>
      <c r="P7" s="6">
        <f>39.34+1.47+13+1.32+52.42</f>
        <v>107.55000000000001</v>
      </c>
      <c r="Q7" s="6">
        <v>1.26</v>
      </c>
      <c r="R7" s="6">
        <f t="shared" si="2"/>
        <v>0.21026072329688814</v>
      </c>
      <c r="S7" s="7"/>
      <c r="V7" s="8"/>
    </row>
    <row r="8" spans="2:22" ht="14.25" customHeight="1" x14ac:dyDescent="0.3">
      <c r="B8" s="6">
        <v>8</v>
      </c>
      <c r="C8" s="6">
        <f>1.78+0.02+9.89+0.31</f>
        <v>12.000000000000002</v>
      </c>
      <c r="D8" s="6">
        <f>9.7+1.21+14.61+2.75</f>
        <v>28.27</v>
      </c>
      <c r="E8" s="6">
        <v>0.96</v>
      </c>
      <c r="F8" s="6">
        <f t="shared" si="0"/>
        <v>0.66666666666666652</v>
      </c>
      <c r="G8" s="7"/>
      <c r="H8" s="6">
        <v>9</v>
      </c>
      <c r="I8" s="6">
        <f>8.11+14.11+0.71</f>
        <v>22.93</v>
      </c>
      <c r="J8" s="6">
        <f>32.31+14.11+9</f>
        <v>55.42</v>
      </c>
      <c r="K8" s="6">
        <v>1.1100000000000001</v>
      </c>
      <c r="L8" s="6">
        <f t="shared" si="1"/>
        <v>0.39249890972525076</v>
      </c>
      <c r="M8" s="7"/>
      <c r="N8" s="6">
        <v>9</v>
      </c>
      <c r="O8" s="6">
        <f>11.56+0.12+0.01+12.52+0.02+18.41</f>
        <v>42.64</v>
      </c>
      <c r="P8" s="6">
        <f>35.35+2.91+0.71+12.92+0.77+52.42</f>
        <v>105.08000000000001</v>
      </c>
      <c r="Q8" s="6">
        <v>1.21</v>
      </c>
      <c r="R8" s="6">
        <f t="shared" si="2"/>
        <v>0.21106941838649154</v>
      </c>
      <c r="S8" s="7"/>
      <c r="V8" s="8"/>
    </row>
    <row r="9" spans="2:22" ht="14.25" customHeight="1" x14ac:dyDescent="0.3">
      <c r="B9" s="6">
        <v>7</v>
      </c>
      <c r="C9" s="6">
        <f>1.19+0.02+0.02+9.13+0.17</f>
        <v>10.530000000000001</v>
      </c>
      <c r="D9" s="6">
        <f>6.4+0.51+1.11+14.07+2.32</f>
        <v>24.41</v>
      </c>
      <c r="E9" s="6">
        <v>0.91</v>
      </c>
      <c r="F9" s="6">
        <f t="shared" si="0"/>
        <v>0.66476733143399802</v>
      </c>
      <c r="G9" s="7"/>
      <c r="H9" s="6">
        <v>8</v>
      </c>
      <c r="I9" s="6">
        <f>6.75+13.36+0.37</f>
        <v>20.48</v>
      </c>
      <c r="J9" s="6">
        <f>31.03+15.42+6.11</f>
        <v>52.56</v>
      </c>
      <c r="K9" s="6">
        <v>1.06</v>
      </c>
      <c r="L9" s="6">
        <f t="shared" si="1"/>
        <v>0.390625</v>
      </c>
      <c r="M9" s="7"/>
      <c r="N9" s="6">
        <v>8</v>
      </c>
      <c r="O9" s="6">
        <f>10.23+0.02+11.85+16.22</f>
        <v>38.32</v>
      </c>
      <c r="P9" s="6">
        <f>35.27+1.62+12.76+52.04</f>
        <v>101.69</v>
      </c>
      <c r="Q9" s="6">
        <v>1.17</v>
      </c>
      <c r="R9" s="6">
        <f t="shared" si="2"/>
        <v>0.20876826722338204</v>
      </c>
      <c r="S9" s="7"/>
      <c r="V9" s="8"/>
    </row>
    <row r="10" spans="2:22" ht="14.25" customHeight="1" x14ac:dyDescent="0.3">
      <c r="B10" s="6">
        <v>6</v>
      </c>
      <c r="C10" s="6">
        <f>0.63+7.85+0.02</f>
        <v>8.5</v>
      </c>
      <c r="D10" s="6">
        <f>4.5+12.89+0.56</f>
        <v>17.95</v>
      </c>
      <c r="E10" s="6">
        <v>0.81</v>
      </c>
      <c r="F10" s="6">
        <f t="shared" si="0"/>
        <v>0.70588235294117652</v>
      </c>
      <c r="G10" s="7"/>
      <c r="H10" s="6">
        <v>7</v>
      </c>
      <c r="I10" s="6">
        <f>5+12.41+0.14</f>
        <v>17.55</v>
      </c>
      <c r="J10" s="6">
        <f>30.3+15.19+2.43</f>
        <v>47.92</v>
      </c>
      <c r="K10" s="6">
        <v>1</v>
      </c>
      <c r="L10" s="6">
        <f t="shared" si="1"/>
        <v>0.39886039886039887</v>
      </c>
      <c r="M10" s="7"/>
      <c r="N10" s="6">
        <v>7</v>
      </c>
      <c r="O10" s="6">
        <f>8.08+0.12+0.01+11.21+0.84+12.42</f>
        <v>32.68</v>
      </c>
      <c r="P10" s="6">
        <f>29.4+3.05+0.51+12.59+5.2+46.32</f>
        <v>97.07</v>
      </c>
      <c r="Q10" s="6">
        <v>1.1200000000000001</v>
      </c>
      <c r="R10" s="6">
        <f t="shared" si="2"/>
        <v>0.21419828641370869</v>
      </c>
      <c r="S10" s="7"/>
      <c r="V10" s="8"/>
    </row>
    <row r="11" spans="2:22" ht="14.25" customHeight="1" x14ac:dyDescent="0.3">
      <c r="B11" s="6">
        <v>5</v>
      </c>
      <c r="C11" s="6">
        <f>0.25+6.54</f>
        <v>6.79</v>
      </c>
      <c r="D11" s="6">
        <f>2.11+11.58</f>
        <v>13.69</v>
      </c>
      <c r="E11" s="6">
        <v>0.7</v>
      </c>
      <c r="F11" s="6">
        <f t="shared" si="0"/>
        <v>0.7363770250368189</v>
      </c>
      <c r="G11" s="7"/>
      <c r="H11" s="6">
        <v>6</v>
      </c>
      <c r="I11" s="6">
        <f>1.01+1.44+0.1+11.19</f>
        <v>13.74</v>
      </c>
      <c r="J11" s="6">
        <f>10.22+15.51+2.38+14.88</f>
        <v>42.99</v>
      </c>
      <c r="K11" s="6">
        <v>0.92</v>
      </c>
      <c r="L11" s="6">
        <f t="shared" si="1"/>
        <v>0.4366812227074236</v>
      </c>
      <c r="M11" s="7"/>
      <c r="N11" s="6">
        <v>6</v>
      </c>
      <c r="O11" s="6">
        <f>5.77+0.09+10.2+0.47+1.6+7.5</f>
        <v>25.63</v>
      </c>
      <c r="P11" s="6">
        <f>26.19+2.22+12.29+4.28+12.85+29.12</f>
        <v>86.95</v>
      </c>
      <c r="Q11" s="6">
        <v>1.03</v>
      </c>
      <c r="R11" s="6">
        <f t="shared" si="2"/>
        <v>0.23410066328521265</v>
      </c>
      <c r="S11" s="7"/>
      <c r="V11" s="8"/>
    </row>
    <row r="12" spans="2:22" ht="14.25" customHeight="1" x14ac:dyDescent="0.3">
      <c r="B12" s="6">
        <v>4</v>
      </c>
      <c r="C12" s="6">
        <f>0.11+5.72</f>
        <v>5.83</v>
      </c>
      <c r="D12" s="6">
        <f>1.83+11.32</f>
        <v>13.15</v>
      </c>
      <c r="E12" s="6">
        <v>0.62</v>
      </c>
      <c r="F12" s="6">
        <f t="shared" si="0"/>
        <v>0.68610634648370494</v>
      </c>
      <c r="G12" s="7"/>
      <c r="H12" s="6">
        <v>5</v>
      </c>
      <c r="I12" s="6">
        <f>0.18+0.02+0.06+0.03+0.16+9.55</f>
        <v>10</v>
      </c>
      <c r="J12" s="6">
        <f>2.18+1+1.61+0.69+2.93+14.56</f>
        <v>22.97</v>
      </c>
      <c r="K12" s="6">
        <v>0.81</v>
      </c>
      <c r="L12" s="6">
        <f t="shared" si="1"/>
        <v>0.5</v>
      </c>
      <c r="M12" s="7"/>
      <c r="N12" s="6">
        <v>5</v>
      </c>
      <c r="O12" s="6">
        <f>1.78+1.25+0.18+9.02+0.12+0.07+0.05+0.35+4.55</f>
        <v>17.37</v>
      </c>
      <c r="P12" s="6">
        <f>11.26+10.33+2.39+11.83+2.8+2.2+1.22+4.86+28.3</f>
        <v>75.19</v>
      </c>
      <c r="Q12" s="6">
        <v>0.94</v>
      </c>
      <c r="R12" s="6">
        <f t="shared" si="2"/>
        <v>0.28785261945883706</v>
      </c>
      <c r="S12" s="7"/>
      <c r="V12" s="8"/>
    </row>
    <row r="13" spans="2:22" ht="14.25" customHeight="1" x14ac:dyDescent="0.3">
      <c r="B13" s="6">
        <v>3</v>
      </c>
      <c r="C13" s="6">
        <v>4.59</v>
      </c>
      <c r="D13" s="6">
        <f>0.31+11.03</f>
        <v>11.34</v>
      </c>
      <c r="E13" s="6">
        <v>0.53</v>
      </c>
      <c r="F13" s="6">
        <f t="shared" si="0"/>
        <v>0.65359477124183007</v>
      </c>
      <c r="G13" s="7"/>
      <c r="H13" s="6">
        <v>4</v>
      </c>
      <c r="I13" s="6">
        <f>0.03+8.36</f>
        <v>8.3899999999999988</v>
      </c>
      <c r="J13" s="6">
        <f>1.03+14.41</f>
        <v>15.44</v>
      </c>
      <c r="K13" s="6">
        <v>0.73</v>
      </c>
      <c r="L13" s="6">
        <f t="shared" si="1"/>
        <v>0.47675804529201438</v>
      </c>
      <c r="M13" s="7"/>
      <c r="N13" s="6">
        <v>4</v>
      </c>
      <c r="O13" s="6">
        <f>0.23+0.65+0.51+0.01+0.03+8.09+0.08+0.04+1.99+0.33</f>
        <v>11.959999999999999</v>
      </c>
      <c r="P13" s="6">
        <f>3.07+6.55+4.6+1.13+1.15+11.83+1.58+1.47+18.72+2.42</f>
        <v>52.519999999999996</v>
      </c>
      <c r="Q13" s="6">
        <v>0.85</v>
      </c>
      <c r="R13" s="6">
        <f t="shared" si="2"/>
        <v>0.33444816053511706</v>
      </c>
      <c r="S13" s="7"/>
      <c r="V13" s="8"/>
    </row>
    <row r="14" spans="2:22" ht="14.25" customHeight="1" x14ac:dyDescent="0.3">
      <c r="B14" s="6">
        <v>2</v>
      </c>
      <c r="C14" s="6">
        <v>3.52</v>
      </c>
      <c r="D14" s="6">
        <v>10.57</v>
      </c>
      <c r="E14" s="6">
        <v>0.42</v>
      </c>
      <c r="F14" s="6">
        <f t="shared" si="0"/>
        <v>0.56818181818181823</v>
      </c>
      <c r="G14" s="7"/>
      <c r="H14" s="6">
        <v>3</v>
      </c>
      <c r="I14" s="6">
        <v>6.9</v>
      </c>
      <c r="J14" s="6">
        <v>14.09</v>
      </c>
      <c r="K14" s="6">
        <v>0.63</v>
      </c>
      <c r="L14" s="6">
        <f t="shared" si="1"/>
        <v>0.43478260869565216</v>
      </c>
      <c r="M14" s="7"/>
      <c r="N14" s="6">
        <v>3</v>
      </c>
      <c r="O14" s="6">
        <f>0.06+0.16+0.15+6.71+0.03+0.04+0.03+0.13+0.21+0.12</f>
        <v>7.6400000000000006</v>
      </c>
      <c r="P14" s="6">
        <f>0.66+2.97+2.21+11.41+0.93+1.06+0.66+3.1+4.85+1.21</f>
        <v>29.060000000000002</v>
      </c>
      <c r="Q14" s="6">
        <v>0.75</v>
      </c>
      <c r="R14" s="6">
        <f t="shared" si="2"/>
        <v>0.3926701570680628</v>
      </c>
      <c r="S14" s="7"/>
      <c r="V14" s="8"/>
    </row>
    <row r="15" spans="2:22" ht="14.25" customHeight="1" x14ac:dyDescent="0.3">
      <c r="B15" s="6">
        <v>1</v>
      </c>
      <c r="C15" s="6">
        <v>2.27</v>
      </c>
      <c r="D15" s="6">
        <v>10.14</v>
      </c>
      <c r="E15" s="6">
        <v>0.3</v>
      </c>
      <c r="F15" s="6">
        <f t="shared" si="0"/>
        <v>0.44052863436123346</v>
      </c>
      <c r="G15" s="7"/>
      <c r="H15" s="6">
        <v>2</v>
      </c>
      <c r="I15" s="6">
        <v>5.47</v>
      </c>
      <c r="J15" s="6">
        <v>13.79</v>
      </c>
      <c r="K15" s="6">
        <v>0.52</v>
      </c>
      <c r="L15" s="6">
        <f t="shared" si="1"/>
        <v>0.3656307129798903</v>
      </c>
      <c r="M15" s="7"/>
      <c r="N15" s="6">
        <v>2</v>
      </c>
      <c r="O15" s="6">
        <f>0.01+5.44+0.02</f>
        <v>5.47</v>
      </c>
      <c r="P15" s="6">
        <f>0.29+11.23+0.55</f>
        <v>12.07</v>
      </c>
      <c r="Q15" s="6">
        <v>0.63</v>
      </c>
      <c r="R15" s="6">
        <f t="shared" si="2"/>
        <v>0.3656307129798903</v>
      </c>
      <c r="S15" s="7"/>
      <c r="V15" s="8"/>
    </row>
    <row r="16" spans="2:22" ht="14.25" customHeight="1" x14ac:dyDescent="0.3">
      <c r="H16" s="6">
        <v>1</v>
      </c>
      <c r="I16" s="6">
        <v>3.76</v>
      </c>
      <c r="J16" s="6">
        <v>13.04</v>
      </c>
      <c r="K16" s="6">
        <v>0.4</v>
      </c>
      <c r="L16" s="6">
        <f t="shared" si="1"/>
        <v>0.26595744680851063</v>
      </c>
      <c r="M16" s="7"/>
      <c r="N16" s="6">
        <v>1</v>
      </c>
      <c r="O16" s="6">
        <v>4</v>
      </c>
      <c r="P16" s="6">
        <v>10.96</v>
      </c>
      <c r="Q16" s="6">
        <v>0.49</v>
      </c>
      <c r="R16" s="6">
        <f t="shared" si="2"/>
        <v>0.25</v>
      </c>
      <c r="S16" s="7"/>
      <c r="V16" s="8"/>
    </row>
    <row r="17" spans="2:22" ht="14.25" customHeight="1" x14ac:dyDescent="0.3">
      <c r="V17" s="8"/>
    </row>
    <row r="18" spans="2:22" ht="14.25" customHeight="1" x14ac:dyDescent="0.3">
      <c r="V18" s="8"/>
    </row>
    <row r="19" spans="2:22" ht="14.25" customHeight="1" x14ac:dyDescent="0.3">
      <c r="B19" s="1" t="s">
        <v>0</v>
      </c>
      <c r="C19" s="2">
        <v>364</v>
      </c>
      <c r="D19" s="2"/>
      <c r="E19" s="2"/>
      <c r="F19" s="2"/>
      <c r="H19" s="1" t="s">
        <v>0</v>
      </c>
      <c r="I19" s="2">
        <v>364</v>
      </c>
      <c r="J19" s="2"/>
      <c r="K19" s="2"/>
      <c r="L19" s="2"/>
      <c r="N19" s="1" t="s">
        <v>0</v>
      </c>
      <c r="O19" s="2">
        <v>364</v>
      </c>
      <c r="P19" s="2"/>
      <c r="Q19" s="2"/>
      <c r="R19" s="2"/>
      <c r="V19" s="8"/>
    </row>
    <row r="20" spans="2:22" ht="14.25" customHeight="1" x14ac:dyDescent="0.3">
      <c r="B20" s="3" t="s">
        <v>1</v>
      </c>
      <c r="C20" s="2">
        <v>146.24</v>
      </c>
      <c r="D20" s="2"/>
      <c r="E20" s="2"/>
      <c r="F20" s="2"/>
      <c r="H20" s="3" t="s">
        <v>1</v>
      </c>
      <c r="I20" s="2">
        <v>189.66</v>
      </c>
      <c r="J20" s="2"/>
      <c r="K20" s="2"/>
      <c r="L20" s="2"/>
      <c r="N20" s="3" t="s">
        <v>1</v>
      </c>
      <c r="O20" s="2">
        <v>225.06</v>
      </c>
      <c r="P20" s="2"/>
      <c r="Q20" s="2"/>
      <c r="R20" s="2"/>
      <c r="V20" s="8"/>
    </row>
    <row r="21" spans="2:22" ht="14.25" customHeight="1" x14ac:dyDescent="0.3">
      <c r="B21" s="2"/>
      <c r="C21" s="2"/>
      <c r="D21" s="2"/>
      <c r="E21" s="2"/>
      <c r="F21" s="2"/>
      <c r="H21" s="2"/>
      <c r="I21" s="2"/>
      <c r="J21" s="2"/>
      <c r="K21" s="2"/>
      <c r="L21" s="2"/>
      <c r="N21" s="2"/>
      <c r="O21" s="2"/>
      <c r="P21" s="2"/>
      <c r="Q21" s="2"/>
      <c r="R21" s="2"/>
      <c r="V21" s="8"/>
    </row>
    <row r="22" spans="2:22" ht="14.25" customHeight="1" x14ac:dyDescent="0.3"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4"/>
      <c r="H22" s="3" t="s">
        <v>2</v>
      </c>
      <c r="I22" s="3" t="s">
        <v>3</v>
      </c>
      <c r="J22" s="3" t="s">
        <v>4</v>
      </c>
      <c r="K22" s="3" t="s">
        <v>5</v>
      </c>
      <c r="L22" s="3" t="s">
        <v>6</v>
      </c>
      <c r="M22" s="4"/>
      <c r="N22" s="3" t="s">
        <v>2</v>
      </c>
      <c r="O22" s="3" t="s">
        <v>3</v>
      </c>
      <c r="P22" s="3" t="s">
        <v>4</v>
      </c>
      <c r="Q22" s="3" t="s">
        <v>5</v>
      </c>
      <c r="R22" s="3" t="s">
        <v>6</v>
      </c>
      <c r="S22" s="4"/>
      <c r="V22" s="8"/>
    </row>
    <row r="23" spans="2:22" ht="14.25" customHeight="1" x14ac:dyDescent="0.3">
      <c r="B23" s="6">
        <v>8</v>
      </c>
      <c r="C23" s="6">
        <f>13.82+14.01+0.16+0.04+20.33</f>
        <v>48.36</v>
      </c>
      <c r="D23" s="6">
        <f>32.35+14.82+3.02+1.13+48.51</f>
        <v>99.830000000000013</v>
      </c>
      <c r="E23" s="6">
        <v>1.26</v>
      </c>
      <c r="F23" s="6">
        <f t="shared" ref="F23:F38" si="3">B23/C23</f>
        <v>0.16542597187758479</v>
      </c>
      <c r="G23" s="7"/>
      <c r="H23" s="6">
        <v>8</v>
      </c>
      <c r="I23" s="6">
        <f>25.63+13+0.02+0.07+0.05+0.25+0.35+0.07+0.15+1.14</f>
        <v>40.729999999999997</v>
      </c>
      <c r="J23" s="6">
        <f>49.64+15.87+0.68+1.59+1.43+4.61+3.49+2.24+2.23+6.25</f>
        <v>88.030000000000015</v>
      </c>
      <c r="K23" s="6">
        <v>1.29</v>
      </c>
      <c r="L23" s="6">
        <f t="shared" ref="L23:L38" si="4">H23/I23</f>
        <v>0.19641541861036094</v>
      </c>
      <c r="M23" s="7"/>
      <c r="N23" s="6">
        <v>4</v>
      </c>
      <c r="O23" s="6">
        <f>7.76+0.01+7.58+0.04+0.04</f>
        <v>15.429999999999998</v>
      </c>
      <c r="P23" s="6">
        <f>31.76+0.72+12+1.09+1.49</f>
        <v>47.060000000000009</v>
      </c>
      <c r="Q23" s="6">
        <v>1.08</v>
      </c>
      <c r="R23" s="6">
        <f t="shared" ref="R23:R42" si="5">N23/O23</f>
        <v>0.25923525599481534</v>
      </c>
      <c r="S23" s="7"/>
      <c r="V23" s="8"/>
    </row>
    <row r="24" spans="2:22" ht="14.25" customHeight="1" x14ac:dyDescent="0.3">
      <c r="B24" s="6">
        <v>7.5</v>
      </c>
      <c r="C24" s="6">
        <f>12.87+13.76+0.09+0.02+19.02</f>
        <v>45.76</v>
      </c>
      <c r="D24" s="6">
        <f>32.07+14.32+2.34+0.71+48.45</f>
        <v>97.890000000000015</v>
      </c>
      <c r="E24" s="6">
        <v>1.24</v>
      </c>
      <c r="F24" s="6">
        <f t="shared" si="3"/>
        <v>0.16389860139860141</v>
      </c>
      <c r="G24" s="7"/>
      <c r="H24" s="6">
        <v>7.5</v>
      </c>
      <c r="I24" s="6">
        <f>24.35+0.02+12.51+0.04+0.02+0.06+0.08+0.27+0.02+0.09+0.98</f>
        <v>38.440000000000012</v>
      </c>
      <c r="J24" s="6">
        <f>47.04+1.99+15.72+1.19+0.71+1.77+2.19+2.83+1.39+1.79+5.99</f>
        <v>82.609999999999985</v>
      </c>
      <c r="K24" s="6">
        <v>1.26</v>
      </c>
      <c r="L24" s="6">
        <f t="shared" si="4"/>
        <v>0.19510926118626426</v>
      </c>
      <c r="M24" s="7"/>
      <c r="N24" s="6">
        <v>3.8</v>
      </c>
      <c r="O24" s="6">
        <f>7.21+7.37+0.02+0.02</f>
        <v>14.62</v>
      </c>
      <c r="P24" s="6">
        <f>30.4+11.85+0.84+1.17</f>
        <v>44.260000000000005</v>
      </c>
      <c r="Q24" s="6">
        <v>1.07</v>
      </c>
      <c r="R24" s="6">
        <f t="shared" si="5"/>
        <v>0.25991792065663477</v>
      </c>
      <c r="S24" s="7"/>
      <c r="V24" s="8"/>
    </row>
    <row r="25" spans="2:22" ht="14.25" customHeight="1" x14ac:dyDescent="0.3">
      <c r="B25" s="6">
        <v>7</v>
      </c>
      <c r="C25" s="6">
        <f>12.04+13.22+0.03+17.6</f>
        <v>42.89</v>
      </c>
      <c r="D25" s="6">
        <f>31.13+14.18+1.45+48.28</f>
        <v>95.04</v>
      </c>
      <c r="E25" s="6">
        <v>1.21</v>
      </c>
      <c r="F25" s="6">
        <f t="shared" si="3"/>
        <v>0.16320820704126837</v>
      </c>
      <c r="G25" s="7"/>
      <c r="H25" s="6">
        <v>7</v>
      </c>
      <c r="I25" s="6">
        <f>23.06+12.14+0.01+0.02+0.03+0.19+0.05+0.8+0.02</f>
        <v>36.32</v>
      </c>
      <c r="J25" s="6">
        <f>46.69+15.6+0.72+1.25+1.46+2.53+1.29+4.96+0.41+0.46</f>
        <v>75.369999999999976</v>
      </c>
      <c r="K25" s="6">
        <v>1.24</v>
      </c>
      <c r="L25" s="6">
        <f t="shared" si="4"/>
        <v>0.19273127753303965</v>
      </c>
      <c r="M25" s="7"/>
      <c r="N25" s="6">
        <v>3.6</v>
      </c>
      <c r="O25" s="6">
        <f>6.7+7.12+0.01+0.01</f>
        <v>13.84</v>
      </c>
      <c r="P25" s="6">
        <f>30.23+11.77+0.56+0.62</f>
        <v>43.18</v>
      </c>
      <c r="Q25" s="6">
        <v>1.05</v>
      </c>
      <c r="R25" s="6">
        <f t="shared" si="5"/>
        <v>0.26011560693641622</v>
      </c>
      <c r="S25" s="7"/>
      <c r="V25" s="8"/>
    </row>
    <row r="26" spans="2:22" ht="14.25" customHeight="1" x14ac:dyDescent="0.3">
      <c r="B26" s="6">
        <v>6.5</v>
      </c>
      <c r="C26" s="6">
        <f>11+12.67+16.18</f>
        <v>39.85</v>
      </c>
      <c r="D26" s="6">
        <f>30.47+13.97+48.26</f>
        <v>92.699999999999989</v>
      </c>
      <c r="E26" s="6">
        <v>1.18</v>
      </c>
      <c r="F26" s="6">
        <f t="shared" si="3"/>
        <v>0.16311166875784189</v>
      </c>
      <c r="G26" s="7"/>
      <c r="H26" s="6">
        <v>6.5</v>
      </c>
      <c r="I26" s="6">
        <f>21.51+11.59+0.12+0.02+0.65</f>
        <v>33.89</v>
      </c>
      <c r="J26" s="6">
        <f>46.44+14.49+2.11+0.56+4.66</f>
        <v>68.260000000000005</v>
      </c>
      <c r="K26" s="6">
        <v>1.2</v>
      </c>
      <c r="L26" s="6">
        <f t="shared" si="4"/>
        <v>0.19179699026261435</v>
      </c>
      <c r="M26" s="7"/>
      <c r="N26" s="6">
        <v>3.4</v>
      </c>
      <c r="O26" s="6">
        <f>6+6.88</f>
        <v>12.879999999999999</v>
      </c>
      <c r="P26" s="6">
        <f>30.03+11.43</f>
        <v>41.46</v>
      </c>
      <c r="Q26" s="6">
        <v>1.03</v>
      </c>
      <c r="R26" s="6">
        <f t="shared" si="5"/>
        <v>0.2639751552795031</v>
      </c>
      <c r="S26" s="7"/>
      <c r="V26" s="8"/>
    </row>
    <row r="27" spans="2:22" ht="14.25" customHeight="1" x14ac:dyDescent="0.3">
      <c r="B27" s="6">
        <v>6</v>
      </c>
      <c r="C27" s="6">
        <f>9.72+12.16+14.1</f>
        <v>35.980000000000004</v>
      </c>
      <c r="D27" s="6">
        <f>30.08+13.53+47.98</f>
        <v>91.59</v>
      </c>
      <c r="E27" s="6">
        <v>1.1399999999999999</v>
      </c>
      <c r="F27" s="6">
        <f t="shared" si="3"/>
        <v>0.16675931072818231</v>
      </c>
      <c r="G27" s="7"/>
      <c r="H27" s="6">
        <v>6</v>
      </c>
      <c r="I27" s="6">
        <f>19.51+11.06+0.04+0.02+0.45</f>
        <v>31.08</v>
      </c>
      <c r="J27" s="6">
        <f>44.69+14.3+1.55+0.78+2.74</f>
        <v>64.059999999999988</v>
      </c>
      <c r="K27" s="6">
        <v>1.1599999999999999</v>
      </c>
      <c r="L27" s="6">
        <f t="shared" si="4"/>
        <v>0.19305019305019305</v>
      </c>
      <c r="M27" s="7"/>
      <c r="N27" s="6">
        <v>3.2</v>
      </c>
      <c r="O27" s="6">
        <f>5.3+0.08+6.67</f>
        <v>12.05</v>
      </c>
      <c r="P27" s="6">
        <f>26.87+2.78+11.2</f>
        <v>40.85</v>
      </c>
      <c r="Q27" s="6">
        <v>1</v>
      </c>
      <c r="R27" s="6">
        <f t="shared" si="5"/>
        <v>0.26556016597510373</v>
      </c>
      <c r="S27" s="7"/>
      <c r="V27" s="8"/>
    </row>
    <row r="28" spans="2:22" ht="14.25" customHeight="1" x14ac:dyDescent="0.3">
      <c r="B28" s="6">
        <v>5.5</v>
      </c>
      <c r="C28" s="6">
        <f>8.48+11.56+0.63+11.4</f>
        <v>32.07</v>
      </c>
      <c r="D28" s="6">
        <f>29.44+13.39+6.78+39.85</f>
        <v>89.460000000000008</v>
      </c>
      <c r="E28" s="6">
        <v>1.1000000000000001</v>
      </c>
      <c r="F28" s="6">
        <f t="shared" si="3"/>
        <v>0.17149984409105082</v>
      </c>
      <c r="G28" s="7"/>
      <c r="H28" s="6">
        <v>5.5</v>
      </c>
      <c r="I28" s="6">
        <f>17.7+10.46+0.35</f>
        <v>28.51</v>
      </c>
      <c r="J28" s="6">
        <f>43.73+14.5+2.31</f>
        <v>60.54</v>
      </c>
      <c r="K28" s="6">
        <v>1.1200000000000001</v>
      </c>
      <c r="L28" s="6">
        <f t="shared" si="4"/>
        <v>0.1929147667485093</v>
      </c>
      <c r="M28" s="7"/>
      <c r="N28" s="6">
        <v>3</v>
      </c>
      <c r="O28" s="6">
        <f>4.82+0.03+6.44</f>
        <v>11.290000000000001</v>
      </c>
      <c r="P28" s="6">
        <f>26.45+2.17+11.01</f>
        <v>39.629999999999995</v>
      </c>
      <c r="Q28" s="6">
        <v>0.99</v>
      </c>
      <c r="R28" s="6">
        <f t="shared" si="5"/>
        <v>0.26572187776793621</v>
      </c>
      <c r="S28" s="7"/>
      <c r="V28" s="8"/>
    </row>
    <row r="29" spans="2:22" ht="14.25" customHeight="1" x14ac:dyDescent="0.3">
      <c r="B29" s="6">
        <v>5</v>
      </c>
      <c r="C29" s="6">
        <f>6.99+10.92+0.34+9.41</f>
        <v>27.66</v>
      </c>
      <c r="D29" s="6">
        <f>28.68+12.81+4.73+39.7</f>
        <v>85.92</v>
      </c>
      <c r="E29" s="6">
        <v>1.04</v>
      </c>
      <c r="F29" s="6">
        <f t="shared" si="3"/>
        <v>0.18076644974692696</v>
      </c>
      <c r="G29" s="7"/>
      <c r="H29" s="6">
        <v>5</v>
      </c>
      <c r="I29" s="6">
        <f>15.7+9.78+0.25</f>
        <v>25.729999999999997</v>
      </c>
      <c r="J29" s="6">
        <f>43.05+13.8+1.84</f>
        <v>58.69</v>
      </c>
      <c r="K29" s="6">
        <v>1.07</v>
      </c>
      <c r="L29" s="6">
        <f t="shared" si="4"/>
        <v>0.19432568985619902</v>
      </c>
      <c r="M29" s="7"/>
      <c r="N29" s="6">
        <v>2.8</v>
      </c>
      <c r="O29" s="6">
        <f>3.95+0.37+6.22</f>
        <v>10.54</v>
      </c>
      <c r="P29" s="6">
        <f>19.64+6.25+10.86</f>
        <v>36.75</v>
      </c>
      <c r="Q29" s="6">
        <v>0.97</v>
      </c>
      <c r="R29" s="6">
        <f t="shared" si="5"/>
        <v>0.26565464895635676</v>
      </c>
      <c r="S29" s="7"/>
      <c r="V29" s="8"/>
    </row>
    <row r="30" spans="2:22" ht="14.25" customHeight="1" x14ac:dyDescent="0.3">
      <c r="B30" s="6">
        <v>4.5</v>
      </c>
      <c r="C30" s="6">
        <f>5.95+10.59+0.19+7.97</f>
        <v>24.7</v>
      </c>
      <c r="D30" s="6">
        <f>28.09+12.47+3.69+39.59</f>
        <v>83.84</v>
      </c>
      <c r="E30" s="6">
        <v>1.01</v>
      </c>
      <c r="F30" s="6">
        <f t="shared" si="3"/>
        <v>0.18218623481781376</v>
      </c>
      <c r="G30" s="7"/>
      <c r="H30" s="6">
        <v>4.5</v>
      </c>
      <c r="I30" s="6">
        <f>13.95+0.07+0.02+9.28+0.18</f>
        <v>23.5</v>
      </c>
      <c r="J30" s="6">
        <f>38.08+1.48+1.07+13.63+1.54</f>
        <v>55.8</v>
      </c>
      <c r="K30" s="6">
        <v>1.03</v>
      </c>
      <c r="L30" s="6">
        <f t="shared" si="4"/>
        <v>0.19148936170212766</v>
      </c>
      <c r="M30" s="7"/>
      <c r="N30" s="6">
        <v>2.6</v>
      </c>
      <c r="O30" s="6">
        <f>3.44+0.03+0.2+5.97</f>
        <v>9.64</v>
      </c>
      <c r="P30" s="6">
        <f>19.19+0.98+3.02+10.55</f>
        <v>33.74</v>
      </c>
      <c r="Q30" s="6">
        <v>0.94</v>
      </c>
      <c r="R30" s="6">
        <f t="shared" si="5"/>
        <v>0.26970954356846472</v>
      </c>
      <c r="S30" s="7"/>
      <c r="V30" s="8"/>
    </row>
    <row r="31" spans="2:22" ht="14.25" customHeight="1" x14ac:dyDescent="0.3">
      <c r="B31" s="6">
        <v>4</v>
      </c>
      <c r="C31" s="6">
        <f>4.82+9.86+0.05+0.85+5.48</f>
        <v>21.060000000000002</v>
      </c>
      <c r="D31" s="6">
        <f>27.4+12.07+2.82+6.48+33.05</f>
        <v>81.819999999999993</v>
      </c>
      <c r="E31" s="6">
        <v>0.96</v>
      </c>
      <c r="F31" s="6">
        <f t="shared" si="3"/>
        <v>0.18993352326685659</v>
      </c>
      <c r="G31" s="7"/>
      <c r="H31" s="6">
        <v>4</v>
      </c>
      <c r="I31" s="6">
        <f>12.35+0.02+8.74+0.12</f>
        <v>21.23</v>
      </c>
      <c r="J31" s="6">
        <f>37.76+0.87+13.42+1.3</f>
        <v>53.349999999999994</v>
      </c>
      <c r="K31" s="6">
        <v>0.99</v>
      </c>
      <c r="L31" s="6">
        <f t="shared" si="4"/>
        <v>0.18841262364578426</v>
      </c>
      <c r="M31" s="7"/>
      <c r="N31" s="6">
        <v>2.4</v>
      </c>
      <c r="O31" s="6">
        <f>2.7+0.3+0.01+0.14+5.74</f>
        <v>8.89</v>
      </c>
      <c r="P31" s="6">
        <f>13.87+4.42+0.51+2.45+10.4</f>
        <v>31.65</v>
      </c>
      <c r="Q31" s="6">
        <v>0.92</v>
      </c>
      <c r="R31" s="6">
        <f t="shared" si="5"/>
        <v>0.26996625421822268</v>
      </c>
      <c r="S31" s="7"/>
      <c r="V31" s="8"/>
    </row>
    <row r="32" spans="2:22" ht="14.25" customHeight="1" x14ac:dyDescent="0.3">
      <c r="B32" s="6">
        <v>3.5</v>
      </c>
      <c r="C32" s="6">
        <f>3.14+0.03+0.45+9.41+0.57+0.86+0.03+0.23+2.86</f>
        <v>17.580000000000002</v>
      </c>
      <c r="D32" s="6">
        <f>14.17+1.01+9.24+12.02+5.9+9.13+1.22+4+17.35</f>
        <v>74.039999999999992</v>
      </c>
      <c r="E32" s="6">
        <v>0.91</v>
      </c>
      <c r="F32" s="6">
        <f t="shared" si="3"/>
        <v>0.19908987485779292</v>
      </c>
      <c r="G32" s="7"/>
      <c r="H32" s="6">
        <v>3.5</v>
      </c>
      <c r="I32" s="6">
        <f>10.65+8.1+0.07</f>
        <v>18.82</v>
      </c>
      <c r="J32" s="6">
        <f>37.09+13.19+1.07</f>
        <v>51.35</v>
      </c>
      <c r="K32" s="6">
        <v>0.94</v>
      </c>
      <c r="L32" s="6">
        <f t="shared" si="4"/>
        <v>0.18597236981934112</v>
      </c>
      <c r="M32" s="7"/>
      <c r="N32" s="6">
        <v>2.2000000000000002</v>
      </c>
      <c r="O32" s="6">
        <f>2.32+0.14+0.05+0.08+5.44</f>
        <v>8.0300000000000011</v>
      </c>
      <c r="P32" s="6">
        <f>13.7+1.71+1.97+1.9+10.27</f>
        <v>29.549999999999997</v>
      </c>
      <c r="Q32" s="6">
        <v>0.89</v>
      </c>
      <c r="R32" s="6">
        <f t="shared" si="5"/>
        <v>0.27397260273972601</v>
      </c>
      <c r="S32" s="7"/>
      <c r="V32" s="8"/>
    </row>
    <row r="33" spans="2:22" ht="14.25" customHeight="1" x14ac:dyDescent="0.3">
      <c r="B33" s="6">
        <v>3</v>
      </c>
      <c r="C33" s="6">
        <f>2.46+0.05+0.01+0.01+8.78+0.13+0.16+0.13+0.25+0.03+0.02+0.03+1.96</f>
        <v>14.02</v>
      </c>
      <c r="D33" s="6">
        <f>12.44+1.07+0.88+0.89+12.04+2.03+2.53+2.2+4.1+1.15+1.41+1.16+16.95</f>
        <v>58.849999999999994</v>
      </c>
      <c r="E33" s="6">
        <v>0.86</v>
      </c>
      <c r="F33" s="6">
        <f t="shared" si="3"/>
        <v>0.21398002853067047</v>
      </c>
      <c r="G33" s="7"/>
      <c r="H33" s="6">
        <v>3</v>
      </c>
      <c r="I33" s="6">
        <f>8.92+7.44+0.03</f>
        <v>16.39</v>
      </c>
      <c r="J33" s="6">
        <f>35.09+12.91+0.68</f>
        <v>48.68</v>
      </c>
      <c r="K33" s="6">
        <v>0.89</v>
      </c>
      <c r="L33" s="6">
        <f t="shared" si="4"/>
        <v>0.1830384380719951</v>
      </c>
      <c r="M33" s="7"/>
      <c r="N33" s="6">
        <v>2</v>
      </c>
      <c r="O33" s="6">
        <f>1.79+0.2+0.1+0.01+0.04+5.16</f>
        <v>7.3</v>
      </c>
      <c r="P33" s="6">
        <f>10.2+3.01+1.43+0.81+1.42+10.15</f>
        <v>27.019999999999996</v>
      </c>
      <c r="Q33" s="6">
        <v>0.86</v>
      </c>
      <c r="R33" s="6">
        <f t="shared" si="5"/>
        <v>0.27397260273972601</v>
      </c>
      <c r="S33" s="7"/>
      <c r="V33" s="8"/>
    </row>
    <row r="34" spans="2:22" ht="14.25" customHeight="1" x14ac:dyDescent="0.3">
      <c r="B34" s="6">
        <v>2.5</v>
      </c>
      <c r="C34" s="6">
        <f>1.73+8.1+0.03+0.03+0.02+0.01+0.03+0.03+0.01+0.21+0.74</f>
        <v>10.939999999999998</v>
      </c>
      <c r="D34" s="6">
        <f>11.96+11.85+1.25+1.62+1.2+0.72+1.35+1.66+1.09+3.83+8.32</f>
        <v>44.85</v>
      </c>
      <c r="E34" s="6">
        <v>0.8</v>
      </c>
      <c r="F34" s="6">
        <f t="shared" si="3"/>
        <v>0.2285191956124315</v>
      </c>
      <c r="G34" s="7"/>
      <c r="H34" s="6">
        <v>2.5</v>
      </c>
      <c r="I34" s="6">
        <f>6.88+6.71</f>
        <v>13.59</v>
      </c>
      <c r="J34" s="6">
        <f>34.31+12.56</f>
        <v>46.870000000000005</v>
      </c>
      <c r="K34" s="6">
        <v>0.84</v>
      </c>
      <c r="L34" s="6">
        <f t="shared" si="4"/>
        <v>0.18395879323031641</v>
      </c>
      <c r="M34" s="7"/>
      <c r="N34" s="6">
        <v>1.8</v>
      </c>
      <c r="O34" s="6">
        <f>1.55+0.13+0.07+0.01+4.96</f>
        <v>6.7200000000000006</v>
      </c>
      <c r="P34" s="6">
        <f>9.91+2.63+1.15+0.39+0.37+10</f>
        <v>24.45</v>
      </c>
      <c r="Q34" s="6">
        <v>0.84</v>
      </c>
      <c r="R34" s="6">
        <f t="shared" si="5"/>
        <v>0.26785714285714285</v>
      </c>
      <c r="S34" s="7"/>
      <c r="V34" s="8"/>
    </row>
    <row r="35" spans="2:22" ht="14.25" customHeight="1" x14ac:dyDescent="0.3">
      <c r="B35" s="6">
        <v>2</v>
      </c>
      <c r="C35" s="6">
        <f>1.01+7.33+0.04+0.11+0.14</f>
        <v>8.629999999999999</v>
      </c>
      <c r="D35" s="6">
        <f>10.14+11.57+1.43+2.34+2.14</f>
        <v>27.62</v>
      </c>
      <c r="E35" s="6">
        <v>0.74</v>
      </c>
      <c r="F35" s="6">
        <f t="shared" si="3"/>
        <v>0.23174971031286212</v>
      </c>
      <c r="G35" s="7"/>
      <c r="H35" s="6">
        <v>2</v>
      </c>
      <c r="I35" s="6">
        <f>4.69+5.91</f>
        <v>10.600000000000001</v>
      </c>
      <c r="J35" s="6">
        <f>33.73+12.18</f>
        <v>45.91</v>
      </c>
      <c r="K35" s="6">
        <v>0.77</v>
      </c>
      <c r="L35" s="6">
        <f t="shared" si="4"/>
        <v>0.18867924528301885</v>
      </c>
      <c r="M35" s="7"/>
      <c r="N35" s="6">
        <v>1.6</v>
      </c>
      <c r="O35" s="6">
        <f>1.29+0.07+0.04+4.66</f>
        <v>6.0600000000000005</v>
      </c>
      <c r="P35" s="6">
        <f>9.56+1.57+0.89+9.9</f>
        <v>21.92</v>
      </c>
      <c r="Q35" s="6">
        <v>0.81</v>
      </c>
      <c r="R35" s="6">
        <f t="shared" si="5"/>
        <v>0.264026402640264</v>
      </c>
      <c r="S35" s="7"/>
      <c r="V35" s="8"/>
    </row>
    <row r="36" spans="2:22" ht="14.25" customHeight="1" x14ac:dyDescent="0.3">
      <c r="B36" s="6">
        <v>1.5</v>
      </c>
      <c r="C36" s="6">
        <f>0.21+0.07+0.12+6.5+0.01+0.02</f>
        <v>6.93</v>
      </c>
      <c r="D36" s="6">
        <f>2.22+2.21+2.56+11.32+0.53+1.49</f>
        <v>20.330000000000002</v>
      </c>
      <c r="E36" s="6">
        <v>0.67</v>
      </c>
      <c r="F36" s="6">
        <f t="shared" si="3"/>
        <v>0.21645021645021645</v>
      </c>
      <c r="G36" s="7"/>
      <c r="H36" s="6">
        <v>1.5</v>
      </c>
      <c r="I36" s="6">
        <f>1.16+0.05+1.01+0.29+5.1</f>
        <v>7.6099999999999994</v>
      </c>
      <c r="J36" s="6">
        <f>10.87+1.23+9.53+5.11+11.79</f>
        <v>38.53</v>
      </c>
      <c r="K36" s="6">
        <v>0.7</v>
      </c>
      <c r="L36" s="6">
        <f t="shared" si="4"/>
        <v>0.19710906701708281</v>
      </c>
      <c r="M36" s="7"/>
      <c r="N36" s="6">
        <v>1.4</v>
      </c>
      <c r="O36" s="6">
        <f>1.01+0.03+0.02+4.4</f>
        <v>5.4600000000000009</v>
      </c>
      <c r="P36" s="6">
        <f>9.2+1.17+0.62+9.69</f>
        <v>20.68</v>
      </c>
      <c r="Q36" s="6">
        <v>0.78</v>
      </c>
      <c r="R36" s="6">
        <f t="shared" si="5"/>
        <v>0.25641025641025633</v>
      </c>
      <c r="S36" s="7"/>
      <c r="V36" s="8"/>
    </row>
    <row r="37" spans="2:22" ht="14.25" customHeight="1" x14ac:dyDescent="0.3">
      <c r="B37" s="6">
        <v>1</v>
      </c>
      <c r="C37" s="6">
        <f>0.08+5.67</f>
        <v>5.75</v>
      </c>
      <c r="D37" s="6">
        <f>1.36+11.2</f>
        <v>12.559999999999999</v>
      </c>
      <c r="E37" s="6">
        <v>0.59</v>
      </c>
      <c r="F37" s="6">
        <f t="shared" si="3"/>
        <v>0.17391304347826086</v>
      </c>
      <c r="G37" s="7"/>
      <c r="H37" s="6">
        <v>1</v>
      </c>
      <c r="I37" s="6">
        <f>0.47+0.19+0.09+0.01+4.15</f>
        <v>4.91</v>
      </c>
      <c r="J37" s="6">
        <f>7.12+2.72+2.49+0.78+11.33</f>
        <v>24.439999999999998</v>
      </c>
      <c r="K37" s="6">
        <v>0.62</v>
      </c>
      <c r="L37" s="6">
        <f t="shared" si="4"/>
        <v>0.20366598778004072</v>
      </c>
      <c r="M37" s="7"/>
      <c r="N37" s="6">
        <v>1.2</v>
      </c>
      <c r="O37" s="6">
        <f>0.73+4.09</f>
        <v>4.82</v>
      </c>
      <c r="P37" s="6">
        <f>8.7+9.4</f>
        <v>18.100000000000001</v>
      </c>
      <c r="Q37" s="6">
        <v>0.75</v>
      </c>
      <c r="R37" s="6">
        <f t="shared" si="5"/>
        <v>0.24896265560165973</v>
      </c>
      <c r="S37" s="7"/>
      <c r="V37" s="8"/>
    </row>
    <row r="38" spans="2:22" ht="14.25" customHeight="1" x14ac:dyDescent="0.3">
      <c r="B38" s="6">
        <v>0.5</v>
      </c>
      <c r="C38" s="6">
        <v>4.62</v>
      </c>
      <c r="D38" s="6">
        <v>10.84</v>
      </c>
      <c r="E38" s="6">
        <v>0.5</v>
      </c>
      <c r="F38" s="6">
        <f t="shared" si="3"/>
        <v>0.10822510822510822</v>
      </c>
      <c r="G38" s="7"/>
      <c r="H38" s="6">
        <v>0.5</v>
      </c>
      <c r="I38" s="6">
        <f>0.04+0.02+0.15+2.94</f>
        <v>3.15</v>
      </c>
      <c r="J38" s="6">
        <f>1.48+0.84+1.86+8.1</f>
        <v>12.28</v>
      </c>
      <c r="K38" s="6">
        <v>0.52</v>
      </c>
      <c r="L38" s="6">
        <f t="shared" si="4"/>
        <v>0.15873015873015872</v>
      </c>
      <c r="M38" s="7"/>
      <c r="N38" s="6">
        <v>1</v>
      </c>
      <c r="O38" s="6">
        <f>0.43+0.01+3.79</f>
        <v>4.2300000000000004</v>
      </c>
      <c r="P38" s="6">
        <f>6.58+0.89+9.12</f>
        <v>16.59</v>
      </c>
      <c r="Q38" s="6">
        <v>0.72</v>
      </c>
      <c r="R38" s="6">
        <f t="shared" si="5"/>
        <v>0.23640661938534277</v>
      </c>
      <c r="S38" s="7"/>
      <c r="V38" s="8"/>
    </row>
    <row r="39" spans="2:22" ht="14.25" customHeight="1" x14ac:dyDescent="0.3">
      <c r="N39" s="6">
        <v>0.8</v>
      </c>
      <c r="O39" s="6">
        <f>0.19+3.42</f>
        <v>3.61</v>
      </c>
      <c r="P39" s="6">
        <f>6.02+8.82</f>
        <v>14.84</v>
      </c>
      <c r="Q39" s="6">
        <v>0.68</v>
      </c>
      <c r="R39" s="6">
        <f t="shared" si="5"/>
        <v>0.221606648199446</v>
      </c>
      <c r="S39" s="7"/>
      <c r="V39" s="8"/>
    </row>
    <row r="40" spans="2:22" ht="14.25" customHeight="1" x14ac:dyDescent="0.3">
      <c r="N40" s="6">
        <v>0.6</v>
      </c>
      <c r="O40" s="6">
        <f>0.02+3.05</f>
        <v>3.07</v>
      </c>
      <c r="P40" s="6">
        <f>0.95+8.44</f>
        <v>9.3899999999999988</v>
      </c>
      <c r="Q40" s="6">
        <v>0.64</v>
      </c>
      <c r="R40" s="6">
        <f t="shared" si="5"/>
        <v>0.19543973941368079</v>
      </c>
      <c r="S40" s="7"/>
      <c r="V40" s="8"/>
    </row>
    <row r="41" spans="2:22" ht="14.25" customHeight="1" x14ac:dyDescent="0.3">
      <c r="N41" s="6">
        <v>0.4</v>
      </c>
      <c r="O41" s="6">
        <v>2.64</v>
      </c>
      <c r="P41" s="6">
        <v>8.0299999999999994</v>
      </c>
      <c r="Q41" s="6">
        <v>0.59</v>
      </c>
      <c r="R41" s="6">
        <f t="shared" si="5"/>
        <v>0.15151515151515152</v>
      </c>
      <c r="S41" s="7"/>
      <c r="V41" s="8"/>
    </row>
    <row r="42" spans="2:22" ht="14.25" customHeight="1" x14ac:dyDescent="0.3">
      <c r="N42" s="6">
        <v>0.2</v>
      </c>
      <c r="O42" s="6">
        <v>2.1800000000000002</v>
      </c>
      <c r="P42" s="6">
        <v>7.56</v>
      </c>
      <c r="Q42" s="6">
        <v>0.53</v>
      </c>
      <c r="R42" s="6">
        <f t="shared" si="5"/>
        <v>9.1743119266055051E-2</v>
      </c>
      <c r="S42" s="7"/>
      <c r="V42" s="8"/>
    </row>
    <row r="43" spans="2:22" ht="14.25" customHeight="1" x14ac:dyDescent="0.3">
      <c r="V43" s="8"/>
    </row>
    <row r="44" spans="2:22" ht="14.25" customHeight="1" x14ac:dyDescent="0.3">
      <c r="V44" s="8"/>
    </row>
    <row r="45" spans="2:22" ht="14.25" customHeight="1" x14ac:dyDescent="0.3">
      <c r="B45" s="1" t="s">
        <v>0</v>
      </c>
      <c r="C45" s="2">
        <v>364</v>
      </c>
      <c r="D45" s="2"/>
      <c r="E45" s="2"/>
      <c r="F45" s="2"/>
      <c r="H45" s="1" t="s">
        <v>0</v>
      </c>
      <c r="I45" s="2">
        <v>364</v>
      </c>
      <c r="J45" s="2"/>
      <c r="K45" s="2"/>
      <c r="L45" s="2"/>
      <c r="N45" s="1" t="s">
        <v>0</v>
      </c>
      <c r="O45" s="2">
        <v>364</v>
      </c>
      <c r="P45" s="2"/>
      <c r="Q45" s="2"/>
      <c r="R45" s="2"/>
      <c r="V45" s="8"/>
    </row>
    <row r="46" spans="2:22" ht="14.25" customHeight="1" x14ac:dyDescent="0.3">
      <c r="B46" s="3" t="s">
        <v>1</v>
      </c>
      <c r="C46" s="2">
        <v>306.7</v>
      </c>
      <c r="D46" s="2"/>
      <c r="E46" s="2"/>
      <c r="F46" s="2"/>
      <c r="H46" s="3" t="s">
        <v>1</v>
      </c>
      <c r="I46" s="2">
        <v>362.94</v>
      </c>
      <c r="J46" s="2"/>
      <c r="K46" s="2"/>
      <c r="L46" s="2"/>
      <c r="N46" s="3" t="s">
        <v>1</v>
      </c>
      <c r="O46" s="2">
        <v>422.86</v>
      </c>
      <c r="P46" s="2"/>
      <c r="Q46" s="2"/>
      <c r="R46" s="2"/>
      <c r="V46" s="8"/>
    </row>
    <row r="47" spans="2:22" ht="14.25" customHeight="1" x14ac:dyDescent="0.3">
      <c r="B47" s="2"/>
      <c r="C47" s="2"/>
      <c r="D47" s="2"/>
      <c r="E47" s="2"/>
      <c r="F47" s="2"/>
      <c r="H47" s="2"/>
      <c r="I47" s="2"/>
      <c r="J47" s="2"/>
      <c r="K47" s="2"/>
      <c r="L47" s="2"/>
      <c r="N47" s="2"/>
      <c r="O47" s="2"/>
      <c r="P47" s="2"/>
      <c r="Q47" s="2"/>
      <c r="R47" s="2"/>
      <c r="V47" s="8"/>
    </row>
    <row r="48" spans="2:22" ht="14.25" customHeight="1" x14ac:dyDescent="0.3"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4"/>
      <c r="H48" s="3" t="s">
        <v>2</v>
      </c>
      <c r="I48" s="3" t="s">
        <v>3</v>
      </c>
      <c r="J48" s="3" t="s">
        <v>4</v>
      </c>
      <c r="K48" s="3" t="s">
        <v>5</v>
      </c>
      <c r="L48" s="3" t="s">
        <v>6</v>
      </c>
      <c r="M48" s="4"/>
      <c r="N48" s="3" t="s">
        <v>2</v>
      </c>
      <c r="O48" s="3" t="s">
        <v>3</v>
      </c>
      <c r="P48" s="3" t="s">
        <v>4</v>
      </c>
      <c r="Q48" s="3" t="s">
        <v>5</v>
      </c>
      <c r="R48" s="3" t="s">
        <v>6</v>
      </c>
      <c r="S48" s="4"/>
      <c r="V48" s="8"/>
    </row>
    <row r="49" spans="2:22" ht="14.25" customHeight="1" x14ac:dyDescent="0.3">
      <c r="B49" s="6">
        <v>250</v>
      </c>
      <c r="C49" s="6">
        <v>90.59</v>
      </c>
      <c r="D49" s="6">
        <v>49.47</v>
      </c>
      <c r="E49" s="6">
        <v>2.85</v>
      </c>
      <c r="F49" s="6">
        <f t="shared" ref="F49:F73" si="6">B49/C49</f>
        <v>2.7596864996136437</v>
      </c>
      <c r="G49" s="7"/>
      <c r="H49" s="6">
        <v>6</v>
      </c>
      <c r="I49" s="6">
        <f>9.83+0.04+0.01+0.01+25.21+0.17+0.02+0.02+0.03+4.12</f>
        <v>39.460000000000008</v>
      </c>
      <c r="J49" s="6">
        <f>34.33+1.86+0.56+0.86+23.62+3.96+1.09+1.26+0.78+14.27</f>
        <v>82.59</v>
      </c>
      <c r="K49" s="6">
        <v>1.32</v>
      </c>
      <c r="L49" s="6">
        <f t="shared" ref="L49:L72" si="7">H49/I49</f>
        <v>0.15205271160669029</v>
      </c>
      <c r="M49" s="7"/>
      <c r="N49" s="6">
        <v>6</v>
      </c>
      <c r="O49" s="6">
        <v>43.65</v>
      </c>
      <c r="P49" s="6">
        <v>85.69</v>
      </c>
      <c r="Q49" s="6">
        <v>1.38</v>
      </c>
      <c r="R49" s="6">
        <f t="shared" ref="R49:R72" si="8">N49/O49</f>
        <v>0.13745704467353953</v>
      </c>
      <c r="S49" s="7"/>
      <c r="V49" s="8"/>
    </row>
    <row r="50" spans="2:22" ht="14.25" customHeight="1" x14ac:dyDescent="0.3">
      <c r="B50" s="6">
        <v>240</v>
      </c>
      <c r="C50" s="6">
        <v>87.79</v>
      </c>
      <c r="D50" s="6">
        <v>47.66</v>
      </c>
      <c r="E50" s="6">
        <v>2.78</v>
      </c>
      <c r="F50" s="6">
        <f t="shared" si="6"/>
        <v>2.7337965599726619</v>
      </c>
      <c r="G50" s="7"/>
      <c r="H50" s="6">
        <v>5.75</v>
      </c>
      <c r="I50" s="6">
        <f>9.27+0.02+24.73+0.03+0.07+0.01+0.02+3.81</f>
        <v>37.96</v>
      </c>
      <c r="J50" s="6">
        <f>33.91+1.01+23.62+1.53+1.24+0.84+0.66+14.12</f>
        <v>76.929999999999993</v>
      </c>
      <c r="K50" s="6">
        <v>1.3</v>
      </c>
      <c r="L50" s="6">
        <f t="shared" si="7"/>
        <v>0.15147523709167546</v>
      </c>
      <c r="M50" s="7"/>
      <c r="N50" s="6">
        <v>5.75</v>
      </c>
      <c r="O50" s="6">
        <f>3.78+38.45</f>
        <v>42.230000000000004</v>
      </c>
      <c r="P50" s="6">
        <f>16.14+69.37</f>
        <v>85.51</v>
      </c>
      <c r="Q50" s="6">
        <v>1.36</v>
      </c>
      <c r="R50" s="6">
        <f t="shared" si="8"/>
        <v>0.13615912858157705</v>
      </c>
      <c r="S50" s="7"/>
      <c r="V50" s="8"/>
    </row>
    <row r="51" spans="2:22" ht="14.25" customHeight="1" x14ac:dyDescent="0.3">
      <c r="B51" s="6">
        <v>230</v>
      </c>
      <c r="C51" s="6">
        <v>85.28</v>
      </c>
      <c r="D51" s="6">
        <v>47.11</v>
      </c>
      <c r="E51" s="6">
        <v>2.72</v>
      </c>
      <c r="F51" s="6">
        <f t="shared" si="6"/>
        <v>2.6969981238273921</v>
      </c>
      <c r="G51" s="7"/>
      <c r="H51" s="6">
        <v>5.5</v>
      </c>
      <c r="I51" s="6">
        <f>8.71+24.2+0.02+0.05+0.01+3.62</f>
        <v>36.609999999999992</v>
      </c>
      <c r="J51" s="6">
        <f>33.46+23.41+0.91+1.05+0.47+14.12</f>
        <v>73.42</v>
      </c>
      <c r="K51" s="6">
        <v>1.28</v>
      </c>
      <c r="L51" s="6">
        <f t="shared" si="7"/>
        <v>0.15023217700081948</v>
      </c>
      <c r="M51" s="7"/>
      <c r="N51" s="6">
        <v>5.5</v>
      </c>
      <c r="O51" s="6">
        <f>3.52+0.01+37.3</f>
        <v>40.83</v>
      </c>
      <c r="P51" s="6">
        <f>15.94+0.63+68.15</f>
        <v>84.72</v>
      </c>
      <c r="Q51" s="6">
        <v>1.34</v>
      </c>
      <c r="R51" s="6">
        <f t="shared" si="8"/>
        <v>0.13470487386725447</v>
      </c>
      <c r="S51" s="7"/>
      <c r="V51" s="8"/>
    </row>
    <row r="52" spans="2:22" ht="14.25" customHeight="1" x14ac:dyDescent="0.3">
      <c r="B52" s="6">
        <v>220</v>
      </c>
      <c r="C52" s="6">
        <v>82.37</v>
      </c>
      <c r="D52" s="6">
        <v>46.46</v>
      </c>
      <c r="E52" s="6">
        <v>2.67</v>
      </c>
      <c r="F52" s="6">
        <f t="shared" si="6"/>
        <v>2.6708753186839869</v>
      </c>
      <c r="G52" s="7"/>
      <c r="H52" s="6">
        <v>5.25</v>
      </c>
      <c r="I52" s="6">
        <f>7.62+0.53+0.01+24.13+0.03+3.4</f>
        <v>35.72</v>
      </c>
      <c r="J52" s="6">
        <f>24.89+6.41+0.74+23.41+0.88+14.02</f>
        <v>70.350000000000009</v>
      </c>
      <c r="K52" s="6">
        <v>1.27</v>
      </c>
      <c r="L52" s="6">
        <f t="shared" si="7"/>
        <v>0.14697648376259798</v>
      </c>
      <c r="M52" s="7"/>
      <c r="N52" s="6">
        <v>5.25</v>
      </c>
      <c r="O52" s="6">
        <f>3.25+0.07+36.15</f>
        <v>39.47</v>
      </c>
      <c r="P52" s="6">
        <f>15.73+2.24+65.71</f>
        <v>83.679999999999993</v>
      </c>
      <c r="Q52" s="6">
        <v>1.32</v>
      </c>
      <c r="R52" s="6">
        <f t="shared" si="8"/>
        <v>0.13301241449201925</v>
      </c>
      <c r="S52" s="7"/>
      <c r="V52" s="8"/>
    </row>
    <row r="53" spans="2:22" ht="14.25" customHeight="1" x14ac:dyDescent="0.3">
      <c r="B53" s="6">
        <v>210</v>
      </c>
      <c r="C53" s="6">
        <v>79.91</v>
      </c>
      <c r="D53" s="6">
        <v>46.13</v>
      </c>
      <c r="E53" s="6">
        <v>2.61</v>
      </c>
      <c r="F53" s="6">
        <f t="shared" si="6"/>
        <v>2.6279564510073836</v>
      </c>
      <c r="G53" s="7"/>
      <c r="H53" s="6">
        <v>5</v>
      </c>
      <c r="I53" s="6">
        <f>7.16+0.38+0.03+23.51+0.02+3.12</f>
        <v>34.22</v>
      </c>
      <c r="J53" s="6">
        <f>24.63+4.53+1.52+23.06+0.67+13.92</f>
        <v>68.33</v>
      </c>
      <c r="K53" s="6">
        <v>1.25</v>
      </c>
      <c r="L53" s="6">
        <f t="shared" si="7"/>
        <v>0.14611338398597312</v>
      </c>
      <c r="M53" s="7"/>
      <c r="N53" s="6">
        <v>5</v>
      </c>
      <c r="O53" s="6">
        <f>2.97+0.03+35</f>
        <v>38</v>
      </c>
      <c r="P53" s="6">
        <f>15.46+1.52+65.67</f>
        <v>82.65</v>
      </c>
      <c r="Q53" s="6">
        <v>1.31</v>
      </c>
      <c r="R53" s="6">
        <f t="shared" si="8"/>
        <v>0.13157894736842105</v>
      </c>
      <c r="S53" s="7"/>
      <c r="V53" s="8"/>
    </row>
    <row r="54" spans="2:22" ht="14.25" customHeight="1" x14ac:dyDescent="0.3">
      <c r="B54" s="6">
        <v>200</v>
      </c>
      <c r="C54" s="6">
        <v>77.2</v>
      </c>
      <c r="D54" s="6">
        <v>45.64</v>
      </c>
      <c r="E54" s="6">
        <v>2.56</v>
      </c>
      <c r="F54" s="6">
        <f t="shared" si="6"/>
        <v>2.5906735751295336</v>
      </c>
      <c r="G54" s="7"/>
      <c r="H54" s="6">
        <v>4.75</v>
      </c>
      <c r="I54" s="6">
        <f>6.83+0.32+0.01+23.35+0.01+0.4+2.52</f>
        <v>33.440000000000005</v>
      </c>
      <c r="J54" s="6">
        <f>24.46+4.3+1.01+22.9+0.49+3.99+9.72</f>
        <v>66.87</v>
      </c>
      <c r="K54" s="6">
        <v>1.24</v>
      </c>
      <c r="L54" s="6">
        <f t="shared" si="7"/>
        <v>0.14204545454545453</v>
      </c>
      <c r="M54" s="7"/>
      <c r="N54" s="6">
        <v>4.75</v>
      </c>
      <c r="O54" s="6">
        <f>2.75+0.01+33.77</f>
        <v>36.53</v>
      </c>
      <c r="P54" s="6">
        <f>15.3+0.96+65.67</f>
        <v>81.93</v>
      </c>
      <c r="Q54" s="6">
        <v>1.29</v>
      </c>
      <c r="R54" s="6">
        <f t="shared" si="8"/>
        <v>0.13003011223651792</v>
      </c>
      <c r="S54" s="7"/>
      <c r="V54" s="8"/>
    </row>
    <row r="55" spans="2:22" ht="14.25" customHeight="1" x14ac:dyDescent="0.3">
      <c r="B55" s="6">
        <v>190</v>
      </c>
      <c r="C55" s="6">
        <v>74.53</v>
      </c>
      <c r="D55" s="6">
        <v>45.34</v>
      </c>
      <c r="E55" s="6">
        <v>2.5</v>
      </c>
      <c r="F55" s="6">
        <f t="shared" si="6"/>
        <v>2.5493090030860057</v>
      </c>
      <c r="G55" s="7"/>
      <c r="H55" s="6">
        <v>4.5</v>
      </c>
      <c r="I55" s="6">
        <f>6.5+0.26+22.98+0.35+2.39</f>
        <v>32.480000000000004</v>
      </c>
      <c r="J55" s="6">
        <f>24.13+3.92+22.97+4.01+9.64</f>
        <v>64.669999999999987</v>
      </c>
      <c r="K55" s="6">
        <v>1.22</v>
      </c>
      <c r="L55" s="6">
        <f t="shared" si="7"/>
        <v>0.13854679802955663</v>
      </c>
      <c r="M55" s="7"/>
      <c r="N55" s="6">
        <v>4.5</v>
      </c>
      <c r="O55" s="6">
        <f>2.24+0.29+33.1</f>
        <v>35.630000000000003</v>
      </c>
      <c r="P55" s="6">
        <f>11.43+3.65+65.54</f>
        <v>80.62</v>
      </c>
      <c r="Q55" s="6">
        <v>1.28</v>
      </c>
      <c r="R55" s="6">
        <f t="shared" si="8"/>
        <v>0.12629806342969407</v>
      </c>
      <c r="S55" s="7"/>
      <c r="V55" s="8"/>
    </row>
    <row r="56" spans="2:22" ht="14.25" customHeight="1" x14ac:dyDescent="0.3">
      <c r="B56" s="6">
        <v>180</v>
      </c>
      <c r="C56" s="6">
        <v>71.73</v>
      </c>
      <c r="D56" s="6">
        <v>44.82</v>
      </c>
      <c r="E56" s="6">
        <v>2.4300000000000002</v>
      </c>
      <c r="F56" s="6">
        <f t="shared" si="6"/>
        <v>2.509410288582183</v>
      </c>
      <c r="G56" s="7"/>
      <c r="H56" s="6">
        <v>4.25</v>
      </c>
      <c r="I56" s="6">
        <f>6.2+0.2+22.61+0.01+0.27+2.24</f>
        <v>31.53</v>
      </c>
      <c r="J56" s="6">
        <f>23.95+3.54+22.69+0.84+2.89+9.57</f>
        <v>63.480000000000004</v>
      </c>
      <c r="K56" s="6">
        <v>1.21</v>
      </c>
      <c r="L56" s="6">
        <f t="shared" si="7"/>
        <v>0.13479226133840785</v>
      </c>
      <c r="M56" s="7"/>
      <c r="N56" s="6">
        <v>4.25</v>
      </c>
      <c r="O56" s="6">
        <f>2.08+0.24+31.98</f>
        <v>34.299999999999997</v>
      </c>
      <c r="P56" s="6">
        <f>10.95+3.35+65.52</f>
        <v>79.819999999999993</v>
      </c>
      <c r="Q56" s="6">
        <v>1.26</v>
      </c>
      <c r="R56" s="6">
        <f t="shared" si="8"/>
        <v>0.12390670553935861</v>
      </c>
      <c r="S56" s="7"/>
      <c r="V56" s="8"/>
    </row>
    <row r="57" spans="2:22" ht="14.25" customHeight="1" x14ac:dyDescent="0.3">
      <c r="B57" s="6">
        <v>170</v>
      </c>
      <c r="C57" s="6">
        <v>68.819999999999993</v>
      </c>
      <c r="D57" s="6">
        <v>44.48</v>
      </c>
      <c r="E57" s="6">
        <v>2.37</v>
      </c>
      <c r="F57" s="6">
        <f t="shared" si="6"/>
        <v>2.4702121476315027</v>
      </c>
      <c r="G57" s="7"/>
      <c r="H57" s="6">
        <v>4</v>
      </c>
      <c r="I57" s="6">
        <f>5.75+0.15+22.23+0.23+2.1</f>
        <v>30.460000000000004</v>
      </c>
      <c r="J57" s="6">
        <f>23.67+3.16+22.76+2.76+9.36</f>
        <v>61.71</v>
      </c>
      <c r="K57" s="6">
        <v>1.2</v>
      </c>
      <c r="L57" s="6">
        <f t="shared" si="7"/>
        <v>0.13131976362442546</v>
      </c>
      <c r="M57" s="7"/>
      <c r="N57" s="6">
        <v>4</v>
      </c>
      <c r="O57" s="6">
        <f>1.47+0.42+0.19+31.09</f>
        <v>33.17</v>
      </c>
      <c r="P57" s="6">
        <f>4.37+6.4+3.05+65.42</f>
        <v>79.240000000000009</v>
      </c>
      <c r="Q57" s="6">
        <v>1.25</v>
      </c>
      <c r="R57" s="6">
        <f t="shared" si="8"/>
        <v>0.12059089538739824</v>
      </c>
      <c r="S57" s="7"/>
      <c r="V57" s="8"/>
    </row>
    <row r="58" spans="2:22" ht="14.25" customHeight="1" x14ac:dyDescent="0.3">
      <c r="B58" s="6">
        <v>160</v>
      </c>
      <c r="C58" s="6">
        <v>66.38</v>
      </c>
      <c r="D58" s="6">
        <v>44.06</v>
      </c>
      <c r="E58" s="6">
        <v>2.31</v>
      </c>
      <c r="F58" s="6">
        <f t="shared" si="6"/>
        <v>2.410364567640856</v>
      </c>
      <c r="G58" s="7"/>
      <c r="H58" s="6">
        <v>3.75</v>
      </c>
      <c r="I58" s="6">
        <f>5.3+0.15+0.11+21.95+0.2+1.98</f>
        <v>29.689999999999998</v>
      </c>
      <c r="J58" s="6">
        <f>20.49+2.89+2.85+22.58+2.59+9.18</f>
        <v>60.580000000000005</v>
      </c>
      <c r="K58" s="6">
        <v>1.17</v>
      </c>
      <c r="L58" s="6">
        <f t="shared" si="7"/>
        <v>0.12630515325025263</v>
      </c>
      <c r="M58" s="7"/>
      <c r="N58" s="6">
        <v>3.75</v>
      </c>
      <c r="O58" s="6">
        <f>1.44+0.33+0.01+0.15+30.28</f>
        <v>32.21</v>
      </c>
      <c r="P58" s="6">
        <f>4.33+5.41+0.62+2.75+65.36</f>
        <v>78.47</v>
      </c>
      <c r="Q58" s="6">
        <v>1.23</v>
      </c>
      <c r="R58" s="6">
        <f t="shared" si="8"/>
        <v>0.11642347097174791</v>
      </c>
      <c r="S58" s="7"/>
      <c r="V58" s="8"/>
    </row>
    <row r="59" spans="2:22" ht="14.25" customHeight="1" x14ac:dyDescent="0.3">
      <c r="B59" s="6">
        <v>150</v>
      </c>
      <c r="C59" s="6">
        <v>63.47</v>
      </c>
      <c r="D59" s="6">
        <v>43.69</v>
      </c>
      <c r="E59" s="6">
        <v>2.2400000000000002</v>
      </c>
      <c r="F59" s="6">
        <f t="shared" si="6"/>
        <v>2.3633212541358124</v>
      </c>
      <c r="G59" s="7"/>
      <c r="H59" s="6">
        <v>3.5</v>
      </c>
      <c r="I59" s="6">
        <f>5.03+0.11+0.07+21.7+0.16+1.85+0.01</f>
        <v>28.930000000000003</v>
      </c>
      <c r="J59" s="6">
        <f>20.4+2.01+2.55+22.47+2.39+8.28+0.64</f>
        <v>58.739999999999995</v>
      </c>
      <c r="K59" s="6">
        <v>1.1599999999999999</v>
      </c>
      <c r="L59" s="6">
        <f t="shared" si="7"/>
        <v>0.12098167991704112</v>
      </c>
      <c r="M59" s="7"/>
      <c r="N59" s="6">
        <v>3.5</v>
      </c>
      <c r="O59" s="6">
        <f>1.36+0.26+0.11+29.15</f>
        <v>30.88</v>
      </c>
      <c r="P59" s="6">
        <f>4.23+5.12+2.46+65.31</f>
        <v>77.12</v>
      </c>
      <c r="Q59" s="6">
        <v>1.22</v>
      </c>
      <c r="R59" s="6">
        <f t="shared" si="8"/>
        <v>0.1133419689119171</v>
      </c>
      <c r="S59" s="7"/>
      <c r="V59" s="8"/>
    </row>
    <row r="60" spans="2:22" ht="14.25" customHeight="1" x14ac:dyDescent="0.3">
      <c r="B60" s="6">
        <v>140</v>
      </c>
      <c r="C60" s="6">
        <v>60.65</v>
      </c>
      <c r="D60" s="6">
        <v>43.16</v>
      </c>
      <c r="E60" s="6">
        <v>2.19</v>
      </c>
      <c r="F60" s="6">
        <f t="shared" si="6"/>
        <v>2.3083264633140974</v>
      </c>
      <c r="G60" s="7"/>
      <c r="H60" s="6">
        <v>3.25</v>
      </c>
      <c r="I60" s="6">
        <f>4.68+0.08+0.01+0.02+0.01+21.31+0.13+1.71</f>
        <v>27.95</v>
      </c>
      <c r="J60" s="6">
        <f>20.4+1.71+0.61+1.03+0.41+22.24+2.18+8.16</f>
        <v>56.739999999999995</v>
      </c>
      <c r="K60" s="6">
        <v>1.1499999999999999</v>
      </c>
      <c r="L60" s="6">
        <f t="shared" si="7"/>
        <v>0.11627906976744186</v>
      </c>
      <c r="M60" s="7"/>
      <c r="N60" s="6">
        <v>3.25</v>
      </c>
      <c r="O60" s="6">
        <f>1.3+0.17+0.01+0.08+28.07</f>
        <v>29.63</v>
      </c>
      <c r="P60" s="6">
        <f>4.23+2.44+1.38+1.65+65.19</f>
        <v>74.89</v>
      </c>
      <c r="Q60" s="6">
        <v>1.2</v>
      </c>
      <c r="R60" s="6">
        <f t="shared" si="8"/>
        <v>0.10968612892338846</v>
      </c>
      <c r="S60" s="7"/>
      <c r="V60" s="8"/>
    </row>
    <row r="61" spans="2:22" ht="14.25" customHeight="1" x14ac:dyDescent="0.3">
      <c r="B61" s="6">
        <v>130</v>
      </c>
      <c r="C61" s="6">
        <v>58.08</v>
      </c>
      <c r="D61" s="6">
        <v>42.75</v>
      </c>
      <c r="E61" s="6">
        <v>2.12</v>
      </c>
      <c r="F61" s="6">
        <f t="shared" si="6"/>
        <v>2.2382920110192837</v>
      </c>
      <c r="G61" s="7"/>
      <c r="H61" s="6">
        <v>3</v>
      </c>
      <c r="I61" s="6">
        <f>4.38+0.06+0.01+20.92+0.1+1.58</f>
        <v>27.050000000000004</v>
      </c>
      <c r="J61" s="6">
        <f>20.24+1.44+0.7+22.12+1.91+8.02</f>
        <v>54.429999999999993</v>
      </c>
      <c r="K61" s="6">
        <v>1.1399999999999999</v>
      </c>
      <c r="L61" s="6">
        <f t="shared" si="7"/>
        <v>0.11090573012939001</v>
      </c>
      <c r="M61" s="7"/>
      <c r="N61" s="6">
        <v>3</v>
      </c>
      <c r="O61" s="6">
        <f>1.24+0.13+0.06+3.15+23.37+0.62</f>
        <v>28.570000000000004</v>
      </c>
      <c r="P61" s="6">
        <f>4.12+2.13+1.43+13.91+45.06+5.84</f>
        <v>72.490000000000009</v>
      </c>
      <c r="Q61" s="6">
        <v>1.19</v>
      </c>
      <c r="R61" s="6">
        <f t="shared" si="8"/>
        <v>0.10500525026251312</v>
      </c>
      <c r="S61" s="7"/>
      <c r="V61" s="8"/>
    </row>
    <row r="62" spans="2:22" ht="14.25" customHeight="1" x14ac:dyDescent="0.3">
      <c r="B62" s="6">
        <v>120</v>
      </c>
      <c r="C62" s="6">
        <v>54.89</v>
      </c>
      <c r="D62" s="6">
        <v>42.16</v>
      </c>
      <c r="E62" s="6">
        <v>2.0299999999999998</v>
      </c>
      <c r="F62" s="6">
        <f t="shared" si="6"/>
        <v>2.1861905629440699</v>
      </c>
      <c r="G62" s="7"/>
      <c r="H62" s="6">
        <v>2.75</v>
      </c>
      <c r="I62" s="6">
        <f>3.78+0.26+0.03+20.43+0.07+1.46</f>
        <v>26.03</v>
      </c>
      <c r="J62" s="6">
        <f>13.59+6.6+1.13+22.04+1.55+7.82</f>
        <v>52.73</v>
      </c>
      <c r="K62" s="6">
        <v>1.1100000000000001</v>
      </c>
      <c r="L62" s="6">
        <f t="shared" si="7"/>
        <v>0.10564733000384172</v>
      </c>
      <c r="M62" s="7"/>
      <c r="N62" s="6">
        <v>2.75</v>
      </c>
      <c r="O62" s="6">
        <f>1.15+0.1+0.03+2.74+0.18+14.51+8.13+0.01+0.52</f>
        <v>27.370000000000005</v>
      </c>
      <c r="P62" s="6">
        <f>3.97+1.85+0.87+10.3+3.09+18.5+24.67+0.9+5.72</f>
        <v>69.87</v>
      </c>
      <c r="Q62" s="6">
        <v>1.17</v>
      </c>
      <c r="R62" s="6">
        <f t="shared" si="8"/>
        <v>0.10047497259773473</v>
      </c>
      <c r="S62" s="7"/>
      <c r="V62" s="8"/>
    </row>
    <row r="63" spans="2:22" ht="14.25" customHeight="1" x14ac:dyDescent="0.3">
      <c r="B63" s="6">
        <v>110</v>
      </c>
      <c r="C63" s="6">
        <v>51.63</v>
      </c>
      <c r="D63" s="6">
        <v>41.85</v>
      </c>
      <c r="E63" s="6">
        <v>1.96</v>
      </c>
      <c r="F63" s="6">
        <f t="shared" si="6"/>
        <v>2.1305442572147975</v>
      </c>
      <c r="G63" s="7"/>
      <c r="H63" s="6">
        <v>2.5</v>
      </c>
      <c r="I63" s="6">
        <f>3.54+0.16+0.02+20.21+0.04+1.31</f>
        <v>25.279999999999998</v>
      </c>
      <c r="J63" s="6">
        <f>13.53+4.56+0.83+21.81+1.2+7.65</f>
        <v>49.58</v>
      </c>
      <c r="K63" s="6">
        <v>1.1000000000000001</v>
      </c>
      <c r="L63" s="6">
        <f t="shared" si="7"/>
        <v>9.8892405063291153E-2</v>
      </c>
      <c r="M63" s="7"/>
      <c r="N63" s="6">
        <v>2.5</v>
      </c>
      <c r="O63" s="6">
        <f>1.09+0.07+0.01+2.57+0.13+14.13+7.71+0.31+0.11</f>
        <v>26.13</v>
      </c>
      <c r="P63" s="6">
        <f>3.91+1.63+0.65+10.18+2.65+18.4+23.87+3.84+1.7</f>
        <v>66.830000000000013</v>
      </c>
      <c r="Q63" s="6">
        <v>1.1499999999999999</v>
      </c>
      <c r="R63" s="6">
        <f t="shared" si="8"/>
        <v>9.5675468809797173E-2</v>
      </c>
      <c r="S63" s="7"/>
      <c r="V63" s="8"/>
    </row>
    <row r="64" spans="2:22" ht="14.25" customHeight="1" x14ac:dyDescent="0.3">
      <c r="B64" s="6">
        <v>100</v>
      </c>
      <c r="C64" s="6">
        <v>48.66</v>
      </c>
      <c r="D64" s="6">
        <v>41.45</v>
      </c>
      <c r="E64" s="6">
        <v>1.89</v>
      </c>
      <c r="F64" s="6">
        <f t="shared" si="6"/>
        <v>2.0550760378133992</v>
      </c>
      <c r="G64" s="7"/>
      <c r="H64" s="6">
        <v>2.25</v>
      </c>
      <c r="I64" s="6">
        <f>3.29+0.05+0.01+0.01+19.75+0.03+0.31+0.86</f>
        <v>24.31</v>
      </c>
      <c r="J64" s="6">
        <f>13.38+1.5+1.42+0.93+21.76+0.91+2.15+5.26</f>
        <v>47.309999999999995</v>
      </c>
      <c r="K64" s="6">
        <v>1.08</v>
      </c>
      <c r="L64" s="6">
        <f t="shared" si="7"/>
        <v>9.255450431921021E-2</v>
      </c>
      <c r="M64" s="7"/>
      <c r="N64" s="6">
        <v>2.25</v>
      </c>
      <c r="O64" s="6">
        <f>1.02+0.04+2.38+0.08+13.77+7.29+0.25+0.08</f>
        <v>24.909999999999997</v>
      </c>
      <c r="P64" s="6">
        <f>3.83+1.4+10.1+2.22+17.92+23.25+3.53+1.63</f>
        <v>63.88</v>
      </c>
      <c r="Q64" s="6">
        <v>1.1299999999999999</v>
      </c>
      <c r="R64" s="6">
        <f t="shared" si="8"/>
        <v>9.0325170614211178E-2</v>
      </c>
      <c r="S64" s="7"/>
      <c r="V64" s="8"/>
    </row>
    <row r="65" spans="2:22" ht="14.25" customHeight="1" x14ac:dyDescent="0.3">
      <c r="B65" s="6">
        <v>90</v>
      </c>
      <c r="C65" s="6">
        <v>45.65</v>
      </c>
      <c r="D65" s="6">
        <v>41.12</v>
      </c>
      <c r="E65" s="6">
        <v>1.82</v>
      </c>
      <c r="F65" s="6">
        <f t="shared" si="6"/>
        <v>1.9715224534501643</v>
      </c>
      <c r="G65" s="7"/>
      <c r="H65" s="6">
        <v>2</v>
      </c>
      <c r="I65" s="6">
        <f>3.03+0.03+19.28+0.01+0.27+0.78</f>
        <v>23.400000000000002</v>
      </c>
      <c r="J65" s="6">
        <f>13.15+1.08+21.58+0.58+1.88+4.97</f>
        <v>43.24</v>
      </c>
      <c r="K65" s="6">
        <v>1.06</v>
      </c>
      <c r="L65" s="6">
        <f t="shared" si="7"/>
        <v>8.5470085470085458E-2</v>
      </c>
      <c r="M65" s="7"/>
      <c r="N65" s="6">
        <v>2</v>
      </c>
      <c r="O65" s="6">
        <f>0.94+0.02+2.19+0.04+13.56+0.2+6.67+0.18+0.05</f>
        <v>23.849999999999998</v>
      </c>
      <c r="P65" s="6">
        <f>3.81+0.96+9.99+1.74+17.07+4.1+18.58+3.22+1.42</f>
        <v>60.89</v>
      </c>
      <c r="Q65" s="6">
        <v>1.1200000000000001</v>
      </c>
      <c r="R65" s="6">
        <f t="shared" si="8"/>
        <v>8.385744234800839E-2</v>
      </c>
      <c r="S65" s="7"/>
      <c r="V65" s="8"/>
    </row>
    <row r="66" spans="2:22" ht="14.25" customHeight="1" x14ac:dyDescent="0.3">
      <c r="B66" s="6">
        <v>80</v>
      </c>
      <c r="C66" s="6">
        <v>42.37</v>
      </c>
      <c r="D66" s="6">
        <v>40.78</v>
      </c>
      <c r="E66" s="6">
        <v>1.74</v>
      </c>
      <c r="F66" s="6">
        <f t="shared" si="6"/>
        <v>1.8881283927307058</v>
      </c>
      <c r="G66" s="7"/>
      <c r="H66" s="6">
        <v>1.75</v>
      </c>
      <c r="I66" s="6">
        <f>2.76+0.01+18.97+0.23+0.67</f>
        <v>22.64</v>
      </c>
      <c r="J66" s="6">
        <f>13.06+0.64+21.41+1.74+4.81</f>
        <v>41.660000000000004</v>
      </c>
      <c r="K66" s="6">
        <v>1.03</v>
      </c>
      <c r="L66" s="6">
        <f t="shared" si="7"/>
        <v>7.729681978798586E-2</v>
      </c>
      <c r="M66" s="7"/>
      <c r="N66" s="6">
        <v>1.75</v>
      </c>
      <c r="O66" s="6">
        <f>0.87+1.97+0.01+13.16+0.12+6.26+0.11+0.02</f>
        <v>22.52</v>
      </c>
      <c r="P66" s="6">
        <f>3.75+9.83+1.16+16.71+3.65+17.78+2.89+1.27</f>
        <v>57.040000000000006</v>
      </c>
      <c r="Q66" s="6">
        <v>1.0900000000000001</v>
      </c>
      <c r="R66" s="6">
        <f t="shared" si="8"/>
        <v>7.7708703374777977E-2</v>
      </c>
      <c r="S66" s="7"/>
      <c r="V66" s="8"/>
    </row>
    <row r="67" spans="2:22" ht="14.25" customHeight="1" x14ac:dyDescent="0.3">
      <c r="B67" s="6">
        <v>70</v>
      </c>
      <c r="C67" s="6">
        <v>38.74</v>
      </c>
      <c r="D67" s="6">
        <v>40.35</v>
      </c>
      <c r="E67" s="6">
        <v>1.64</v>
      </c>
      <c r="F67" s="6">
        <f t="shared" si="6"/>
        <v>1.8069179143004646</v>
      </c>
      <c r="G67" s="7"/>
      <c r="H67" s="6">
        <v>1.5</v>
      </c>
      <c r="I67" s="6">
        <f>2.32+0.15+18.38+0.2+0.56</f>
        <v>21.609999999999996</v>
      </c>
      <c r="J67" s="6">
        <f>9.33+3.5+21.47+1.62+4.73</f>
        <v>40.649999999999991</v>
      </c>
      <c r="K67" s="6">
        <v>1.02</v>
      </c>
      <c r="L67" s="6">
        <f t="shared" si="7"/>
        <v>6.9412309116149942E-2</v>
      </c>
      <c r="M67" s="7"/>
      <c r="N67" s="6">
        <v>1.5</v>
      </c>
      <c r="O67" s="6">
        <f>0.78+1.75+13.92+0.04+0.01+5.86+0.06</f>
        <v>22.419999999999998</v>
      </c>
      <c r="P67" s="6">
        <f>3.68+9.68+17.42+1.5+0.52+17.12+2.19</f>
        <v>52.11</v>
      </c>
      <c r="Q67" s="6">
        <v>1.06</v>
      </c>
      <c r="R67" s="6">
        <f t="shared" si="8"/>
        <v>6.690454950936664E-2</v>
      </c>
      <c r="S67" s="7"/>
      <c r="V67" s="8"/>
    </row>
    <row r="68" spans="2:22" ht="14.25" customHeight="1" x14ac:dyDescent="0.3">
      <c r="B68" s="6">
        <v>60</v>
      </c>
      <c r="C68" s="6">
        <v>35.090000000000003</v>
      </c>
      <c r="D68" s="6">
        <v>39.99</v>
      </c>
      <c r="E68" s="6">
        <v>1.56</v>
      </c>
      <c r="F68" s="6">
        <f t="shared" si="6"/>
        <v>1.7098888572242803</v>
      </c>
      <c r="G68" s="7"/>
      <c r="H68" s="6">
        <v>1.25</v>
      </c>
      <c r="I68" s="6">
        <f>2.07+0.07+17.79+0.15+0.44</f>
        <v>20.52</v>
      </c>
      <c r="J68" s="6">
        <f>9.24+2.01+21.02+1.46+4.67</f>
        <v>38.4</v>
      </c>
      <c r="K68" s="6">
        <v>0.99</v>
      </c>
      <c r="L68" s="6">
        <f t="shared" si="7"/>
        <v>6.0916179337231972E-2</v>
      </c>
      <c r="M68" s="7"/>
      <c r="N68" s="6">
        <v>1.25</v>
      </c>
      <c r="O68" s="6">
        <f>0.68+1.51+12.29+0.01+0.01+5.47+0.01</f>
        <v>19.98</v>
      </c>
      <c r="P68" s="6">
        <f>3.6+9.52+15.49+0.57+0.83+15.12+1.43</f>
        <v>46.559999999999995</v>
      </c>
      <c r="Q68" s="6">
        <v>1.05</v>
      </c>
      <c r="R68" s="6">
        <f t="shared" si="8"/>
        <v>6.2562562562562568E-2</v>
      </c>
      <c r="S68" s="7"/>
      <c r="V68" s="8"/>
    </row>
    <row r="69" spans="2:22" ht="14.25" customHeight="1" x14ac:dyDescent="0.3">
      <c r="B69" s="6">
        <v>50</v>
      </c>
      <c r="C69" s="6">
        <v>31.26</v>
      </c>
      <c r="D69" s="6">
        <v>39.590000000000003</v>
      </c>
      <c r="E69" s="6">
        <v>1.46</v>
      </c>
      <c r="F69" s="6">
        <f t="shared" si="6"/>
        <v>1.599488163787588</v>
      </c>
      <c r="G69" s="7"/>
      <c r="H69" s="6">
        <v>1</v>
      </c>
      <c r="I69" s="6">
        <f>1.79+0.03+0.02+17.26+0.12+0.32</f>
        <v>19.540000000000003</v>
      </c>
      <c r="J69" s="6">
        <f>8.25+0.74+0.91+20.84+1.24+4.31</f>
        <v>36.29</v>
      </c>
      <c r="K69" s="6">
        <v>0.96</v>
      </c>
      <c r="L69" s="6">
        <f t="shared" si="7"/>
        <v>5.117707267144319E-2</v>
      </c>
      <c r="M69" s="7"/>
      <c r="N69" s="6">
        <v>1</v>
      </c>
      <c r="O69" s="6">
        <f>0.58+1.23+11.89+5.02</f>
        <v>18.72</v>
      </c>
      <c r="P69" s="6">
        <f>3.52+9.33+14.9+14.46</f>
        <v>42.21</v>
      </c>
      <c r="Q69" s="6">
        <v>1.01</v>
      </c>
      <c r="R69" s="6">
        <f t="shared" si="8"/>
        <v>5.3418803418803423E-2</v>
      </c>
      <c r="S69" s="7"/>
      <c r="V69" s="8"/>
    </row>
    <row r="70" spans="2:22" ht="14.25" customHeight="1" x14ac:dyDescent="0.3">
      <c r="B70" s="6">
        <v>40</v>
      </c>
      <c r="C70" s="6">
        <v>27.12</v>
      </c>
      <c r="D70" s="6">
        <v>39.07</v>
      </c>
      <c r="E70" s="6">
        <v>1.35</v>
      </c>
      <c r="F70" s="6">
        <f t="shared" si="6"/>
        <v>1.4749262536873156</v>
      </c>
      <c r="G70" s="7"/>
      <c r="H70" s="6">
        <v>0.75</v>
      </c>
      <c r="I70" s="6">
        <f>1.52+0.01+16.61+0.08+0.19</f>
        <v>18.41</v>
      </c>
      <c r="J70" s="6">
        <f>8.13+0.4+0.33+20.64+1+3.57</f>
        <v>34.07</v>
      </c>
      <c r="K70" s="6">
        <v>0.93</v>
      </c>
      <c r="L70" s="6">
        <f t="shared" si="7"/>
        <v>4.0738728951656707E-2</v>
      </c>
      <c r="M70" s="7"/>
      <c r="N70" s="6">
        <v>0.75</v>
      </c>
      <c r="O70" s="6">
        <f>0.47+0.92+11.37+4.53</f>
        <v>17.29</v>
      </c>
      <c r="P70" s="6">
        <f>3.37+9.11+14.85+13.85</f>
        <v>41.18</v>
      </c>
      <c r="Q70" s="6">
        <v>0.98</v>
      </c>
      <c r="R70" s="6">
        <f t="shared" si="8"/>
        <v>4.3377674956622328E-2</v>
      </c>
      <c r="S70" s="7"/>
      <c r="V70" s="8"/>
    </row>
    <row r="71" spans="2:22" ht="14.25" customHeight="1" x14ac:dyDescent="0.3">
      <c r="B71" s="6">
        <v>30</v>
      </c>
      <c r="C71" s="6">
        <v>22.46</v>
      </c>
      <c r="D71" s="6">
        <v>38.43</v>
      </c>
      <c r="E71" s="6">
        <v>1.25</v>
      </c>
      <c r="F71" s="6">
        <f t="shared" si="6"/>
        <v>1.3357079252003561</v>
      </c>
      <c r="G71" s="7"/>
      <c r="H71" s="6">
        <v>0.5</v>
      </c>
      <c r="I71" s="6">
        <f>1.15+15.69+0.04+0.05</f>
        <v>16.93</v>
      </c>
      <c r="J71" s="6">
        <f>8+20.41+0.71+1.73</f>
        <v>30.85</v>
      </c>
      <c r="K71" s="6">
        <v>0.89</v>
      </c>
      <c r="L71" s="6">
        <f t="shared" si="7"/>
        <v>2.9533372711163616E-2</v>
      </c>
      <c r="M71" s="7"/>
      <c r="N71" s="6">
        <v>0.5</v>
      </c>
      <c r="O71" s="6">
        <f>0.32+0.01+0.53+10.66+0.01+3.96</f>
        <v>15.489999999999998</v>
      </c>
      <c r="P71" s="6">
        <f>3.01+0.38+7.77+14.43+0.65+11.62</f>
        <v>37.86</v>
      </c>
      <c r="Q71" s="6">
        <v>0.94</v>
      </c>
      <c r="R71" s="6">
        <f t="shared" si="8"/>
        <v>3.2278889606197549E-2</v>
      </c>
      <c r="S71" s="7"/>
      <c r="V71" s="8"/>
    </row>
    <row r="72" spans="2:22" ht="14.25" customHeight="1" x14ac:dyDescent="0.3">
      <c r="B72" s="6">
        <v>20</v>
      </c>
      <c r="C72" s="6">
        <f>16.05+0.62+0.02</f>
        <v>16.690000000000001</v>
      </c>
      <c r="D72" s="6">
        <f>26.68+5.22+0.88</f>
        <v>32.78</v>
      </c>
      <c r="E72" s="6">
        <v>1.0900000000000001</v>
      </c>
      <c r="F72" s="6">
        <f t="shared" si="6"/>
        <v>1.1983223487118033</v>
      </c>
      <c r="G72" s="7"/>
      <c r="H72" s="6">
        <v>0.25</v>
      </c>
      <c r="I72" s="6">
        <f>0.58+0.09+14.36+0.01</f>
        <v>15.04</v>
      </c>
      <c r="J72" s="6">
        <f>5.14+2.24+20.18+0.46</f>
        <v>28.02</v>
      </c>
      <c r="K72" s="6">
        <v>0.82</v>
      </c>
      <c r="L72" s="6">
        <f t="shared" si="7"/>
        <v>1.6622340425531915E-2</v>
      </c>
      <c r="M72" s="7"/>
      <c r="N72" s="9">
        <v>0.25</v>
      </c>
      <c r="O72" s="9">
        <f>0.16+0.02+0.04+0.05+9.83+3.24</f>
        <v>13.34</v>
      </c>
      <c r="P72" s="9">
        <f>2.08+1.13+1.43+2.75+14+10.56</f>
        <v>31.950000000000003</v>
      </c>
      <c r="Q72" s="9">
        <v>0.87</v>
      </c>
      <c r="R72" s="9">
        <f t="shared" si="8"/>
        <v>1.8740629685157422E-2</v>
      </c>
      <c r="S72" s="7"/>
      <c r="V72" s="8"/>
    </row>
    <row r="73" spans="2:22" ht="14.25" customHeight="1" x14ac:dyDescent="0.3">
      <c r="B73" s="6">
        <v>10</v>
      </c>
      <c r="C73" s="6">
        <v>9.6</v>
      </c>
      <c r="D73" s="6">
        <v>21.91</v>
      </c>
      <c r="E73" s="6">
        <v>0.83</v>
      </c>
      <c r="F73" s="6">
        <f t="shared" si="6"/>
        <v>1.0416666666666667</v>
      </c>
      <c r="G73" s="7"/>
      <c r="N73" s="10"/>
      <c r="O73" s="10"/>
      <c r="P73" s="10"/>
      <c r="Q73" s="10"/>
      <c r="R73" s="10"/>
      <c r="V73" s="8"/>
    </row>
    <row r="74" spans="2:22" ht="14.25" customHeight="1" x14ac:dyDescent="0.3">
      <c r="V74" s="8"/>
    </row>
    <row r="75" spans="2:22" ht="14.25" customHeight="1" x14ac:dyDescent="0.3">
      <c r="V75" s="8"/>
    </row>
    <row r="76" spans="2:22" ht="14.25" customHeight="1" x14ac:dyDescent="0.3">
      <c r="V76" s="8"/>
    </row>
    <row r="77" spans="2:22" ht="14.25" customHeight="1" x14ac:dyDescent="0.3">
      <c r="V77" s="8"/>
    </row>
    <row r="78" spans="2:22" ht="14.25" customHeight="1" x14ac:dyDescent="0.3">
      <c r="V78" s="8"/>
    </row>
    <row r="79" spans="2:22" ht="14.25" customHeight="1" x14ac:dyDescent="0.3">
      <c r="V79" s="8"/>
    </row>
    <row r="80" spans="2:22" ht="14.25" customHeight="1" x14ac:dyDescent="0.3">
      <c r="V80" s="8"/>
    </row>
    <row r="81" spans="22:22" ht="14.25" customHeight="1" x14ac:dyDescent="0.3">
      <c r="V81" s="8"/>
    </row>
    <row r="82" spans="22:22" ht="14.25" customHeight="1" x14ac:dyDescent="0.3">
      <c r="V82" s="8"/>
    </row>
    <row r="83" spans="22:22" ht="14.25" customHeight="1" x14ac:dyDescent="0.3">
      <c r="V83" s="8"/>
    </row>
    <row r="84" spans="22:22" ht="14.25" customHeight="1" x14ac:dyDescent="0.3">
      <c r="V84" s="8"/>
    </row>
    <row r="85" spans="22:22" ht="14.25" customHeight="1" x14ac:dyDescent="0.3">
      <c r="V85" s="8"/>
    </row>
    <row r="86" spans="22:22" ht="14.25" customHeight="1" x14ac:dyDescent="0.3">
      <c r="V86" s="8"/>
    </row>
    <row r="87" spans="22:22" ht="14.25" customHeight="1" x14ac:dyDescent="0.3">
      <c r="V87" s="8"/>
    </row>
    <row r="88" spans="22:22" ht="14.25" customHeight="1" x14ac:dyDescent="0.3">
      <c r="V88" s="8"/>
    </row>
    <row r="89" spans="22:22" ht="14.25" customHeight="1" x14ac:dyDescent="0.3">
      <c r="V89" s="8"/>
    </row>
    <row r="90" spans="22:22" ht="14.25" customHeight="1" x14ac:dyDescent="0.3">
      <c r="V90" s="8"/>
    </row>
    <row r="91" spans="22:22" ht="14.25" customHeight="1" x14ac:dyDescent="0.3">
      <c r="V91" s="8"/>
    </row>
    <row r="92" spans="22:22" ht="14.25" customHeight="1" x14ac:dyDescent="0.3">
      <c r="V92" s="8"/>
    </row>
    <row r="93" spans="22:22" ht="14.25" customHeight="1" x14ac:dyDescent="0.3">
      <c r="V93" s="8"/>
    </row>
    <row r="94" spans="22:22" ht="14.25" customHeight="1" x14ac:dyDescent="0.3">
      <c r="V94" s="8"/>
    </row>
    <row r="95" spans="22:22" ht="14.25" customHeight="1" x14ac:dyDescent="0.3">
      <c r="V95" s="8"/>
    </row>
    <row r="96" spans="22:22" ht="14.25" customHeight="1" x14ac:dyDescent="0.3">
      <c r="V96" s="8"/>
    </row>
    <row r="97" spans="22:22" ht="14.25" customHeight="1" x14ac:dyDescent="0.3">
      <c r="V97" s="8"/>
    </row>
    <row r="98" spans="22:22" ht="14.25" customHeight="1" x14ac:dyDescent="0.3">
      <c r="V98" s="8"/>
    </row>
    <row r="99" spans="22:22" ht="14.25" customHeight="1" x14ac:dyDescent="0.3">
      <c r="V99" s="8"/>
    </row>
    <row r="100" spans="22:22" ht="14.25" customHeight="1" x14ac:dyDescent="0.3">
      <c r="V100" s="8"/>
    </row>
    <row r="101" spans="22:22" ht="14.25" customHeight="1" x14ac:dyDescent="0.3">
      <c r="V101" s="8"/>
    </row>
    <row r="102" spans="22:22" ht="14.25" customHeight="1" x14ac:dyDescent="0.3">
      <c r="V102" s="8"/>
    </row>
    <row r="103" spans="22:22" ht="14.25" customHeight="1" x14ac:dyDescent="0.3">
      <c r="V103" s="8"/>
    </row>
    <row r="104" spans="22:22" ht="14.25" customHeight="1" x14ac:dyDescent="0.3">
      <c r="V104" s="8"/>
    </row>
    <row r="105" spans="22:22" ht="14.25" customHeight="1" x14ac:dyDescent="0.3">
      <c r="V105" s="8"/>
    </row>
    <row r="106" spans="22:22" ht="14.25" customHeight="1" x14ac:dyDescent="0.3">
      <c r="V106" s="8"/>
    </row>
    <row r="107" spans="22:22" ht="14.25" customHeight="1" x14ac:dyDescent="0.3">
      <c r="V107" s="8"/>
    </row>
    <row r="108" spans="22:22" ht="14.25" customHeight="1" x14ac:dyDescent="0.3">
      <c r="V108" s="8"/>
    </row>
    <row r="109" spans="22:22" ht="14.25" customHeight="1" x14ac:dyDescent="0.3">
      <c r="V109" s="8"/>
    </row>
    <row r="110" spans="22:22" ht="14.25" customHeight="1" x14ac:dyDescent="0.3">
      <c r="V110" s="8"/>
    </row>
    <row r="111" spans="22:22" ht="14.25" customHeight="1" x14ac:dyDescent="0.3">
      <c r="V111" s="8"/>
    </row>
    <row r="112" spans="22:22" ht="14.25" customHeight="1" x14ac:dyDescent="0.3">
      <c r="V112" s="8"/>
    </row>
    <row r="113" spans="22:22" ht="14.25" customHeight="1" x14ac:dyDescent="0.3">
      <c r="V113" s="8"/>
    </row>
    <row r="114" spans="22:22" ht="14.25" customHeight="1" x14ac:dyDescent="0.3">
      <c r="V114" s="8"/>
    </row>
    <row r="115" spans="22:22" ht="14.25" customHeight="1" x14ac:dyDescent="0.3">
      <c r="V115" s="8"/>
    </row>
    <row r="116" spans="22:22" ht="14.25" customHeight="1" x14ac:dyDescent="0.3">
      <c r="V116" s="8"/>
    </row>
    <row r="117" spans="22:22" ht="14.25" customHeight="1" x14ac:dyDescent="0.3">
      <c r="V117" s="8"/>
    </row>
    <row r="118" spans="22:22" ht="14.25" customHeight="1" x14ac:dyDescent="0.3">
      <c r="V118" s="8"/>
    </row>
    <row r="119" spans="22:22" ht="14.25" customHeight="1" x14ac:dyDescent="0.3">
      <c r="V119" s="8"/>
    </row>
    <row r="120" spans="22:22" ht="14.25" customHeight="1" x14ac:dyDescent="0.3">
      <c r="V120" s="8"/>
    </row>
    <row r="121" spans="22:22" ht="14.25" customHeight="1" x14ac:dyDescent="0.3">
      <c r="V121" s="8"/>
    </row>
    <row r="122" spans="22:22" ht="14.25" customHeight="1" x14ac:dyDescent="0.3">
      <c r="V122" s="8"/>
    </row>
    <row r="123" spans="22:22" ht="14.25" customHeight="1" x14ac:dyDescent="0.3">
      <c r="V123" s="8"/>
    </row>
    <row r="124" spans="22:22" ht="14.25" customHeight="1" x14ac:dyDescent="0.3">
      <c r="V124" s="8"/>
    </row>
    <row r="125" spans="22:22" ht="14.25" customHeight="1" x14ac:dyDescent="0.3">
      <c r="V125" s="8"/>
    </row>
    <row r="126" spans="22:22" ht="14.25" customHeight="1" x14ac:dyDescent="0.3">
      <c r="V126" s="8"/>
    </row>
    <row r="127" spans="22:22" ht="14.25" customHeight="1" x14ac:dyDescent="0.3">
      <c r="V127" s="8"/>
    </row>
    <row r="128" spans="22:22" ht="14.25" customHeight="1" x14ac:dyDescent="0.3">
      <c r="V128" s="8"/>
    </row>
    <row r="129" spans="22:22" ht="14.25" customHeight="1" x14ac:dyDescent="0.3">
      <c r="V129" s="8"/>
    </row>
    <row r="130" spans="22:22" ht="14.25" customHeight="1" x14ac:dyDescent="0.3">
      <c r="V130" s="8"/>
    </row>
    <row r="131" spans="22:22" ht="14.25" customHeight="1" x14ac:dyDescent="0.3">
      <c r="V131" s="8"/>
    </row>
    <row r="132" spans="22:22" ht="14.25" customHeight="1" x14ac:dyDescent="0.3">
      <c r="V132" s="8"/>
    </row>
    <row r="133" spans="22:22" ht="14.25" customHeight="1" x14ac:dyDescent="0.3">
      <c r="V133" s="8"/>
    </row>
    <row r="134" spans="22:22" ht="14.25" customHeight="1" x14ac:dyDescent="0.3">
      <c r="V134" s="8"/>
    </row>
    <row r="135" spans="22:22" ht="14.25" customHeight="1" x14ac:dyDescent="0.3">
      <c r="V135" s="8"/>
    </row>
    <row r="136" spans="22:22" ht="14.25" customHeight="1" x14ac:dyDescent="0.3">
      <c r="V136" s="8"/>
    </row>
    <row r="137" spans="22:22" ht="14.25" customHeight="1" x14ac:dyDescent="0.3">
      <c r="V137" s="8"/>
    </row>
    <row r="138" spans="22:22" ht="14.25" customHeight="1" x14ac:dyDescent="0.3">
      <c r="V138" s="8"/>
    </row>
    <row r="139" spans="22:22" ht="14.25" customHeight="1" x14ac:dyDescent="0.3">
      <c r="V139" s="8"/>
    </row>
    <row r="140" spans="22:22" ht="14.25" customHeight="1" x14ac:dyDescent="0.3">
      <c r="V140" s="8"/>
    </row>
    <row r="141" spans="22:22" ht="14.25" customHeight="1" x14ac:dyDescent="0.3">
      <c r="V141" s="8"/>
    </row>
    <row r="142" spans="22:22" ht="14.25" customHeight="1" x14ac:dyDescent="0.3">
      <c r="V142" s="8"/>
    </row>
    <row r="143" spans="22:22" ht="14.25" customHeight="1" x14ac:dyDescent="0.3">
      <c r="V143" s="8"/>
    </row>
    <row r="144" spans="22:22" ht="14.25" customHeight="1" x14ac:dyDescent="0.3">
      <c r="V144" s="8"/>
    </row>
    <row r="145" spans="22:22" ht="14.25" customHeight="1" x14ac:dyDescent="0.3">
      <c r="V145" s="8"/>
    </row>
    <row r="146" spans="22:22" ht="14.25" customHeight="1" x14ac:dyDescent="0.3">
      <c r="V146" s="8"/>
    </row>
    <row r="147" spans="22:22" ht="14.25" customHeight="1" x14ac:dyDescent="0.3">
      <c r="V147" s="8"/>
    </row>
    <row r="148" spans="22:22" ht="14.25" customHeight="1" x14ac:dyDescent="0.3">
      <c r="V148" s="8"/>
    </row>
    <row r="149" spans="22:22" ht="14.25" customHeight="1" x14ac:dyDescent="0.3">
      <c r="V149" s="8"/>
    </row>
    <row r="150" spans="22:22" ht="14.25" customHeight="1" x14ac:dyDescent="0.3">
      <c r="V150" s="8"/>
    </row>
    <row r="151" spans="22:22" ht="14.25" customHeight="1" x14ac:dyDescent="0.3">
      <c r="V151" s="8"/>
    </row>
    <row r="152" spans="22:22" ht="14.25" customHeight="1" x14ac:dyDescent="0.3">
      <c r="V152" s="8"/>
    </row>
    <row r="153" spans="22:22" ht="14.25" customHeight="1" x14ac:dyDescent="0.3">
      <c r="V153" s="8"/>
    </row>
    <row r="154" spans="22:22" ht="14.25" customHeight="1" x14ac:dyDescent="0.3">
      <c r="V154" s="8"/>
    </row>
    <row r="155" spans="22:22" ht="14.25" customHeight="1" x14ac:dyDescent="0.3">
      <c r="V155" s="8"/>
    </row>
    <row r="156" spans="22:22" ht="14.25" customHeight="1" x14ac:dyDescent="0.3">
      <c r="V156" s="8"/>
    </row>
    <row r="157" spans="22:22" ht="14.25" customHeight="1" x14ac:dyDescent="0.3">
      <c r="V157" s="8"/>
    </row>
    <row r="158" spans="22:22" ht="14.25" customHeight="1" x14ac:dyDescent="0.3">
      <c r="V158" s="8"/>
    </row>
    <row r="159" spans="22:22" ht="14.25" customHeight="1" x14ac:dyDescent="0.3">
      <c r="V159" s="8"/>
    </row>
    <row r="160" spans="22:22" ht="14.25" customHeight="1" x14ac:dyDescent="0.3">
      <c r="V160" s="8"/>
    </row>
    <row r="161" spans="21:22" ht="14.25" customHeight="1" x14ac:dyDescent="0.3">
      <c r="V161" s="8"/>
    </row>
    <row r="162" spans="21:22" ht="14.25" customHeight="1" x14ac:dyDescent="0.3">
      <c r="V162" s="8"/>
    </row>
    <row r="163" spans="21:22" ht="14.25" customHeight="1" x14ac:dyDescent="0.3">
      <c r="U163" s="11" t="s">
        <v>7</v>
      </c>
      <c r="V163" s="8"/>
    </row>
    <row r="164" spans="21:22" ht="14.25" customHeight="1" x14ac:dyDescent="0.25"/>
    <row r="165" spans="21:22" ht="14.25" customHeight="1" x14ac:dyDescent="0.25"/>
    <row r="166" spans="21:22" ht="14.25" customHeight="1" x14ac:dyDescent="0.25"/>
    <row r="167" spans="21:22" ht="14.25" customHeight="1" x14ac:dyDescent="0.25"/>
    <row r="168" spans="21:22" ht="14.25" customHeight="1" x14ac:dyDescent="0.25"/>
    <row r="169" spans="21:22" ht="14.25" customHeight="1" x14ac:dyDescent="0.25"/>
    <row r="170" spans="21:22" ht="14.25" customHeight="1" x14ac:dyDescent="0.25"/>
    <row r="171" spans="21:22" ht="14.25" customHeight="1" x14ac:dyDescent="0.25"/>
    <row r="172" spans="21:22" ht="14.25" customHeight="1" x14ac:dyDescent="0.25"/>
    <row r="173" spans="21:22" ht="14.25" customHeight="1" x14ac:dyDescent="0.25"/>
    <row r="174" spans="21:22" ht="14.25" customHeight="1" x14ac:dyDescent="0.25"/>
    <row r="175" spans="21:22" ht="14.25" customHeight="1" x14ac:dyDescent="0.25"/>
    <row r="176" spans="21:22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9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F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F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A22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364</vt:lpstr>
      <vt:lpstr>Discharge vs Depth</vt:lpstr>
      <vt:lpstr>Discharge vs Width</vt:lpstr>
      <vt:lpstr>Discharge vs Area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Ruma</cp:lastModifiedBy>
  <dcterms:created xsi:type="dcterms:W3CDTF">2020-06-07T15:01:13Z</dcterms:created>
  <dcterms:modified xsi:type="dcterms:W3CDTF">2021-07-17T00:45:30Z</dcterms:modified>
</cp:coreProperties>
</file>