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23040" windowHeight="8760" activeTab="4"/>
  </bookViews>
  <sheets>
    <sheet name="Collected Data Site 380" sheetId="1" r:id="rId1"/>
    <sheet name="Discharge vs Depth" sheetId="2" r:id="rId2"/>
    <sheet name="Discharge vs Width" sheetId="3" r:id="rId3"/>
    <sheet name="Discharge vs Area" sheetId="4" r:id="rId4"/>
    <sheet name="Discharge vs Veloc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2" i="1" l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P47" i="1"/>
  <c r="O47" i="1"/>
  <c r="P46" i="1"/>
  <c r="O46" i="1"/>
  <c r="P43" i="1" l="1"/>
  <c r="P45" i="1"/>
  <c r="O45" i="1"/>
  <c r="P44" i="1"/>
  <c r="O44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J35" i="1" l="1"/>
  <c r="I35" i="1"/>
  <c r="J34" i="1"/>
  <c r="I34" i="1"/>
  <c r="J33" i="1"/>
  <c r="I33" i="1"/>
  <c r="J32" i="1"/>
  <c r="I32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 l="1"/>
  <c r="C37" i="1"/>
  <c r="D36" i="1"/>
  <c r="C36" i="1"/>
  <c r="D35" i="1"/>
  <c r="C35" i="1"/>
  <c r="D34" i="1"/>
  <c r="C34" i="1"/>
  <c r="D33" i="1"/>
  <c r="C33" i="1"/>
  <c r="D32" i="1"/>
  <c r="C32" i="1"/>
  <c r="L54" i="1" l="1"/>
  <c r="L55" i="1"/>
  <c r="L56" i="1"/>
  <c r="L57" i="1"/>
  <c r="L58" i="1"/>
  <c r="L59" i="1"/>
  <c r="L60" i="1"/>
  <c r="L61" i="1"/>
  <c r="L62" i="1"/>
  <c r="L53" i="1"/>
  <c r="F54" i="1"/>
  <c r="F55" i="1"/>
  <c r="F56" i="1"/>
  <c r="F57" i="1"/>
  <c r="F58" i="1"/>
  <c r="F59" i="1"/>
  <c r="F60" i="1"/>
  <c r="F61" i="1"/>
  <c r="F62" i="1"/>
  <c r="F5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L33" i="1"/>
  <c r="L34" i="1"/>
  <c r="L35" i="1"/>
  <c r="L36" i="1"/>
  <c r="L37" i="1"/>
  <c r="L38" i="1"/>
  <c r="L39" i="1"/>
  <c r="L40" i="1"/>
  <c r="L41" i="1"/>
  <c r="F32" i="1"/>
  <c r="L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2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6" i="1"/>
  <c r="J6" i="1"/>
  <c r="I6" i="1"/>
  <c r="D8" i="1" l="1"/>
  <c r="C8" i="1"/>
  <c r="F8" i="1" s="1"/>
  <c r="C7" i="1"/>
  <c r="F7" i="1" s="1"/>
  <c r="D7" i="1"/>
  <c r="D6" i="1"/>
  <c r="C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F9" i="1"/>
  <c r="F10" i="1"/>
  <c r="F11" i="1"/>
  <c r="F12" i="1"/>
  <c r="F13" i="1"/>
  <c r="F14" i="1"/>
  <c r="F15" i="1"/>
  <c r="F16" i="1"/>
  <c r="F17" i="1"/>
  <c r="F18" i="1"/>
  <c r="F6" i="1"/>
</calcChain>
</file>

<file path=xl/sharedStrings.xml><?xml version="1.0" encoding="utf-8"?>
<sst xmlns="http://schemas.openxmlformats.org/spreadsheetml/2006/main" count="56" uniqueCount="7">
  <si>
    <t>Site</t>
  </si>
  <si>
    <t>Cross Section</t>
  </si>
  <si>
    <t>Stream Discharge (m^3/s)</t>
  </si>
  <si>
    <t>Area (m^2)</t>
  </si>
  <si>
    <t>Width (m)</t>
  </si>
  <si>
    <t>Depth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</si>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</sst>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(76.02)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709601924759399"/>
                  <c:y val="1.34722222222222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0.2305x</a:t>
                    </a:r>
                    <a:r>
                      <a:rPr lang="en-US" sz="1200" baseline="30000"/>
                      <a:t>0.5111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380'!$B$6:$B$18</c:f>
              <c:numCache>
                <c:formatCode>General</c:formatCode>
                <c:ptCount val="13"/>
                <c:pt idx="0">
                  <c:v>260</c:v>
                </c:pt>
                <c:pt idx="1">
                  <c:v>240</c:v>
                </c:pt>
                <c:pt idx="2">
                  <c:v>220</c:v>
                </c:pt>
                <c:pt idx="3">
                  <c:v>200</c:v>
                </c:pt>
                <c:pt idx="4">
                  <c:v>180</c:v>
                </c:pt>
                <c:pt idx="5">
                  <c:v>160</c:v>
                </c:pt>
                <c:pt idx="6">
                  <c:v>140</c:v>
                </c:pt>
                <c:pt idx="7">
                  <c:v>120</c:v>
                </c:pt>
                <c:pt idx="8">
                  <c:v>100</c:v>
                </c:pt>
                <c:pt idx="9">
                  <c:v>80</c:v>
                </c:pt>
                <c:pt idx="10">
                  <c:v>60</c:v>
                </c:pt>
                <c:pt idx="11">
                  <c:v>40</c:v>
                </c:pt>
                <c:pt idx="12">
                  <c:v>20</c:v>
                </c:pt>
              </c:numCache>
            </c:numRef>
          </c:xVal>
          <c:yVal>
            <c:numRef>
              <c:f>'Collected Data Site 380'!$E$6:$E$18</c:f>
              <c:numCache>
                <c:formatCode>General</c:formatCode>
                <c:ptCount val="13"/>
                <c:pt idx="0">
                  <c:v>4.28</c:v>
                </c:pt>
                <c:pt idx="1">
                  <c:v>4.01</c:v>
                </c:pt>
                <c:pt idx="2">
                  <c:v>3.88</c:v>
                </c:pt>
                <c:pt idx="3">
                  <c:v>3.3</c:v>
                </c:pt>
                <c:pt idx="4">
                  <c:v>3.13</c:v>
                </c:pt>
                <c:pt idx="5">
                  <c:v>2.95</c:v>
                </c:pt>
                <c:pt idx="6">
                  <c:v>2.77</c:v>
                </c:pt>
                <c:pt idx="7">
                  <c:v>2.57</c:v>
                </c:pt>
                <c:pt idx="8">
                  <c:v>2.36</c:v>
                </c:pt>
                <c:pt idx="9">
                  <c:v>2.12</c:v>
                </c:pt>
                <c:pt idx="10">
                  <c:v>1.86</c:v>
                </c:pt>
                <c:pt idx="11">
                  <c:v>1.55</c:v>
                </c:pt>
                <c:pt idx="12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A-43A0-904E-AF952CEF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30216"/>
        <c:axId val="530329888"/>
      </c:scatterChart>
      <c:valAx>
        <c:axId val="530330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29888"/>
        <c:crosses val="autoZero"/>
        <c:crossBetween val="midCat"/>
      </c:valAx>
      <c:valAx>
        <c:axId val="53032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(205.53)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642127621747818"/>
                  <c:y val="-8.878317293671623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11.273x</a:t>
                    </a:r>
                    <a:r>
                      <a:rPr lang="en-US" sz="1200" baseline="30000"/>
                      <a:t>0.2293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0.5007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380'!$H$6:$H$23</c:f>
              <c:numCache>
                <c:formatCode>General</c:formatCode>
                <c:ptCount val="18"/>
                <c:pt idx="0">
                  <c:v>180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40</c:v>
                </c:pt>
                <c:pt idx="15">
                  <c:v>30</c:v>
                </c:pt>
                <c:pt idx="16">
                  <c:v>20</c:v>
                </c:pt>
                <c:pt idx="17">
                  <c:v>10</c:v>
                </c:pt>
              </c:numCache>
            </c:numRef>
          </c:xVal>
          <c:yVal>
            <c:numRef>
              <c:f>'Collected Data Site 380'!$J$6:$J$23</c:f>
              <c:numCache>
                <c:formatCode>General</c:formatCode>
                <c:ptCount val="18"/>
                <c:pt idx="0">
                  <c:v>75.13</c:v>
                </c:pt>
                <c:pt idx="1">
                  <c:v>33.28</c:v>
                </c:pt>
                <c:pt idx="2">
                  <c:v>32.799999999999997</c:v>
                </c:pt>
                <c:pt idx="3">
                  <c:v>32.369999999999997</c:v>
                </c:pt>
                <c:pt idx="4">
                  <c:v>31.89</c:v>
                </c:pt>
                <c:pt idx="5">
                  <c:v>31.67</c:v>
                </c:pt>
                <c:pt idx="6">
                  <c:v>31.17</c:v>
                </c:pt>
                <c:pt idx="7">
                  <c:v>30.72</c:v>
                </c:pt>
                <c:pt idx="8">
                  <c:v>30.35</c:v>
                </c:pt>
                <c:pt idx="9">
                  <c:v>29.79</c:v>
                </c:pt>
                <c:pt idx="10">
                  <c:v>29.34</c:v>
                </c:pt>
                <c:pt idx="11">
                  <c:v>28.7</c:v>
                </c:pt>
                <c:pt idx="12">
                  <c:v>28.1</c:v>
                </c:pt>
                <c:pt idx="13">
                  <c:v>27.43</c:v>
                </c:pt>
                <c:pt idx="14">
                  <c:v>26.65</c:v>
                </c:pt>
                <c:pt idx="15">
                  <c:v>25.65</c:v>
                </c:pt>
                <c:pt idx="16">
                  <c:v>23.67</c:v>
                </c:pt>
                <c:pt idx="17">
                  <c:v>19.989999999999998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E-4B33-B2D6-7B04B715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0184"/>
        <c:axId val="522932152"/>
      </c:scatterChart>
      <c:valAx>
        <c:axId val="522930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2152"/>
        <c:crosses val="autoZero"/>
        <c:crossBetween val="midCat"/>
      </c:valAx>
      <c:valAx>
        <c:axId val="522932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(393.61)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069236873118947"/>
                  <c:y val="5.05092592592592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15.545x</a:t>
                    </a:r>
                    <a:r>
                      <a:rPr lang="en-US" sz="1200" baseline="30000"/>
                      <a:t>0.2205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0.9757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380'!$N$6:$N$25</c:f>
              <c:numCache>
                <c:formatCode>General</c:formatCode>
                <c:ptCount val="20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  <c:pt idx="15">
                  <c:v>100</c:v>
                </c:pt>
                <c:pt idx="16">
                  <c:v>80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</c:numCache>
            </c:numRef>
          </c:xVal>
          <c:yVal>
            <c:numRef>
              <c:f>'Collected Data Site 380'!$P$6:$P$25</c:f>
              <c:numCache>
                <c:formatCode>General</c:formatCode>
                <c:ptCount val="20"/>
                <c:pt idx="0">
                  <c:v>56.21</c:v>
                </c:pt>
                <c:pt idx="1">
                  <c:v>55.86</c:v>
                </c:pt>
                <c:pt idx="2">
                  <c:v>55.54</c:v>
                </c:pt>
                <c:pt idx="3">
                  <c:v>55.17</c:v>
                </c:pt>
                <c:pt idx="4">
                  <c:v>54.8</c:v>
                </c:pt>
                <c:pt idx="5">
                  <c:v>54.44</c:v>
                </c:pt>
                <c:pt idx="6">
                  <c:v>54.08</c:v>
                </c:pt>
                <c:pt idx="7">
                  <c:v>53.66</c:v>
                </c:pt>
                <c:pt idx="8">
                  <c:v>52.78</c:v>
                </c:pt>
                <c:pt idx="9">
                  <c:v>52.06</c:v>
                </c:pt>
                <c:pt idx="10">
                  <c:v>50.29</c:v>
                </c:pt>
                <c:pt idx="11">
                  <c:v>49.28</c:v>
                </c:pt>
                <c:pt idx="12">
                  <c:v>47.9</c:v>
                </c:pt>
                <c:pt idx="13">
                  <c:v>46.9</c:v>
                </c:pt>
                <c:pt idx="14">
                  <c:v>45.68</c:v>
                </c:pt>
                <c:pt idx="15">
                  <c:v>43.98</c:v>
                </c:pt>
                <c:pt idx="16">
                  <c:v>42.3</c:v>
                </c:pt>
                <c:pt idx="17">
                  <c:v>40.43</c:v>
                </c:pt>
                <c:pt idx="18">
                  <c:v>34.380000000000003</c:v>
                </c:pt>
                <c:pt idx="19">
                  <c:v>27.99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4-4360-85CE-A8A9D365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33424"/>
        <c:axId val="527534080"/>
      </c:scatterChart>
      <c:valAx>
        <c:axId val="52753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4080"/>
        <c:crosses val="autoZero"/>
        <c:crossBetween val="midCat"/>
      </c:valAx>
      <c:valAx>
        <c:axId val="527534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(545.89)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794510061242345"/>
                  <c:y val="0.101435185185185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10.714x</a:t>
                    </a:r>
                    <a:r>
                      <a:rPr lang="en-US" sz="1200" baseline="30000"/>
                      <a:t>0.2714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0.9824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380'!$B$32:$B$46</c:f>
              <c:numCache>
                <c:formatCode>General</c:formatCode>
                <c:ptCount val="15"/>
                <c:pt idx="0">
                  <c:v>3000</c:v>
                </c:pt>
                <c:pt idx="1">
                  <c:v>2800</c:v>
                </c:pt>
                <c:pt idx="2">
                  <c:v>2600</c:v>
                </c:pt>
                <c:pt idx="3">
                  <c:v>2400</c:v>
                </c:pt>
                <c:pt idx="4">
                  <c:v>2200</c:v>
                </c:pt>
                <c:pt idx="5">
                  <c:v>2000</c:v>
                </c:pt>
                <c:pt idx="6">
                  <c:v>1800</c:v>
                </c:pt>
                <c:pt idx="7">
                  <c:v>1600</c:v>
                </c:pt>
                <c:pt idx="8">
                  <c:v>1400</c:v>
                </c:pt>
                <c:pt idx="9">
                  <c:v>1200</c:v>
                </c:pt>
                <c:pt idx="10">
                  <c:v>1000</c:v>
                </c:pt>
                <c:pt idx="11">
                  <c:v>800</c:v>
                </c:pt>
                <c:pt idx="12">
                  <c:v>600</c:v>
                </c:pt>
                <c:pt idx="13">
                  <c:v>400</c:v>
                </c:pt>
                <c:pt idx="14">
                  <c:v>200</c:v>
                </c:pt>
              </c:numCache>
            </c:numRef>
          </c:xVal>
          <c:yVal>
            <c:numRef>
              <c:f>'Collected Data Site 380'!$D$32:$D$46</c:f>
              <c:numCache>
                <c:formatCode>General</c:formatCode>
                <c:ptCount val="15"/>
                <c:pt idx="0">
                  <c:v>93.44</c:v>
                </c:pt>
                <c:pt idx="1">
                  <c:v>92.1</c:v>
                </c:pt>
                <c:pt idx="2">
                  <c:v>90.320000000000007</c:v>
                </c:pt>
                <c:pt idx="3">
                  <c:v>89.28</c:v>
                </c:pt>
                <c:pt idx="4">
                  <c:v>87.15</c:v>
                </c:pt>
                <c:pt idx="5">
                  <c:v>84.6</c:v>
                </c:pt>
                <c:pt idx="6">
                  <c:v>81.47</c:v>
                </c:pt>
                <c:pt idx="7">
                  <c:v>78.47</c:v>
                </c:pt>
                <c:pt idx="8">
                  <c:v>75.900000000000006</c:v>
                </c:pt>
                <c:pt idx="9">
                  <c:v>72.63</c:v>
                </c:pt>
                <c:pt idx="10">
                  <c:v>68.900000000000006</c:v>
                </c:pt>
                <c:pt idx="11">
                  <c:v>65.63</c:v>
                </c:pt>
                <c:pt idx="12">
                  <c:v>62.45</c:v>
                </c:pt>
                <c:pt idx="13">
                  <c:v>58.94</c:v>
                </c:pt>
                <c:pt idx="14">
                  <c:v>42.49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9-4839-9F6F-2A400C83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42160"/>
        <c:axId val="467043144"/>
      </c:scatterChart>
      <c:valAx>
        <c:axId val="467042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3144"/>
        <c:crosses val="autoZero"/>
        <c:crossBetween val="midCat"/>
      </c:valAx>
      <c:valAx>
        <c:axId val="467043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(754.75)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909864391951007"/>
                  <c:y val="6.25769174686497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13.994x</a:t>
                    </a:r>
                    <a:r>
                      <a:rPr lang="en-US" sz="1200" baseline="30000"/>
                      <a:t>0.285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0.531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380'!$H$32:$H$41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380'!$J$32:$J$41</c:f>
              <c:numCache>
                <c:formatCode>General</c:formatCode>
                <c:ptCount val="10"/>
                <c:pt idx="0">
                  <c:v>58.089999999999996</c:v>
                </c:pt>
                <c:pt idx="1">
                  <c:v>51.689999999999991</c:v>
                </c:pt>
                <c:pt idx="2">
                  <c:v>41.900000000000006</c:v>
                </c:pt>
                <c:pt idx="3">
                  <c:v>34.99</c:v>
                </c:pt>
                <c:pt idx="4">
                  <c:v>28.42</c:v>
                </c:pt>
                <c:pt idx="5">
                  <c:v>28.26</c:v>
                </c:pt>
                <c:pt idx="6">
                  <c:v>28.07</c:v>
                </c:pt>
                <c:pt idx="7">
                  <c:v>27.87</c:v>
                </c:pt>
                <c:pt idx="8">
                  <c:v>27.65</c:v>
                </c:pt>
                <c:pt idx="9">
                  <c:v>27.35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1-44F6-A3F4-08F299FD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69928"/>
        <c:axId val="521066976"/>
      </c:scatterChart>
      <c:valAx>
        <c:axId val="521069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6976"/>
        <c:crosses val="autoZero"/>
        <c:crossBetween val="midCat"/>
      </c:valAx>
      <c:valAx>
        <c:axId val="52106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(857.05)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9355686789151354"/>
                  <c:y val="0.129212962962962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15.533x</a:t>
                    </a:r>
                    <a:r>
                      <a:rPr lang="en-US" sz="1200" baseline="30000"/>
                      <a:t>0.3953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0.9731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380'!$N$32:$N$47</c:f>
              <c:numCache>
                <c:formatCode>General</c:formatCode>
                <c:ptCount val="1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</c:numCache>
            </c:numRef>
          </c:xVal>
          <c:yVal>
            <c:numRef>
              <c:f>'Collected Data Site 380'!$P$32:$P$47</c:f>
              <c:numCache>
                <c:formatCode>General</c:formatCode>
                <c:ptCount val="16"/>
                <c:pt idx="0">
                  <c:v>84.039999999999992</c:v>
                </c:pt>
                <c:pt idx="1">
                  <c:v>83.27</c:v>
                </c:pt>
                <c:pt idx="2">
                  <c:v>82.78</c:v>
                </c:pt>
                <c:pt idx="3">
                  <c:v>82.38</c:v>
                </c:pt>
                <c:pt idx="4">
                  <c:v>79.900000000000006</c:v>
                </c:pt>
                <c:pt idx="5">
                  <c:v>72.990000000000009</c:v>
                </c:pt>
                <c:pt idx="6">
                  <c:v>70.37</c:v>
                </c:pt>
                <c:pt idx="7">
                  <c:v>68.08</c:v>
                </c:pt>
                <c:pt idx="8">
                  <c:v>65.740000000000009</c:v>
                </c:pt>
                <c:pt idx="9">
                  <c:v>63.28</c:v>
                </c:pt>
                <c:pt idx="10">
                  <c:v>62.08</c:v>
                </c:pt>
                <c:pt idx="11">
                  <c:v>59.34</c:v>
                </c:pt>
                <c:pt idx="12">
                  <c:v>57.25</c:v>
                </c:pt>
                <c:pt idx="13">
                  <c:v>47.95</c:v>
                </c:pt>
                <c:pt idx="14">
                  <c:v>36.97</c:v>
                </c:pt>
                <c:pt idx="15">
                  <c:v>26.91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6-4E28-A787-9FB9E6E9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59880"/>
        <c:axId val="539760736"/>
      </c:scatterChart>
      <c:valAx>
        <c:axId val="447359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736"/>
        <c:crosses val="autoZero"/>
        <c:crossBetween val="midCat"/>
      </c:valAx>
      <c:valAx>
        <c:axId val="53976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Discharge</a:t>
            </a:r>
            <a:r>
              <a:rPr lang="en-US" baseline="0"/>
              <a:t> vs Width (944.43)</a:t>
            </a:r>
            <a:endParaRPr lang="en-US"/>
          </a:p>
        </c:rich>
      </c:tx>
      <c:layout>
        <c:manualLayout>
          <c:xMode val="edge"/>
          <c:yMode val="edge"/>
          <c:x val="0.3039374453193350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708114610673663"/>
                  <c:y val="0.110179352580927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24.766x</a:t>
                    </a:r>
                    <a:r>
                      <a:rPr lang="en-US" sz="1200" baseline="30000"/>
                      <a:t>0.1763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0.9321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380'!$B$53:$B$62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380'!$D$53:$D$62</c:f>
              <c:numCache>
                <c:formatCode>General</c:formatCode>
                <c:ptCount val="10"/>
                <c:pt idx="0">
                  <c:v>51.61</c:v>
                </c:pt>
                <c:pt idx="1">
                  <c:v>50.1</c:v>
                </c:pt>
                <c:pt idx="2">
                  <c:v>48.68</c:v>
                </c:pt>
                <c:pt idx="3">
                  <c:v>45.7</c:v>
                </c:pt>
                <c:pt idx="4">
                  <c:v>43.5</c:v>
                </c:pt>
                <c:pt idx="5">
                  <c:v>42.17</c:v>
                </c:pt>
                <c:pt idx="6">
                  <c:v>40.74</c:v>
                </c:pt>
                <c:pt idx="7">
                  <c:v>39.1</c:v>
                </c:pt>
                <c:pt idx="8">
                  <c:v>36.51</c:v>
                </c:pt>
                <c:pt idx="9">
                  <c:v>34.67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C-433D-A314-172FA62B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3288"/>
        <c:axId val="585476896"/>
      </c:scatterChart>
      <c:valAx>
        <c:axId val="58547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6896"/>
        <c:crosses val="autoZero"/>
        <c:crossBetween val="midCat"/>
      </c:valAx>
      <c:valAx>
        <c:axId val="585476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(1048.5)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6115704286964126E-2"/>
                  <c:y val="9.2175925925925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24.381x</a:t>
                    </a:r>
                    <a:r>
                      <a:rPr lang="en-US" sz="1200" baseline="30000"/>
                      <a:t>0.3589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0.9633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380'!$H$53:$H$62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</c:numCache>
            </c:numRef>
          </c:xVal>
          <c:yVal>
            <c:numRef>
              <c:f>'Collected Data Site 380'!$J$53:$J$62</c:f>
              <c:numCache>
                <c:formatCode>General</c:formatCode>
                <c:ptCount val="10"/>
                <c:pt idx="0">
                  <c:v>90.09</c:v>
                </c:pt>
                <c:pt idx="1">
                  <c:v>75.930000000000007</c:v>
                </c:pt>
                <c:pt idx="2">
                  <c:v>73.8</c:v>
                </c:pt>
                <c:pt idx="3">
                  <c:v>71.710000000000008</c:v>
                </c:pt>
                <c:pt idx="4">
                  <c:v>68.37</c:v>
                </c:pt>
                <c:pt idx="5">
                  <c:v>64.28</c:v>
                </c:pt>
                <c:pt idx="6">
                  <c:v>60.980000000000004</c:v>
                </c:pt>
                <c:pt idx="7">
                  <c:v>55.85</c:v>
                </c:pt>
                <c:pt idx="8">
                  <c:v>42.27</c:v>
                </c:pt>
                <c:pt idx="9">
                  <c:v>37.769999999999996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3-4DF4-AF17-901F4486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0504"/>
        <c:axId val="585477224"/>
      </c:scatterChart>
      <c:valAx>
        <c:axId val="585480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7224"/>
        <c:crosses val="autoZero"/>
        <c:crossBetween val="midCat"/>
      </c:valAx>
      <c:valAx>
        <c:axId val="585477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(76.02)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63819763171316"/>
                  <c:y val="-8.42942548848060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1.4715x</a:t>
                    </a:r>
                    <a:r>
                      <a:rPr lang="en-US" sz="1200" baseline="30000"/>
                      <a:t>0.7547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0.9745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380'!$B$6:$B$18</c:f>
              <c:numCache>
                <c:formatCode>General</c:formatCode>
                <c:ptCount val="13"/>
                <c:pt idx="0">
                  <c:v>260</c:v>
                </c:pt>
                <c:pt idx="1">
                  <c:v>240</c:v>
                </c:pt>
                <c:pt idx="2">
                  <c:v>220</c:v>
                </c:pt>
                <c:pt idx="3">
                  <c:v>200</c:v>
                </c:pt>
                <c:pt idx="4">
                  <c:v>180</c:v>
                </c:pt>
                <c:pt idx="5">
                  <c:v>160</c:v>
                </c:pt>
                <c:pt idx="6">
                  <c:v>140</c:v>
                </c:pt>
                <c:pt idx="7">
                  <c:v>120</c:v>
                </c:pt>
                <c:pt idx="8">
                  <c:v>100</c:v>
                </c:pt>
                <c:pt idx="9">
                  <c:v>80</c:v>
                </c:pt>
                <c:pt idx="10">
                  <c:v>60</c:v>
                </c:pt>
                <c:pt idx="11">
                  <c:v>40</c:v>
                </c:pt>
                <c:pt idx="12">
                  <c:v>20</c:v>
                </c:pt>
              </c:numCache>
            </c:numRef>
          </c:xVal>
          <c:yVal>
            <c:numRef>
              <c:f>'Collected Data Site 380'!$C$6:$C$18</c:f>
              <c:numCache>
                <c:formatCode>General</c:formatCode>
                <c:ptCount val="13"/>
                <c:pt idx="0">
                  <c:v>118.4</c:v>
                </c:pt>
                <c:pt idx="1">
                  <c:v>102.29</c:v>
                </c:pt>
                <c:pt idx="2">
                  <c:v>95.11</c:v>
                </c:pt>
                <c:pt idx="3">
                  <c:v>72.260000000000005</c:v>
                </c:pt>
                <c:pt idx="4">
                  <c:v>67.2</c:v>
                </c:pt>
                <c:pt idx="5">
                  <c:v>62.04</c:v>
                </c:pt>
                <c:pt idx="6">
                  <c:v>56.79</c:v>
                </c:pt>
                <c:pt idx="7">
                  <c:v>51.21</c:v>
                </c:pt>
                <c:pt idx="8">
                  <c:v>45.41</c:v>
                </c:pt>
                <c:pt idx="9">
                  <c:v>39.18</c:v>
                </c:pt>
                <c:pt idx="10">
                  <c:v>32.380000000000003</c:v>
                </c:pt>
                <c:pt idx="11">
                  <c:v>24.66</c:v>
                </c:pt>
                <c:pt idx="12">
                  <c:v>15.17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B-41E6-844A-293A0DBEE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30216"/>
        <c:axId val="530329888"/>
      </c:scatterChart>
      <c:valAx>
        <c:axId val="530330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29888"/>
        <c:crosses val="autoZero"/>
        <c:crossBetween val="midCat"/>
      </c:valAx>
      <c:valAx>
        <c:axId val="53032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Area (m^2)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(205.53)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312700236313879"/>
                  <c:y val="8.84259259259259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2.6456x</a:t>
                    </a:r>
                    <a:r>
                      <a:rPr lang="en-US" sz="1200" baseline="30000"/>
                      <a:t>0.6618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0.9976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380'!$H$6:$H$23</c:f>
              <c:numCache>
                <c:formatCode>General</c:formatCode>
                <c:ptCount val="18"/>
                <c:pt idx="0">
                  <c:v>180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40</c:v>
                </c:pt>
                <c:pt idx="15">
                  <c:v>30</c:v>
                </c:pt>
                <c:pt idx="16">
                  <c:v>20</c:v>
                </c:pt>
                <c:pt idx="17">
                  <c:v>10</c:v>
                </c:pt>
              </c:numCache>
            </c:numRef>
          </c:xVal>
          <c:yVal>
            <c:numRef>
              <c:f>'Collected Data Site 380'!$I$6:$I$23</c:f>
              <c:numCache>
                <c:formatCode>General</c:formatCode>
                <c:ptCount val="18"/>
                <c:pt idx="0">
                  <c:v>90.679999999999993</c:v>
                </c:pt>
                <c:pt idx="1">
                  <c:v>78.16</c:v>
                </c:pt>
                <c:pt idx="2">
                  <c:v>74.81</c:v>
                </c:pt>
                <c:pt idx="3">
                  <c:v>71.739999999999995</c:v>
                </c:pt>
                <c:pt idx="4">
                  <c:v>68.5</c:v>
                </c:pt>
                <c:pt idx="5">
                  <c:v>65.38</c:v>
                </c:pt>
                <c:pt idx="6">
                  <c:v>62.04</c:v>
                </c:pt>
                <c:pt idx="7">
                  <c:v>58.61</c:v>
                </c:pt>
                <c:pt idx="8">
                  <c:v>55.08</c:v>
                </c:pt>
                <c:pt idx="9">
                  <c:v>51.57</c:v>
                </c:pt>
                <c:pt idx="10">
                  <c:v>47.84</c:v>
                </c:pt>
                <c:pt idx="11">
                  <c:v>43.91</c:v>
                </c:pt>
                <c:pt idx="12">
                  <c:v>39.89</c:v>
                </c:pt>
                <c:pt idx="13">
                  <c:v>35.47</c:v>
                </c:pt>
                <c:pt idx="14">
                  <c:v>30.76</c:v>
                </c:pt>
                <c:pt idx="15">
                  <c:v>25.42</c:v>
                </c:pt>
                <c:pt idx="16">
                  <c:v>19.29</c:v>
                </c:pt>
                <c:pt idx="17">
                  <c:v>12.08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1-4433-80F7-981746B5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0184"/>
        <c:axId val="522932152"/>
      </c:scatterChart>
      <c:valAx>
        <c:axId val="522930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2152"/>
        <c:crosses val="autoZero"/>
        <c:crossBetween val="midCat"/>
      </c:valAx>
      <c:valAx>
        <c:axId val="522932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(393.61)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412659355080615"/>
                  <c:y val="-2.32935987168270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7.3262x</a:t>
                    </a:r>
                    <a:r>
                      <a:rPr lang="en-US" sz="1200" baseline="30000"/>
                      <a:t>0.5712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0.9936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380'!$N$6:$N$25</c:f>
              <c:numCache>
                <c:formatCode>General</c:formatCode>
                <c:ptCount val="20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  <c:pt idx="15">
                  <c:v>100</c:v>
                </c:pt>
                <c:pt idx="16">
                  <c:v>80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</c:numCache>
            </c:numRef>
          </c:xVal>
          <c:yVal>
            <c:numRef>
              <c:f>'Collected Data Site 380'!$O$6:$O$25</c:f>
              <c:numCache>
                <c:formatCode>General</c:formatCode>
                <c:ptCount val="20"/>
                <c:pt idx="0">
                  <c:v>216.93</c:v>
                </c:pt>
                <c:pt idx="1">
                  <c:v>212.71</c:v>
                </c:pt>
                <c:pt idx="2">
                  <c:v>208.19</c:v>
                </c:pt>
                <c:pt idx="3">
                  <c:v>203.73</c:v>
                </c:pt>
                <c:pt idx="4">
                  <c:v>198.93</c:v>
                </c:pt>
                <c:pt idx="5">
                  <c:v>194.55</c:v>
                </c:pt>
                <c:pt idx="6">
                  <c:v>189.99</c:v>
                </c:pt>
                <c:pt idx="7">
                  <c:v>184.94</c:v>
                </c:pt>
                <c:pt idx="8">
                  <c:v>174.89</c:v>
                </c:pt>
                <c:pt idx="9">
                  <c:v>168.54</c:v>
                </c:pt>
                <c:pt idx="10">
                  <c:v>153.06</c:v>
                </c:pt>
                <c:pt idx="11">
                  <c:v>144.43</c:v>
                </c:pt>
                <c:pt idx="12">
                  <c:v>128.93</c:v>
                </c:pt>
                <c:pt idx="13">
                  <c:v>118.85</c:v>
                </c:pt>
                <c:pt idx="14">
                  <c:v>108.43</c:v>
                </c:pt>
                <c:pt idx="15">
                  <c:v>97.98</c:v>
                </c:pt>
                <c:pt idx="16">
                  <c:v>85.82</c:v>
                </c:pt>
                <c:pt idx="17">
                  <c:v>73.23</c:v>
                </c:pt>
                <c:pt idx="18">
                  <c:v>59.12</c:v>
                </c:pt>
                <c:pt idx="19">
                  <c:v>43.81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8-454E-8E91-EF663ED1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33424"/>
        <c:axId val="527534080"/>
      </c:scatterChart>
      <c:valAx>
        <c:axId val="52753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4080"/>
        <c:crosses val="autoZero"/>
        <c:crossBetween val="midCat"/>
      </c:valAx>
      <c:valAx>
        <c:axId val="527534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(205.53)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013324179673268"/>
                  <c:y val="4.695246427529891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0.3723x</a:t>
                    </a:r>
                    <a:r>
                      <a:rPr lang="en-US" sz="1200" baseline="30000"/>
                      <a:t>0.429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380'!$H$6:$H$23</c:f>
              <c:numCache>
                <c:formatCode>General</c:formatCode>
                <c:ptCount val="18"/>
                <c:pt idx="0">
                  <c:v>180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40</c:v>
                </c:pt>
                <c:pt idx="15">
                  <c:v>30</c:v>
                </c:pt>
                <c:pt idx="16">
                  <c:v>20</c:v>
                </c:pt>
                <c:pt idx="17">
                  <c:v>10</c:v>
                </c:pt>
              </c:numCache>
            </c:numRef>
          </c:xVal>
          <c:yVal>
            <c:numRef>
              <c:f>'Collected Data Site 380'!$K$6:$K$23</c:f>
              <c:numCache>
                <c:formatCode>General</c:formatCode>
                <c:ptCount val="18"/>
                <c:pt idx="0">
                  <c:v>3.63</c:v>
                </c:pt>
                <c:pt idx="1">
                  <c:v>3.39</c:v>
                </c:pt>
                <c:pt idx="2">
                  <c:v>3.29</c:v>
                </c:pt>
                <c:pt idx="3">
                  <c:v>3.19</c:v>
                </c:pt>
                <c:pt idx="4">
                  <c:v>3.09</c:v>
                </c:pt>
                <c:pt idx="5">
                  <c:v>2.99</c:v>
                </c:pt>
                <c:pt idx="6">
                  <c:v>2.89</c:v>
                </c:pt>
                <c:pt idx="7">
                  <c:v>2.78</c:v>
                </c:pt>
                <c:pt idx="8">
                  <c:v>2.66</c:v>
                </c:pt>
                <c:pt idx="9">
                  <c:v>2.54</c:v>
                </c:pt>
                <c:pt idx="10">
                  <c:v>2.42</c:v>
                </c:pt>
                <c:pt idx="11">
                  <c:v>2.2799999999999998</c:v>
                </c:pt>
                <c:pt idx="12">
                  <c:v>2.14</c:v>
                </c:pt>
                <c:pt idx="13">
                  <c:v>1.98</c:v>
                </c:pt>
                <c:pt idx="14">
                  <c:v>1.8</c:v>
                </c:pt>
                <c:pt idx="15">
                  <c:v>1.6</c:v>
                </c:pt>
                <c:pt idx="16">
                  <c:v>1.35</c:v>
                </c:pt>
                <c:pt idx="17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6-408F-B882-5B6A2302D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0184"/>
        <c:axId val="522932152"/>
      </c:scatterChart>
      <c:valAx>
        <c:axId val="522930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2152"/>
        <c:crosses val="autoZero"/>
        <c:crossBetween val="midCat"/>
      </c:valAx>
      <c:valAx>
        <c:axId val="522932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(545.89)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794510061242345"/>
                  <c:y val="0.101435185185185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11.285x</a:t>
                    </a:r>
                    <a:r>
                      <a:rPr lang="en-US" sz="1200" baseline="30000"/>
                      <a:t>0.4871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380'!$B$32:$B$46</c:f>
              <c:numCache>
                <c:formatCode>General</c:formatCode>
                <c:ptCount val="15"/>
                <c:pt idx="0">
                  <c:v>3000</c:v>
                </c:pt>
                <c:pt idx="1">
                  <c:v>2800</c:v>
                </c:pt>
                <c:pt idx="2">
                  <c:v>2600</c:v>
                </c:pt>
                <c:pt idx="3">
                  <c:v>2400</c:v>
                </c:pt>
                <c:pt idx="4">
                  <c:v>2200</c:v>
                </c:pt>
                <c:pt idx="5">
                  <c:v>2000</c:v>
                </c:pt>
                <c:pt idx="6">
                  <c:v>1800</c:v>
                </c:pt>
                <c:pt idx="7">
                  <c:v>1600</c:v>
                </c:pt>
                <c:pt idx="8">
                  <c:v>1400</c:v>
                </c:pt>
                <c:pt idx="9">
                  <c:v>1200</c:v>
                </c:pt>
                <c:pt idx="10">
                  <c:v>1000</c:v>
                </c:pt>
                <c:pt idx="11">
                  <c:v>800</c:v>
                </c:pt>
                <c:pt idx="12">
                  <c:v>600</c:v>
                </c:pt>
                <c:pt idx="13">
                  <c:v>400</c:v>
                </c:pt>
                <c:pt idx="14">
                  <c:v>200</c:v>
                </c:pt>
              </c:numCache>
            </c:numRef>
          </c:xVal>
          <c:yVal>
            <c:numRef>
              <c:f>'Collected Data Site 380'!$C$32:$C$46</c:f>
              <c:numCache>
                <c:formatCode>General</c:formatCode>
                <c:ptCount val="15"/>
                <c:pt idx="0">
                  <c:v>565.42000000000007</c:v>
                </c:pt>
                <c:pt idx="1">
                  <c:v>544.71</c:v>
                </c:pt>
                <c:pt idx="2">
                  <c:v>524.49</c:v>
                </c:pt>
                <c:pt idx="3">
                  <c:v>503.29</c:v>
                </c:pt>
                <c:pt idx="4">
                  <c:v>479.67</c:v>
                </c:pt>
                <c:pt idx="5">
                  <c:v>452.77000000000004</c:v>
                </c:pt>
                <c:pt idx="6">
                  <c:v>426.86</c:v>
                </c:pt>
                <c:pt idx="7">
                  <c:v>402.47</c:v>
                </c:pt>
                <c:pt idx="8">
                  <c:v>377.96</c:v>
                </c:pt>
                <c:pt idx="9">
                  <c:v>352.98999999999995</c:v>
                </c:pt>
                <c:pt idx="10">
                  <c:v>325.72000000000003</c:v>
                </c:pt>
                <c:pt idx="11">
                  <c:v>296.23</c:v>
                </c:pt>
                <c:pt idx="12">
                  <c:v>261.47999999999996</c:v>
                </c:pt>
                <c:pt idx="13">
                  <c:v>211.82000000000002</c:v>
                </c:pt>
                <c:pt idx="14">
                  <c:v>146.94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4338-B5EC-933FABFD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42160"/>
        <c:axId val="467043144"/>
      </c:scatterChart>
      <c:valAx>
        <c:axId val="467042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3144"/>
        <c:crosses val="autoZero"/>
        <c:crossBetween val="midCat"/>
      </c:valAx>
      <c:valAx>
        <c:axId val="467043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(754.75)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909864391951007"/>
                  <c:y val="6.25769174686497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26.544x</a:t>
                    </a:r>
                    <a:r>
                      <a:rPr lang="en-US" sz="1200" baseline="30000"/>
                      <a:t>0.2968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0.9734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380'!$H$32:$H$41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380'!$I$32:$I$41</c:f>
              <c:numCache>
                <c:formatCode>General</c:formatCode>
                <c:ptCount val="10"/>
                <c:pt idx="0">
                  <c:v>90.490000000000009</c:v>
                </c:pt>
                <c:pt idx="1">
                  <c:v>84.690000000000012</c:v>
                </c:pt>
                <c:pt idx="2">
                  <c:v>79.5</c:v>
                </c:pt>
                <c:pt idx="3">
                  <c:v>74.679999999999993</c:v>
                </c:pt>
                <c:pt idx="4">
                  <c:v>70.7</c:v>
                </c:pt>
                <c:pt idx="5">
                  <c:v>66.739999999999995</c:v>
                </c:pt>
                <c:pt idx="6">
                  <c:v>62.6</c:v>
                </c:pt>
                <c:pt idx="7">
                  <c:v>57.88</c:v>
                </c:pt>
                <c:pt idx="8">
                  <c:v>52.14</c:v>
                </c:pt>
                <c:pt idx="9">
                  <c:v>44.94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C-40C1-9AB8-5FCE8A49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69928"/>
        <c:axId val="521066976"/>
      </c:scatterChart>
      <c:valAx>
        <c:axId val="521069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6976"/>
        <c:crosses val="autoZero"/>
        <c:crossBetween val="midCat"/>
      </c:valAx>
      <c:valAx>
        <c:axId val="52106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(857.05)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9355686789151354"/>
                  <c:y val="0.129212962962962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19.277x</a:t>
                    </a:r>
                    <a:r>
                      <a:rPr lang="en-US" sz="1200" baseline="30000"/>
                      <a:t>0.473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0.9764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380'!$N$32:$N$47</c:f>
              <c:numCache>
                <c:formatCode>General</c:formatCode>
                <c:ptCount val="1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</c:numCache>
            </c:numRef>
          </c:xVal>
          <c:yVal>
            <c:numRef>
              <c:f>'Collected Data Site 380'!$O$32:$O$47</c:f>
              <c:numCache>
                <c:formatCode>General</c:formatCode>
                <c:ptCount val="16"/>
                <c:pt idx="0">
                  <c:v>162.88</c:v>
                </c:pt>
                <c:pt idx="1">
                  <c:v>156.44999999999999</c:v>
                </c:pt>
                <c:pt idx="2">
                  <c:v>149.89999999999998</c:v>
                </c:pt>
                <c:pt idx="3">
                  <c:v>142.94999999999999</c:v>
                </c:pt>
                <c:pt idx="4">
                  <c:v>136.01000000000002</c:v>
                </c:pt>
                <c:pt idx="5">
                  <c:v>129.22999999999999</c:v>
                </c:pt>
                <c:pt idx="6">
                  <c:v>122.13</c:v>
                </c:pt>
                <c:pt idx="7">
                  <c:v>115.04</c:v>
                </c:pt>
                <c:pt idx="8">
                  <c:v>107.61999999999999</c:v>
                </c:pt>
                <c:pt idx="9">
                  <c:v>99.6</c:v>
                </c:pt>
                <c:pt idx="10">
                  <c:v>91.28</c:v>
                </c:pt>
                <c:pt idx="11">
                  <c:v>82.92</c:v>
                </c:pt>
                <c:pt idx="12">
                  <c:v>74.16</c:v>
                </c:pt>
                <c:pt idx="13">
                  <c:v>64.8</c:v>
                </c:pt>
                <c:pt idx="14">
                  <c:v>56.33</c:v>
                </c:pt>
                <c:pt idx="15">
                  <c:v>47.87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9-4FAC-9E1D-3DF93B93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59880"/>
        <c:axId val="539760736"/>
      </c:scatterChart>
      <c:valAx>
        <c:axId val="447359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736"/>
        <c:crosses val="autoZero"/>
        <c:crossBetween val="midCat"/>
      </c:valAx>
      <c:valAx>
        <c:axId val="53976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Discharge</a:t>
            </a:r>
            <a:r>
              <a:rPr lang="en-US" baseline="0"/>
              <a:t> vs Area (944.43)</a:t>
            </a:r>
            <a:endParaRPr lang="en-US"/>
          </a:p>
        </c:rich>
      </c:tx>
      <c:layout>
        <c:manualLayout>
          <c:xMode val="edge"/>
          <c:yMode val="edge"/>
          <c:x val="0.3039374453193350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086445745084002"/>
                  <c:y val="0.111185112277631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35.946x</a:t>
                    </a:r>
                    <a:r>
                      <a:rPr lang="en-US" sz="1200" baseline="30000"/>
                      <a:t>0.2982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0.9829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380'!$B$53:$B$62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380'!$C$53:$C$62</c:f>
              <c:numCache>
                <c:formatCode>General</c:formatCode>
                <c:ptCount val="10"/>
                <c:pt idx="0">
                  <c:v>119.89</c:v>
                </c:pt>
                <c:pt idx="1">
                  <c:v>114.68</c:v>
                </c:pt>
                <c:pt idx="2">
                  <c:v>109.16</c:v>
                </c:pt>
                <c:pt idx="3">
                  <c:v>103.29</c:v>
                </c:pt>
                <c:pt idx="4">
                  <c:v>97.47</c:v>
                </c:pt>
                <c:pt idx="5">
                  <c:v>91.49</c:v>
                </c:pt>
                <c:pt idx="6">
                  <c:v>85.16</c:v>
                </c:pt>
                <c:pt idx="7">
                  <c:v>78.31</c:v>
                </c:pt>
                <c:pt idx="8">
                  <c:v>70.34</c:v>
                </c:pt>
                <c:pt idx="9">
                  <c:v>60.94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3-4A9E-BCF2-9FFAE4C9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3288"/>
        <c:axId val="585476896"/>
      </c:scatterChart>
      <c:valAx>
        <c:axId val="58547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6896"/>
        <c:crosses val="autoZero"/>
        <c:crossBetween val="midCat"/>
      </c:valAx>
      <c:valAx>
        <c:axId val="585476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Area (1048.5)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6115704286964126E-2"/>
                  <c:y val="9.2175925925925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48.559x</a:t>
                    </a:r>
                    <a:r>
                      <a:rPr lang="en-US" sz="1200" baseline="30000"/>
                      <a:t>0.2903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0.9623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380'!$H$53:$H$62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</c:numCache>
            </c:numRef>
          </c:xVal>
          <c:yVal>
            <c:numRef>
              <c:f>'Collected Data Site 380'!$I$53:$I$62</c:f>
              <c:numCache>
                <c:formatCode>General</c:formatCode>
                <c:ptCount val="10"/>
                <c:pt idx="0">
                  <c:v>137.34</c:v>
                </c:pt>
                <c:pt idx="1">
                  <c:v>130.56</c:v>
                </c:pt>
                <c:pt idx="2">
                  <c:v>124.1</c:v>
                </c:pt>
                <c:pt idx="3">
                  <c:v>117.34000000000002</c:v>
                </c:pt>
                <c:pt idx="4">
                  <c:v>110.4</c:v>
                </c:pt>
                <c:pt idx="5">
                  <c:v>103.38</c:v>
                </c:pt>
                <c:pt idx="6">
                  <c:v>94.600000000000009</c:v>
                </c:pt>
                <c:pt idx="7">
                  <c:v>87.660000000000011</c:v>
                </c:pt>
                <c:pt idx="8">
                  <c:v>80</c:v>
                </c:pt>
                <c:pt idx="9">
                  <c:v>71.72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7-4B56-BB5B-296E05B8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0504"/>
        <c:axId val="585477224"/>
      </c:scatterChart>
      <c:valAx>
        <c:axId val="585480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7224"/>
        <c:crosses val="autoZero"/>
        <c:crossBetween val="midCat"/>
      </c:valAx>
      <c:valAx>
        <c:axId val="585477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(76.02)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386881327334084"/>
                  <c:y val="-0.103398585593467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0.6796x</a:t>
                    </a:r>
                    <a:r>
                      <a:rPr lang="en-US" sz="1200" baseline="30000"/>
                      <a:t>0.2453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0.8016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380'!$B$6:$B$18</c:f>
              <c:numCache>
                <c:formatCode>General</c:formatCode>
                <c:ptCount val="13"/>
                <c:pt idx="0">
                  <c:v>260</c:v>
                </c:pt>
                <c:pt idx="1">
                  <c:v>240</c:v>
                </c:pt>
                <c:pt idx="2">
                  <c:v>220</c:v>
                </c:pt>
                <c:pt idx="3">
                  <c:v>200</c:v>
                </c:pt>
                <c:pt idx="4">
                  <c:v>180</c:v>
                </c:pt>
                <c:pt idx="5">
                  <c:v>160</c:v>
                </c:pt>
                <c:pt idx="6">
                  <c:v>140</c:v>
                </c:pt>
                <c:pt idx="7">
                  <c:v>120</c:v>
                </c:pt>
                <c:pt idx="8">
                  <c:v>100</c:v>
                </c:pt>
                <c:pt idx="9">
                  <c:v>80</c:v>
                </c:pt>
                <c:pt idx="10">
                  <c:v>60</c:v>
                </c:pt>
                <c:pt idx="11">
                  <c:v>40</c:v>
                </c:pt>
                <c:pt idx="12">
                  <c:v>20</c:v>
                </c:pt>
              </c:numCache>
            </c:numRef>
          </c:xVal>
          <c:yVal>
            <c:numRef>
              <c:f>'Collected Data Site 380'!$F$6:$F$18</c:f>
              <c:numCache>
                <c:formatCode>General</c:formatCode>
                <c:ptCount val="13"/>
                <c:pt idx="0">
                  <c:v>2.1959459459459461</c:v>
                </c:pt>
                <c:pt idx="1">
                  <c:v>2.3462704076644831</c:v>
                </c:pt>
                <c:pt idx="2">
                  <c:v>2.3131111344758701</c:v>
                </c:pt>
                <c:pt idx="3">
                  <c:v>2.767783005812344</c:v>
                </c:pt>
                <c:pt idx="4">
                  <c:v>2.6785714285714284</c:v>
                </c:pt>
                <c:pt idx="5">
                  <c:v>2.5789813023855577</c:v>
                </c:pt>
                <c:pt idx="6">
                  <c:v>2.4652227504842403</c:v>
                </c:pt>
                <c:pt idx="7">
                  <c:v>2.3432923257176332</c:v>
                </c:pt>
                <c:pt idx="8">
                  <c:v>2.2021581149526539</c:v>
                </c:pt>
                <c:pt idx="9">
                  <c:v>2.0418580908626849</c:v>
                </c:pt>
                <c:pt idx="10">
                  <c:v>1.8529956763434217</c:v>
                </c:pt>
                <c:pt idx="11">
                  <c:v>1.6220600162206003</c:v>
                </c:pt>
                <c:pt idx="12">
                  <c:v>1.3183915622940012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B-44BA-8DDF-731DA96F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30216"/>
        <c:axId val="530329888"/>
      </c:scatterChart>
      <c:valAx>
        <c:axId val="530330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29888"/>
        <c:crosses val="autoZero"/>
        <c:crossBetween val="midCat"/>
      </c:valAx>
      <c:valAx>
        <c:axId val="53032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Velocity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(205.53)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130358705161854"/>
                  <c:y val="-5.70173519976669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0.378x</a:t>
                    </a:r>
                    <a:r>
                      <a:rPr lang="en-US" sz="1200" baseline="30000"/>
                      <a:t>0.3382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0.9907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380'!$H$6:$H$23</c:f>
              <c:numCache>
                <c:formatCode>General</c:formatCode>
                <c:ptCount val="18"/>
                <c:pt idx="0">
                  <c:v>180</c:v>
                </c:pt>
                <c:pt idx="1">
                  <c:v>170</c:v>
                </c:pt>
                <c:pt idx="2">
                  <c:v>160</c:v>
                </c:pt>
                <c:pt idx="3">
                  <c:v>150</c:v>
                </c:pt>
                <c:pt idx="4">
                  <c:v>140</c:v>
                </c:pt>
                <c:pt idx="5">
                  <c:v>130</c:v>
                </c:pt>
                <c:pt idx="6">
                  <c:v>120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80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40</c:v>
                </c:pt>
                <c:pt idx="15">
                  <c:v>30</c:v>
                </c:pt>
                <c:pt idx="16">
                  <c:v>20</c:v>
                </c:pt>
                <c:pt idx="17">
                  <c:v>10</c:v>
                </c:pt>
              </c:numCache>
            </c:numRef>
          </c:xVal>
          <c:yVal>
            <c:numRef>
              <c:f>'Collected Data Site 380'!$L$6:$L$23</c:f>
              <c:numCache>
                <c:formatCode>General</c:formatCode>
                <c:ptCount val="18"/>
                <c:pt idx="0">
                  <c:v>1.9850022055580063</c:v>
                </c:pt>
                <c:pt idx="1">
                  <c:v>2.1750255885363359</c:v>
                </c:pt>
                <c:pt idx="2">
                  <c:v>2.138751503809651</c:v>
                </c:pt>
                <c:pt idx="3">
                  <c:v>2.0908837468636747</c:v>
                </c:pt>
                <c:pt idx="4">
                  <c:v>2.0437956204379564</c:v>
                </c:pt>
                <c:pt idx="5">
                  <c:v>1.9883756500458858</c:v>
                </c:pt>
                <c:pt idx="6">
                  <c:v>1.9342359767891684</c:v>
                </c:pt>
                <c:pt idx="7">
                  <c:v>1.8768128305749872</c:v>
                </c:pt>
                <c:pt idx="8">
                  <c:v>1.8155410312273057</c:v>
                </c:pt>
                <c:pt idx="9">
                  <c:v>1.7452006980802792</c:v>
                </c:pt>
                <c:pt idx="10">
                  <c:v>1.6722408026755851</c:v>
                </c:pt>
                <c:pt idx="11">
                  <c:v>1.5941698929628787</c:v>
                </c:pt>
                <c:pt idx="12">
                  <c:v>1.5041363750313361</c:v>
                </c:pt>
                <c:pt idx="13">
                  <c:v>1.4096419509444602</c:v>
                </c:pt>
                <c:pt idx="14">
                  <c:v>1.3003901170351104</c:v>
                </c:pt>
                <c:pt idx="15">
                  <c:v>1.1801730920535012</c:v>
                </c:pt>
                <c:pt idx="16">
                  <c:v>1.0368066355624677</c:v>
                </c:pt>
                <c:pt idx="17">
                  <c:v>0.82781456953642385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E-4486-A6B1-EF056F01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0184"/>
        <c:axId val="522932152"/>
      </c:scatterChart>
      <c:valAx>
        <c:axId val="522930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2152"/>
        <c:crosses val="autoZero"/>
        <c:crossBetween val="midCat"/>
      </c:valAx>
      <c:valAx>
        <c:axId val="522932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(393.61)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283375832469339"/>
                  <c:y val="-7.55511811023622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0.1365x</a:t>
                    </a:r>
                    <a:r>
                      <a:rPr lang="en-US" sz="1200" baseline="30000"/>
                      <a:t>0.4288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0.9886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380'!$N$6:$N$25</c:f>
              <c:numCache>
                <c:formatCode>General</c:formatCode>
                <c:ptCount val="20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  <c:pt idx="15">
                  <c:v>100</c:v>
                </c:pt>
                <c:pt idx="16">
                  <c:v>80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</c:numCache>
            </c:numRef>
          </c:xVal>
          <c:yVal>
            <c:numRef>
              <c:f>'Collected Data Site 380'!$R$6:$R$25</c:f>
              <c:numCache>
                <c:formatCode>General</c:formatCode>
                <c:ptCount val="20"/>
                <c:pt idx="0">
                  <c:v>1.8439127829253676</c:v>
                </c:pt>
                <c:pt idx="1">
                  <c:v>1.7864698415683324</c:v>
                </c:pt>
                <c:pt idx="2">
                  <c:v>1.7291896825015611</c:v>
                </c:pt>
                <c:pt idx="3">
                  <c:v>1.6688754724390125</c:v>
                </c:pt>
                <c:pt idx="4">
                  <c:v>1.6086060423264463</c:v>
                </c:pt>
                <c:pt idx="5">
                  <c:v>1.5420200462606013</c:v>
                </c:pt>
                <c:pt idx="6">
                  <c:v>1.4737617769356282</c:v>
                </c:pt>
                <c:pt idx="7">
                  <c:v>1.4058613604412242</c:v>
                </c:pt>
                <c:pt idx="8">
                  <c:v>1.3722911544399339</c:v>
                </c:pt>
                <c:pt idx="9">
                  <c:v>1.3053281120208853</c:v>
                </c:pt>
                <c:pt idx="10">
                  <c:v>1.3066771200836274</c:v>
                </c:pt>
                <c:pt idx="11">
                  <c:v>1.2462784740012463</c:v>
                </c:pt>
                <c:pt idx="12">
                  <c:v>1.2409834794074304</c:v>
                </c:pt>
                <c:pt idx="13">
                  <c:v>1.1779554059739168</c:v>
                </c:pt>
                <c:pt idx="14">
                  <c:v>1.1067047864982016</c:v>
                </c:pt>
                <c:pt idx="15">
                  <c:v>1.0206164523372117</c:v>
                </c:pt>
                <c:pt idx="16">
                  <c:v>0.93218364017711497</c:v>
                </c:pt>
                <c:pt idx="17">
                  <c:v>0.81933633756657098</c:v>
                </c:pt>
                <c:pt idx="18">
                  <c:v>0.67658998646820034</c:v>
                </c:pt>
                <c:pt idx="19">
                  <c:v>0.45651677699155441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B-44CE-80E4-E548C3EC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33424"/>
        <c:axId val="527534080"/>
      </c:scatterChart>
      <c:valAx>
        <c:axId val="52753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4080"/>
        <c:crosses val="autoZero"/>
        <c:crossBetween val="midCat"/>
      </c:valAx>
      <c:valAx>
        <c:axId val="527534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(545.89)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794510061242345"/>
                  <c:y val="0.101435185185185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0.0886x</a:t>
                    </a:r>
                    <a:r>
                      <a:rPr lang="en-US" sz="1200" baseline="30000"/>
                      <a:t>0.5129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380'!$B$32:$B$46</c:f>
              <c:numCache>
                <c:formatCode>General</c:formatCode>
                <c:ptCount val="15"/>
                <c:pt idx="0">
                  <c:v>3000</c:v>
                </c:pt>
                <c:pt idx="1">
                  <c:v>2800</c:v>
                </c:pt>
                <c:pt idx="2">
                  <c:v>2600</c:v>
                </c:pt>
                <c:pt idx="3">
                  <c:v>2400</c:v>
                </c:pt>
                <c:pt idx="4">
                  <c:v>2200</c:v>
                </c:pt>
                <c:pt idx="5">
                  <c:v>2000</c:v>
                </c:pt>
                <c:pt idx="6">
                  <c:v>1800</c:v>
                </c:pt>
                <c:pt idx="7">
                  <c:v>1600</c:v>
                </c:pt>
                <c:pt idx="8">
                  <c:v>1400</c:v>
                </c:pt>
                <c:pt idx="9">
                  <c:v>1200</c:v>
                </c:pt>
                <c:pt idx="10">
                  <c:v>1000</c:v>
                </c:pt>
                <c:pt idx="11">
                  <c:v>800</c:v>
                </c:pt>
                <c:pt idx="12">
                  <c:v>600</c:v>
                </c:pt>
                <c:pt idx="13">
                  <c:v>400</c:v>
                </c:pt>
                <c:pt idx="14">
                  <c:v>200</c:v>
                </c:pt>
              </c:numCache>
            </c:numRef>
          </c:xVal>
          <c:yVal>
            <c:numRef>
              <c:f>'Collected Data Site 380'!$F$32:$F$46</c:f>
              <c:numCache>
                <c:formatCode>General</c:formatCode>
                <c:ptCount val="15"/>
                <c:pt idx="0">
                  <c:v>5.3057903859078204</c:v>
                </c:pt>
                <c:pt idx="1">
                  <c:v>5.1403499109617963</c:v>
                </c:pt>
                <c:pt idx="2">
                  <c:v>4.9571965147095272</c:v>
                </c:pt>
                <c:pt idx="3">
                  <c:v>4.7686224641856585</c:v>
                </c:pt>
                <c:pt idx="4">
                  <c:v>4.5864865428315298</c:v>
                </c:pt>
                <c:pt idx="5">
                  <c:v>4.4172537933166947</c:v>
                </c:pt>
                <c:pt idx="6">
                  <c:v>4.2168392447172369</c:v>
                </c:pt>
                <c:pt idx="7">
                  <c:v>3.9754515864536484</c:v>
                </c:pt>
                <c:pt idx="8">
                  <c:v>3.7040956714996298</c:v>
                </c:pt>
                <c:pt idx="9">
                  <c:v>3.3995297317204458</c:v>
                </c:pt>
                <c:pt idx="10">
                  <c:v>3.0701215768144414</c:v>
                </c:pt>
                <c:pt idx="11">
                  <c:v>2.7006042602032201</c:v>
                </c:pt>
                <c:pt idx="12">
                  <c:v>2.2946305644791192</c:v>
                </c:pt>
                <c:pt idx="13">
                  <c:v>1.8883958077613066</c:v>
                </c:pt>
                <c:pt idx="14">
                  <c:v>1.3610997686130393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A-4A98-B3D3-12A621C2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42160"/>
        <c:axId val="467043144"/>
      </c:scatterChart>
      <c:valAx>
        <c:axId val="467042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3144"/>
        <c:crosses val="autoZero"/>
        <c:crossBetween val="midCat"/>
      </c:valAx>
      <c:valAx>
        <c:axId val="467043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(754.75)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909864391951007"/>
                  <c:y val="6.25769174686497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0.0377x</a:t>
                    </a:r>
                    <a:r>
                      <a:rPr lang="en-US" sz="1200" baseline="30000"/>
                      <a:t>0.7032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0.9952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380'!$H$32:$H$41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380'!$L$32:$L$41</c:f>
              <c:numCache>
                <c:formatCode>General</c:formatCode>
                <c:ptCount val="10"/>
                <c:pt idx="0">
                  <c:v>0.55254724278925837</c:v>
                </c:pt>
                <c:pt idx="1">
                  <c:v>0.53134962805526031</c:v>
                </c:pt>
                <c:pt idx="2">
                  <c:v>0.50314465408805031</c:v>
                </c:pt>
                <c:pt idx="3">
                  <c:v>0.46866630958757372</c:v>
                </c:pt>
                <c:pt idx="4">
                  <c:v>0.42432814710042432</c:v>
                </c:pt>
                <c:pt idx="5">
                  <c:v>0.37458795325142347</c:v>
                </c:pt>
                <c:pt idx="6">
                  <c:v>0.31948881789137379</c:v>
                </c:pt>
                <c:pt idx="7">
                  <c:v>0.25915687629578438</c:v>
                </c:pt>
                <c:pt idx="8">
                  <c:v>0.19179133103183735</c:v>
                </c:pt>
                <c:pt idx="9">
                  <c:v>0.11125945705384958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D-4DEC-9D88-AB62F8D6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69928"/>
        <c:axId val="521066976"/>
      </c:scatterChart>
      <c:valAx>
        <c:axId val="521069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6976"/>
        <c:crosses val="autoZero"/>
        <c:crossBetween val="midCat"/>
      </c:valAx>
      <c:valAx>
        <c:axId val="52106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(393.61)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12174103237095"/>
                  <c:y val="4.50415573053368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0.716x</a:t>
                    </a:r>
                    <a:r>
                      <a:rPr lang="en-US" sz="1200" baseline="30000"/>
                      <a:t>0.3582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0.9942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380'!$N$6:$N$25</c:f>
              <c:numCache>
                <c:formatCode>General</c:formatCode>
                <c:ptCount val="20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  <c:pt idx="6">
                  <c:v>280</c:v>
                </c:pt>
                <c:pt idx="7">
                  <c:v>260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180</c:v>
                </c:pt>
                <c:pt idx="12">
                  <c:v>160</c:v>
                </c:pt>
                <c:pt idx="13">
                  <c:v>140</c:v>
                </c:pt>
                <c:pt idx="14">
                  <c:v>120</c:v>
                </c:pt>
                <c:pt idx="15">
                  <c:v>100</c:v>
                </c:pt>
                <c:pt idx="16">
                  <c:v>80</c:v>
                </c:pt>
                <c:pt idx="17">
                  <c:v>60</c:v>
                </c:pt>
                <c:pt idx="18">
                  <c:v>40</c:v>
                </c:pt>
                <c:pt idx="19">
                  <c:v>20</c:v>
                </c:pt>
              </c:numCache>
            </c:numRef>
          </c:xVal>
          <c:yVal>
            <c:numRef>
              <c:f>'Collected Data Site 380'!$Q$6:$Q$25</c:f>
              <c:numCache>
                <c:formatCode>General</c:formatCode>
                <c:ptCount val="20"/>
                <c:pt idx="0">
                  <c:v>6</c:v>
                </c:pt>
                <c:pt idx="1">
                  <c:v>5.93</c:v>
                </c:pt>
                <c:pt idx="2">
                  <c:v>5.85</c:v>
                </c:pt>
                <c:pt idx="3">
                  <c:v>5.76</c:v>
                </c:pt>
                <c:pt idx="4">
                  <c:v>5.68</c:v>
                </c:pt>
                <c:pt idx="5">
                  <c:v>5.59</c:v>
                </c:pt>
                <c:pt idx="6">
                  <c:v>5.52</c:v>
                </c:pt>
                <c:pt idx="7">
                  <c:v>5.42</c:v>
                </c:pt>
                <c:pt idx="8">
                  <c:v>5.23</c:v>
                </c:pt>
                <c:pt idx="9">
                  <c:v>5.1100000000000003</c:v>
                </c:pt>
                <c:pt idx="10">
                  <c:v>4.8099999999999996</c:v>
                </c:pt>
                <c:pt idx="11">
                  <c:v>4.63</c:v>
                </c:pt>
                <c:pt idx="12">
                  <c:v>4.3099999999999996</c:v>
                </c:pt>
                <c:pt idx="13">
                  <c:v>4.0999999999999996</c:v>
                </c:pt>
                <c:pt idx="14">
                  <c:v>3.87</c:v>
                </c:pt>
                <c:pt idx="15">
                  <c:v>3.63</c:v>
                </c:pt>
                <c:pt idx="16">
                  <c:v>3.36</c:v>
                </c:pt>
                <c:pt idx="17">
                  <c:v>3.05</c:v>
                </c:pt>
                <c:pt idx="18">
                  <c:v>2.68</c:v>
                </c:pt>
                <c:pt idx="19">
                  <c:v>2.1800000000000002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8-4F86-A9A7-8A9F7997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33424"/>
        <c:axId val="527534080"/>
      </c:scatterChart>
      <c:valAx>
        <c:axId val="52753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4080"/>
        <c:crosses val="autoZero"/>
        <c:crossBetween val="midCat"/>
      </c:valAx>
      <c:valAx>
        <c:axId val="527534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(857.05)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9355686789151354"/>
                  <c:y val="0.129212962962962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0.0519x</a:t>
                    </a:r>
                    <a:r>
                      <a:rPr lang="en-US" sz="1200" baseline="30000"/>
                      <a:t>0.527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0.9809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380'!$N$32:$N$47</c:f>
              <c:numCache>
                <c:formatCode>General</c:formatCode>
                <c:ptCount val="1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</c:numCache>
            </c:numRef>
          </c:xVal>
          <c:yVal>
            <c:numRef>
              <c:f>'Collected Data Site 380'!$R$32:$R$47</c:f>
              <c:numCache>
                <c:formatCode>General</c:formatCode>
                <c:ptCount val="16"/>
                <c:pt idx="0">
                  <c:v>0.49115913555992141</c:v>
                </c:pt>
                <c:pt idx="1">
                  <c:v>0.4793863854266539</c:v>
                </c:pt>
                <c:pt idx="2">
                  <c:v>0.46697798532354912</c:v>
                </c:pt>
                <c:pt idx="3">
                  <c:v>0.45470444211262684</c:v>
                </c:pt>
                <c:pt idx="4">
                  <c:v>0.44114403352694648</c:v>
                </c:pt>
                <c:pt idx="5">
                  <c:v>0.42559777141530608</c:v>
                </c:pt>
                <c:pt idx="6">
                  <c:v>0.40939981986407925</c:v>
                </c:pt>
                <c:pt idx="7">
                  <c:v>0.39116828929068148</c:v>
                </c:pt>
                <c:pt idx="8">
                  <c:v>0.37167812674224127</c:v>
                </c:pt>
                <c:pt idx="9">
                  <c:v>0.35140562248995988</c:v>
                </c:pt>
                <c:pt idx="10">
                  <c:v>0.32865907099035935</c:v>
                </c:pt>
                <c:pt idx="11">
                  <c:v>0.30149541726965751</c:v>
                </c:pt>
                <c:pt idx="12">
                  <c:v>0.26968716289104638</c:v>
                </c:pt>
                <c:pt idx="13">
                  <c:v>0.23148148148148148</c:v>
                </c:pt>
                <c:pt idx="14">
                  <c:v>0.17752529735487307</c:v>
                </c:pt>
                <c:pt idx="15">
                  <c:v>0.10444955086693128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D-4127-BBCC-690990B2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59880"/>
        <c:axId val="539760736"/>
      </c:scatterChart>
      <c:valAx>
        <c:axId val="447359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736"/>
        <c:crosses val="autoZero"/>
        <c:crossBetween val="midCat"/>
      </c:valAx>
      <c:valAx>
        <c:axId val="53976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Discharge</a:t>
            </a:r>
            <a:r>
              <a:rPr lang="en-US" baseline="0"/>
              <a:t> vs Velocity (944.43)</a:t>
            </a:r>
            <a:endParaRPr lang="en-US"/>
          </a:p>
        </c:rich>
      </c:tx>
      <c:layout>
        <c:manualLayout>
          <c:xMode val="edge"/>
          <c:yMode val="edge"/>
          <c:x val="0.3039374453193350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64991384127072"/>
                  <c:y val="8.6237970253718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0.0278x</a:t>
                    </a:r>
                    <a:r>
                      <a:rPr lang="en-US" sz="1200" baseline="30000"/>
                      <a:t>0.7018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0.9969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380'!$B$53:$B$62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380'!$F$53:$F$62</c:f>
              <c:numCache>
                <c:formatCode>General</c:formatCode>
                <c:ptCount val="10"/>
                <c:pt idx="0">
                  <c:v>0.41704896154808574</c:v>
                </c:pt>
                <c:pt idx="1">
                  <c:v>0.39239623299616322</c:v>
                </c:pt>
                <c:pt idx="2">
                  <c:v>0.36643459142543056</c:v>
                </c:pt>
                <c:pt idx="3">
                  <c:v>0.33885177655145704</c:v>
                </c:pt>
                <c:pt idx="4">
                  <c:v>0.30778701138811942</c:v>
                </c:pt>
                <c:pt idx="5">
                  <c:v>0.27325390753087769</c:v>
                </c:pt>
                <c:pt idx="6">
                  <c:v>0.23485204321277597</c:v>
                </c:pt>
                <c:pt idx="7">
                  <c:v>0.19154641808198186</c:v>
                </c:pt>
                <c:pt idx="8">
                  <c:v>0.14216661927779356</c:v>
                </c:pt>
                <c:pt idx="9">
                  <c:v>8.2047915982934039E-2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6-48C5-9C3E-640168FF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3288"/>
        <c:axId val="585476896"/>
      </c:scatterChart>
      <c:valAx>
        <c:axId val="58547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6896"/>
        <c:crosses val="autoZero"/>
        <c:crossBetween val="midCat"/>
      </c:valAx>
      <c:valAx>
        <c:axId val="585476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Velocity (1048.5)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751172650824729"/>
                  <c:y val="-6.972149314668999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0.0206x</a:t>
                    </a:r>
                    <a:r>
                      <a:rPr lang="en-US" sz="1200" baseline="30000"/>
                      <a:t>0.7097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0.9935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380'!$H$53:$H$62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</c:numCache>
            </c:numRef>
          </c:xVal>
          <c:yVal>
            <c:numRef>
              <c:f>'Collected Data Site 380'!$L$53:$L$62</c:f>
              <c:numCache>
                <c:formatCode>General</c:formatCode>
                <c:ptCount val="10"/>
                <c:pt idx="0">
                  <c:v>0.218435998252512</c:v>
                </c:pt>
                <c:pt idx="1">
                  <c:v>0.20680147058823528</c:v>
                </c:pt>
                <c:pt idx="2">
                  <c:v>0.19339242546333602</c:v>
                </c:pt>
                <c:pt idx="3">
                  <c:v>0.17896710414181011</c:v>
                </c:pt>
                <c:pt idx="4">
                  <c:v>0.16304347826086957</c:v>
                </c:pt>
                <c:pt idx="5">
                  <c:v>0.14509576320371445</c:v>
                </c:pt>
                <c:pt idx="6">
                  <c:v>0.12684989429175475</c:v>
                </c:pt>
                <c:pt idx="7">
                  <c:v>0.10266940451745378</c:v>
                </c:pt>
                <c:pt idx="8">
                  <c:v>7.4999999999999997E-2</c:v>
                </c:pt>
                <c:pt idx="9">
                  <c:v>4.1829336307863917E-2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F-4B4B-B007-A283A72B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0504"/>
        <c:axId val="585477224"/>
      </c:scatterChart>
      <c:valAx>
        <c:axId val="585480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7224"/>
        <c:crosses val="autoZero"/>
        <c:crossBetween val="midCat"/>
      </c:valAx>
      <c:valAx>
        <c:axId val="585477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(545.89)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683398950131233"/>
                  <c:y val="-0.100271216097987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1.0757x</a:t>
                    </a:r>
                    <a:r>
                      <a:rPr lang="en-US" sz="1200" baseline="30000"/>
                      <a:t>0.2879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380'!$B$32:$B$46</c:f>
              <c:numCache>
                <c:formatCode>General</c:formatCode>
                <c:ptCount val="15"/>
                <c:pt idx="0">
                  <c:v>3000</c:v>
                </c:pt>
                <c:pt idx="1">
                  <c:v>2800</c:v>
                </c:pt>
                <c:pt idx="2">
                  <c:v>2600</c:v>
                </c:pt>
                <c:pt idx="3">
                  <c:v>2400</c:v>
                </c:pt>
                <c:pt idx="4">
                  <c:v>2200</c:v>
                </c:pt>
                <c:pt idx="5">
                  <c:v>2000</c:v>
                </c:pt>
                <c:pt idx="6">
                  <c:v>1800</c:v>
                </c:pt>
                <c:pt idx="7">
                  <c:v>1600</c:v>
                </c:pt>
                <c:pt idx="8">
                  <c:v>1400</c:v>
                </c:pt>
                <c:pt idx="9">
                  <c:v>1200</c:v>
                </c:pt>
                <c:pt idx="10">
                  <c:v>1000</c:v>
                </c:pt>
                <c:pt idx="11">
                  <c:v>800</c:v>
                </c:pt>
                <c:pt idx="12">
                  <c:v>600</c:v>
                </c:pt>
                <c:pt idx="13">
                  <c:v>400</c:v>
                </c:pt>
                <c:pt idx="14">
                  <c:v>200</c:v>
                </c:pt>
              </c:numCache>
            </c:numRef>
          </c:xVal>
          <c:yVal>
            <c:numRef>
              <c:f>'Collected Data Site 380'!$E$32:$E$46</c:f>
              <c:numCache>
                <c:formatCode>General</c:formatCode>
                <c:ptCount val="15"/>
                <c:pt idx="0">
                  <c:v>10.8</c:v>
                </c:pt>
                <c:pt idx="1">
                  <c:v>10.59</c:v>
                </c:pt>
                <c:pt idx="2">
                  <c:v>10.36</c:v>
                </c:pt>
                <c:pt idx="3">
                  <c:v>10.130000000000001</c:v>
                </c:pt>
                <c:pt idx="4">
                  <c:v>9.86</c:v>
                </c:pt>
                <c:pt idx="5">
                  <c:v>9.5399999999999991</c:v>
                </c:pt>
                <c:pt idx="6">
                  <c:v>9.23</c:v>
                </c:pt>
                <c:pt idx="7">
                  <c:v>8.92</c:v>
                </c:pt>
                <c:pt idx="8">
                  <c:v>8.61</c:v>
                </c:pt>
                <c:pt idx="9">
                  <c:v>8.27</c:v>
                </c:pt>
                <c:pt idx="10">
                  <c:v>7.89</c:v>
                </c:pt>
                <c:pt idx="11">
                  <c:v>7.45</c:v>
                </c:pt>
                <c:pt idx="12">
                  <c:v>6.9</c:v>
                </c:pt>
                <c:pt idx="13">
                  <c:v>6.09</c:v>
                </c:pt>
                <c:pt idx="14">
                  <c:v>4.8600000000000003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7B-4D47-9EB4-80ADEDD3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42160"/>
        <c:axId val="467043144"/>
      </c:scatterChart>
      <c:valAx>
        <c:axId val="467042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3144"/>
        <c:crosses val="autoZero"/>
        <c:crossBetween val="midCat"/>
      </c:valAx>
      <c:valAx>
        <c:axId val="467043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(754.75)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763670166229222"/>
                  <c:y val="-8.41276611256926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1.7094x</a:t>
                    </a:r>
                    <a:r>
                      <a:rPr lang="en-US" sz="1200" baseline="30000"/>
                      <a:t>0.1996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0.9891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380'!$H$32:$H$41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380'!$K$32:$K$41</c:f>
              <c:numCache>
                <c:formatCode>General</c:formatCode>
                <c:ptCount val="10"/>
                <c:pt idx="0">
                  <c:v>3.81</c:v>
                </c:pt>
                <c:pt idx="1">
                  <c:v>3.7</c:v>
                </c:pt>
                <c:pt idx="2">
                  <c:v>3.59</c:v>
                </c:pt>
                <c:pt idx="3">
                  <c:v>3.47</c:v>
                </c:pt>
                <c:pt idx="4">
                  <c:v>3.34</c:v>
                </c:pt>
                <c:pt idx="5">
                  <c:v>3.21</c:v>
                </c:pt>
                <c:pt idx="6">
                  <c:v>3.06</c:v>
                </c:pt>
                <c:pt idx="7">
                  <c:v>2.89</c:v>
                </c:pt>
                <c:pt idx="8">
                  <c:v>2.68</c:v>
                </c:pt>
                <c:pt idx="9">
                  <c:v>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A-4F31-B2F5-D447BD57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69928"/>
        <c:axId val="521066976"/>
      </c:scatterChart>
      <c:valAx>
        <c:axId val="521069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6976"/>
        <c:crosses val="autoZero"/>
        <c:crossBetween val="midCat"/>
      </c:valAx>
      <c:valAx>
        <c:axId val="52106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(857.05)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9016535433070865"/>
                  <c:y val="-5.08052639253426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1.6057x</a:t>
                    </a:r>
                    <a:r>
                      <a:rPr lang="en-US" sz="1200" baseline="30000"/>
                      <a:t>0.2206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380'!$N$32:$N$47</c:f>
              <c:numCache>
                <c:formatCode>General</c:formatCode>
                <c:ptCount val="16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  <c:pt idx="12">
                  <c:v>20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</c:numCache>
            </c:numRef>
          </c:xVal>
          <c:yVal>
            <c:numRef>
              <c:f>'Collected Data Site 380'!$Q$32:$Q$47</c:f>
              <c:numCache>
                <c:formatCode>General</c:formatCode>
                <c:ptCount val="16"/>
                <c:pt idx="0">
                  <c:v>4.3099999999999996</c:v>
                </c:pt>
                <c:pt idx="1">
                  <c:v>4.2300000000000004</c:v>
                </c:pt>
                <c:pt idx="2">
                  <c:v>4.1500000000000004</c:v>
                </c:pt>
                <c:pt idx="3">
                  <c:v>4.08</c:v>
                </c:pt>
                <c:pt idx="4">
                  <c:v>4</c:v>
                </c:pt>
                <c:pt idx="5">
                  <c:v>3.9</c:v>
                </c:pt>
                <c:pt idx="6">
                  <c:v>3.81</c:v>
                </c:pt>
                <c:pt idx="7">
                  <c:v>3.7</c:v>
                </c:pt>
                <c:pt idx="8">
                  <c:v>3.58</c:v>
                </c:pt>
                <c:pt idx="9">
                  <c:v>3.46</c:v>
                </c:pt>
                <c:pt idx="10">
                  <c:v>3.33</c:v>
                </c:pt>
                <c:pt idx="11">
                  <c:v>3.19</c:v>
                </c:pt>
                <c:pt idx="12">
                  <c:v>3.04</c:v>
                </c:pt>
                <c:pt idx="13">
                  <c:v>2.87</c:v>
                </c:pt>
                <c:pt idx="14">
                  <c:v>2.66</c:v>
                </c:pt>
                <c:pt idx="15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8-4687-9504-AFFC3E3DC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59880"/>
        <c:axId val="539760736"/>
      </c:scatterChart>
      <c:valAx>
        <c:axId val="447359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736"/>
        <c:crosses val="autoZero"/>
        <c:crossBetween val="midCat"/>
      </c:valAx>
      <c:valAx>
        <c:axId val="5397607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Discharge</a:t>
            </a:r>
            <a:r>
              <a:rPr lang="en-US" baseline="0"/>
              <a:t> vs Depth (944.43)</a:t>
            </a:r>
            <a:endParaRPr lang="en-US"/>
          </a:p>
        </c:rich>
      </c:tx>
      <c:layout>
        <c:manualLayout>
          <c:xMode val="edge"/>
          <c:yMode val="edge"/>
          <c:x val="0.3039374453193350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708114610673663"/>
                  <c:y val="0.110179352580927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1.9254x</a:t>
                    </a:r>
                    <a:r>
                      <a:rPr lang="en-US" sz="1200" baseline="30000"/>
                      <a:t>0.1866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0.9874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380'!$B$53:$B$62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'Collected Data Site 380'!$E$53:$E$62</c:f>
              <c:numCache>
                <c:formatCode>General</c:formatCode>
                <c:ptCount val="10"/>
                <c:pt idx="0">
                  <c:v>4.07</c:v>
                </c:pt>
                <c:pt idx="1">
                  <c:v>3.97</c:v>
                </c:pt>
                <c:pt idx="2">
                  <c:v>3.86</c:v>
                </c:pt>
                <c:pt idx="3">
                  <c:v>3.73</c:v>
                </c:pt>
                <c:pt idx="4">
                  <c:v>3.6</c:v>
                </c:pt>
                <c:pt idx="5">
                  <c:v>3.47</c:v>
                </c:pt>
                <c:pt idx="6">
                  <c:v>3.31</c:v>
                </c:pt>
                <c:pt idx="7">
                  <c:v>3.14</c:v>
                </c:pt>
                <c:pt idx="8">
                  <c:v>2.93</c:v>
                </c:pt>
                <c:pt idx="9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F-40EF-B40E-E34E45D8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73288"/>
        <c:axId val="585476896"/>
      </c:scatterChart>
      <c:valAx>
        <c:axId val="585473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6896"/>
        <c:crosses val="autoZero"/>
        <c:crossBetween val="midCat"/>
      </c:valAx>
      <c:valAx>
        <c:axId val="585476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Depth (1048.5)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601727909011375"/>
                  <c:y val="-8.67588947214931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2.463x</a:t>
                    </a:r>
                    <a:r>
                      <a:rPr lang="en-US" sz="1200" baseline="30000"/>
                      <a:t>0.1395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0.9867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380'!$H$53:$H$62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</c:numCache>
            </c:numRef>
          </c:xVal>
          <c:yVal>
            <c:numRef>
              <c:f>'Collected Data Site 380'!$K$53:$K$62</c:f>
              <c:numCache>
                <c:formatCode>General</c:formatCode>
                <c:ptCount val="10"/>
                <c:pt idx="0">
                  <c:v>4.0199999999999996</c:v>
                </c:pt>
                <c:pt idx="1">
                  <c:v>3.94</c:v>
                </c:pt>
                <c:pt idx="2">
                  <c:v>3.85</c:v>
                </c:pt>
                <c:pt idx="3">
                  <c:v>3.76</c:v>
                </c:pt>
                <c:pt idx="4">
                  <c:v>3.66</c:v>
                </c:pt>
                <c:pt idx="5">
                  <c:v>3.57</c:v>
                </c:pt>
                <c:pt idx="6">
                  <c:v>3.44</c:v>
                </c:pt>
                <c:pt idx="7">
                  <c:v>3.3</c:v>
                </c:pt>
                <c:pt idx="8">
                  <c:v>3.14</c:v>
                </c:pt>
                <c:pt idx="9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5-4D9A-A81D-5CBC6AAF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0504"/>
        <c:axId val="585477224"/>
      </c:scatterChart>
      <c:valAx>
        <c:axId val="585480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7224"/>
        <c:crosses val="autoZero"/>
        <c:crossBetween val="midCat"/>
      </c:valAx>
      <c:valAx>
        <c:axId val="585477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vs Width (76.02)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709601924759399"/>
                  <c:y val="1.34722222222222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5.4312x</a:t>
                    </a:r>
                    <a:r>
                      <a:rPr lang="en-US" sz="1200" baseline="30000"/>
                      <a:t>0.374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0.6005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'Collected Data Site 380'!$B$6:$B$18</c:f>
              <c:numCache>
                <c:formatCode>General</c:formatCode>
                <c:ptCount val="13"/>
                <c:pt idx="0">
                  <c:v>260</c:v>
                </c:pt>
                <c:pt idx="1">
                  <c:v>240</c:v>
                </c:pt>
                <c:pt idx="2">
                  <c:v>220</c:v>
                </c:pt>
                <c:pt idx="3">
                  <c:v>200</c:v>
                </c:pt>
                <c:pt idx="4">
                  <c:v>180</c:v>
                </c:pt>
                <c:pt idx="5">
                  <c:v>160</c:v>
                </c:pt>
                <c:pt idx="6">
                  <c:v>140</c:v>
                </c:pt>
                <c:pt idx="7">
                  <c:v>120</c:v>
                </c:pt>
                <c:pt idx="8">
                  <c:v>100</c:v>
                </c:pt>
                <c:pt idx="9">
                  <c:v>80</c:v>
                </c:pt>
                <c:pt idx="10">
                  <c:v>60</c:v>
                </c:pt>
                <c:pt idx="11">
                  <c:v>40</c:v>
                </c:pt>
                <c:pt idx="12">
                  <c:v>20</c:v>
                </c:pt>
              </c:numCache>
            </c:numRef>
          </c:xVal>
          <c:yVal>
            <c:numRef>
              <c:f>'Collected Data Site 380'!$D$6:$D$18</c:f>
              <c:numCache>
                <c:formatCode>General</c:formatCode>
                <c:ptCount val="13"/>
                <c:pt idx="0">
                  <c:v>70.790000000000006</c:v>
                </c:pt>
                <c:pt idx="1">
                  <c:v>54.790000000000006</c:v>
                </c:pt>
                <c:pt idx="2">
                  <c:v>51.47</c:v>
                </c:pt>
                <c:pt idx="3">
                  <c:v>30.29</c:v>
                </c:pt>
                <c:pt idx="4">
                  <c:v>29.72</c:v>
                </c:pt>
                <c:pt idx="5">
                  <c:v>29.04</c:v>
                </c:pt>
                <c:pt idx="6">
                  <c:v>28.46</c:v>
                </c:pt>
                <c:pt idx="7">
                  <c:v>27.81</c:v>
                </c:pt>
                <c:pt idx="8">
                  <c:v>27.13</c:v>
                </c:pt>
                <c:pt idx="9">
                  <c:v>26.33</c:v>
                </c:pt>
                <c:pt idx="10">
                  <c:v>25.27</c:v>
                </c:pt>
                <c:pt idx="11">
                  <c:v>23.56</c:v>
                </c:pt>
                <c:pt idx="12">
                  <c:v>19.88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CAF-912E-7FC87E52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30216"/>
        <c:axId val="530329888"/>
      </c:scatterChart>
      <c:valAx>
        <c:axId val="530330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Discharge (m^3/s)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29888"/>
        <c:crosses val="autoZero"/>
        <c:crossBetween val="midCat"/>
      </c:valAx>
      <c:valAx>
        <c:axId val="53032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3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39621-EEE7-45B5-BD73-B4A5F44D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15240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45A55-07D6-4064-B15D-C8AAE6AA0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7620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518A26-C7CA-4603-B543-574160C00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7620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2B0B1F-280C-4AC3-BC56-EC047847B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15240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BDFE90-D2DA-4E67-A864-4F8CFCD7E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7620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717DBA-6B60-41E9-9FE7-BAB0C182F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601980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A4C77-77A2-408D-B8E5-D778319C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601980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A09EC4-9151-4B6D-AC15-9A9DBB95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0D885-985A-42E8-AC05-4089F73F2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7620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C565B-7326-447B-A429-C36E88E9F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601980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C78A5B-CEA3-42C3-91ED-B67E02BE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640A89-A07C-473C-84BE-5F9597796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1E1BF5-A7B2-41DE-896F-ACE570D82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4A6ADD-9E10-491C-8EBA-35675130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7620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FD25F0-FDB0-450C-97D4-247531A96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7620</xdr:colOff>
      <xdr:row>45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647FC3-81E5-40A9-BA2E-A65C7A0BA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36AB9-DC69-4241-BCA2-A67659B88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15240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2D407-CBCD-4943-B4BA-19E535EF3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3AA5D-33F9-45E3-8BC9-E60A65CAD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70855A-8E88-4CBF-8D8B-6E6742D21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7620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377707-5BD5-4E6F-80C6-65761315D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F142E-4E78-40E3-8275-05B01212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7620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4312F4-F00E-454F-B8E7-861F0AA1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15240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BFD8CF-A10B-4954-90C6-FDC905B3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1B046-4D2E-4106-BBDE-5FF2BC41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7620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1741B-ACC8-4F8F-9A2E-FDE3AA417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15240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3E7A4-D176-47B1-A1B4-9CD29EB1A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15240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F6B199-0750-46E7-834A-F892808BA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7620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8FC3D4-EE49-4324-92D6-B1181733D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7620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562407-1361-4139-B1B9-81F9F370F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601980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AA646-4859-4E15-B6BA-45A4FC64B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601980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91C1EF-BD1F-4366-9A9C-FA1AB796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2"/>
  <sheetViews>
    <sheetView workbookViewId="0">
      <selection activeCell="L68" sqref="L68"/>
    </sheetView>
  </sheetViews>
  <sheetFormatPr defaultRowHeight="14.4" x14ac:dyDescent="0.3"/>
  <cols>
    <col min="2" max="2" width="22.5546875" bestFit="1" customWidth="1"/>
    <col min="3" max="3" width="10" bestFit="1" customWidth="1"/>
    <col min="4" max="5" width="9.109375" bestFit="1" customWidth="1"/>
    <col min="6" max="6" width="12.21875" bestFit="1" customWidth="1"/>
    <col min="8" max="8" width="22.5546875" bestFit="1" customWidth="1"/>
    <col min="9" max="9" width="10" bestFit="1" customWidth="1"/>
    <col min="10" max="11" width="9.109375" bestFit="1" customWidth="1"/>
    <col min="12" max="12" width="12.21875" bestFit="1" customWidth="1"/>
    <col min="14" max="14" width="22.5546875" bestFit="1" customWidth="1"/>
    <col min="15" max="15" width="10" bestFit="1" customWidth="1"/>
    <col min="16" max="17" width="9.109375" bestFit="1" customWidth="1"/>
    <col min="18" max="18" width="12.21875" bestFit="1" customWidth="1"/>
  </cols>
  <sheetData>
    <row r="2" spans="2:21" x14ac:dyDescent="0.3">
      <c r="B2" s="1" t="s">
        <v>0</v>
      </c>
      <c r="C2" s="2">
        <v>380</v>
      </c>
      <c r="D2" s="3"/>
      <c r="E2" s="3"/>
      <c r="F2" s="3"/>
      <c r="H2" s="1" t="s">
        <v>0</v>
      </c>
      <c r="I2" s="2">
        <v>380</v>
      </c>
      <c r="J2" s="3"/>
      <c r="K2" s="3"/>
      <c r="L2" s="3"/>
      <c r="N2" s="1" t="s">
        <v>0</v>
      </c>
      <c r="O2" s="2">
        <v>380</v>
      </c>
      <c r="P2" s="3"/>
      <c r="Q2" s="3"/>
      <c r="R2" s="3"/>
    </row>
    <row r="3" spans="2:21" x14ac:dyDescent="0.3">
      <c r="B3" s="1" t="s">
        <v>1</v>
      </c>
      <c r="C3" s="2">
        <v>76.02</v>
      </c>
      <c r="D3" s="3"/>
      <c r="E3" s="3"/>
      <c r="F3" s="3"/>
      <c r="H3" s="1" t="s">
        <v>1</v>
      </c>
      <c r="I3" s="2">
        <v>205.53</v>
      </c>
      <c r="J3" s="3"/>
      <c r="K3" s="3"/>
      <c r="L3" s="3"/>
      <c r="N3" s="1" t="s">
        <v>1</v>
      </c>
      <c r="O3" s="2">
        <v>393.61</v>
      </c>
      <c r="P3" s="3"/>
      <c r="Q3" s="3"/>
      <c r="R3" s="3"/>
    </row>
    <row r="4" spans="2:21" x14ac:dyDescent="0.3">
      <c r="U4" s="7"/>
    </row>
    <row r="5" spans="2:21" x14ac:dyDescent="0.3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H5" s="5" t="s">
        <v>2</v>
      </c>
      <c r="I5" s="5" t="s">
        <v>3</v>
      </c>
      <c r="J5" s="5" t="s">
        <v>4</v>
      </c>
      <c r="K5" s="5" t="s">
        <v>5</v>
      </c>
      <c r="L5" s="5" t="s">
        <v>6</v>
      </c>
      <c r="N5" s="5" t="s">
        <v>2</v>
      </c>
      <c r="O5" s="5" t="s">
        <v>3</v>
      </c>
      <c r="P5" s="5" t="s">
        <v>4</v>
      </c>
      <c r="Q5" s="5" t="s">
        <v>5</v>
      </c>
      <c r="R5" s="5" t="s">
        <v>6</v>
      </c>
      <c r="U5" s="8"/>
    </row>
    <row r="6" spans="2:21" x14ac:dyDescent="0.3">
      <c r="B6" s="6">
        <v>260</v>
      </c>
      <c r="C6" s="6">
        <f>13.65+104.75</f>
        <v>118.4</v>
      </c>
      <c r="D6" s="6">
        <f>25.26+45.53</f>
        <v>70.790000000000006</v>
      </c>
      <c r="E6" s="6">
        <v>4.28</v>
      </c>
      <c r="F6" s="6">
        <f>B6/C6</f>
        <v>2.1959459459459461</v>
      </c>
      <c r="H6" s="6">
        <v>180</v>
      </c>
      <c r="I6" s="6">
        <f>0.06+0.02+0.04+0.22+3.9+0.21+0.04+86.19</f>
        <v>90.679999999999993</v>
      </c>
      <c r="J6" s="6">
        <f>1.48+1.53+0.85+3.1+29.03+3.09+1.74+34.31</f>
        <v>75.13</v>
      </c>
      <c r="K6" s="6">
        <v>3.63</v>
      </c>
      <c r="L6" s="6">
        <f>H6/I6</f>
        <v>1.9850022055580063</v>
      </c>
      <c r="N6" s="10">
        <v>400</v>
      </c>
      <c r="O6" s="10">
        <v>216.93</v>
      </c>
      <c r="P6" s="10">
        <v>56.21</v>
      </c>
      <c r="Q6" s="10">
        <v>6</v>
      </c>
      <c r="R6" s="10">
        <f>N6/O6</f>
        <v>1.8439127829253676</v>
      </c>
      <c r="U6" s="8"/>
    </row>
    <row r="7" spans="2:21" x14ac:dyDescent="0.3">
      <c r="B7" s="6">
        <v>240</v>
      </c>
      <c r="C7" s="6">
        <f>7.25+95.04</f>
        <v>102.29</v>
      </c>
      <c r="D7" s="6">
        <f>21.87+32.92</f>
        <v>54.790000000000006</v>
      </c>
      <c r="E7" s="6">
        <v>4.01</v>
      </c>
      <c r="F7" s="6">
        <f t="shared" ref="F7:F18" si="0">B7/C7</f>
        <v>2.3462704076644831</v>
      </c>
      <c r="H7" s="6">
        <v>170</v>
      </c>
      <c r="I7" s="6">
        <v>78.16</v>
      </c>
      <c r="J7" s="6">
        <v>33.28</v>
      </c>
      <c r="K7" s="6">
        <v>3.39</v>
      </c>
      <c r="L7" s="6">
        <f t="shared" ref="L7:L23" si="1">H7/I7</f>
        <v>2.1750255885363359</v>
      </c>
      <c r="N7" s="10">
        <v>380</v>
      </c>
      <c r="O7" s="10">
        <v>212.71</v>
      </c>
      <c r="P7" s="10">
        <v>55.86</v>
      </c>
      <c r="Q7" s="10">
        <v>5.93</v>
      </c>
      <c r="R7" s="10">
        <f t="shared" ref="R7:R25" si="2">N7/O7</f>
        <v>1.7864698415683324</v>
      </c>
      <c r="U7" s="8"/>
    </row>
    <row r="8" spans="2:21" x14ac:dyDescent="0.3">
      <c r="B8" s="6">
        <v>220</v>
      </c>
      <c r="C8" s="6">
        <f>4.45+90.66</f>
        <v>95.11</v>
      </c>
      <c r="D8" s="6">
        <f>19.99+31.48</f>
        <v>51.47</v>
      </c>
      <c r="E8" s="6">
        <v>3.88</v>
      </c>
      <c r="F8" s="6">
        <f t="shared" si="0"/>
        <v>2.3131111344758701</v>
      </c>
      <c r="H8" s="6">
        <v>160</v>
      </c>
      <c r="I8" s="6">
        <v>74.81</v>
      </c>
      <c r="J8" s="6">
        <v>32.799999999999997</v>
      </c>
      <c r="K8" s="6">
        <v>3.29</v>
      </c>
      <c r="L8" s="6">
        <f t="shared" si="1"/>
        <v>2.138751503809651</v>
      </c>
      <c r="N8" s="10">
        <v>360</v>
      </c>
      <c r="O8" s="10">
        <v>208.19</v>
      </c>
      <c r="P8" s="10">
        <v>55.54</v>
      </c>
      <c r="Q8" s="10">
        <v>5.85</v>
      </c>
      <c r="R8" s="10">
        <f t="shared" si="2"/>
        <v>1.7291896825015611</v>
      </c>
      <c r="U8" s="8"/>
    </row>
    <row r="9" spans="2:21" x14ac:dyDescent="0.3">
      <c r="B9" s="6">
        <v>200</v>
      </c>
      <c r="C9" s="6">
        <v>72.260000000000005</v>
      </c>
      <c r="D9" s="6">
        <v>30.29</v>
      </c>
      <c r="E9" s="6">
        <v>3.3</v>
      </c>
      <c r="F9" s="6">
        <f t="shared" si="0"/>
        <v>2.767783005812344</v>
      </c>
      <c r="H9" s="6">
        <v>150</v>
      </c>
      <c r="I9" s="6">
        <v>71.739999999999995</v>
      </c>
      <c r="J9" s="6">
        <v>32.369999999999997</v>
      </c>
      <c r="K9" s="6">
        <v>3.19</v>
      </c>
      <c r="L9" s="6">
        <f t="shared" si="1"/>
        <v>2.0908837468636747</v>
      </c>
      <c r="N9" s="10">
        <v>340</v>
      </c>
      <c r="O9" s="10">
        <v>203.73</v>
      </c>
      <c r="P9" s="10">
        <v>55.17</v>
      </c>
      <c r="Q9" s="10">
        <v>5.76</v>
      </c>
      <c r="R9" s="10">
        <f t="shared" si="2"/>
        <v>1.6688754724390125</v>
      </c>
      <c r="U9" s="8"/>
    </row>
    <row r="10" spans="2:21" x14ac:dyDescent="0.3">
      <c r="B10" s="6">
        <v>180</v>
      </c>
      <c r="C10" s="6">
        <v>67.2</v>
      </c>
      <c r="D10" s="6">
        <v>29.72</v>
      </c>
      <c r="E10" s="6">
        <v>3.13</v>
      </c>
      <c r="F10" s="6">
        <f t="shared" si="0"/>
        <v>2.6785714285714284</v>
      </c>
      <c r="H10" s="6">
        <v>140</v>
      </c>
      <c r="I10" s="6">
        <v>68.5</v>
      </c>
      <c r="J10" s="6">
        <v>31.89</v>
      </c>
      <c r="K10" s="6">
        <v>3.09</v>
      </c>
      <c r="L10" s="6">
        <f t="shared" si="1"/>
        <v>2.0437956204379564</v>
      </c>
      <c r="N10" s="10">
        <v>320</v>
      </c>
      <c r="O10" s="10">
        <v>198.93</v>
      </c>
      <c r="P10" s="10">
        <v>54.8</v>
      </c>
      <c r="Q10" s="10">
        <v>5.68</v>
      </c>
      <c r="R10" s="10">
        <f t="shared" si="2"/>
        <v>1.6086060423264463</v>
      </c>
      <c r="U10" s="8"/>
    </row>
    <row r="11" spans="2:21" x14ac:dyDescent="0.3">
      <c r="B11" s="6">
        <v>160</v>
      </c>
      <c r="C11" s="6">
        <v>62.04</v>
      </c>
      <c r="D11" s="6">
        <v>29.04</v>
      </c>
      <c r="E11" s="6">
        <v>2.95</v>
      </c>
      <c r="F11" s="6">
        <f t="shared" si="0"/>
        <v>2.5789813023855577</v>
      </c>
      <c r="H11" s="6">
        <v>130</v>
      </c>
      <c r="I11" s="6">
        <v>65.38</v>
      </c>
      <c r="J11" s="6">
        <v>31.67</v>
      </c>
      <c r="K11" s="6">
        <v>2.99</v>
      </c>
      <c r="L11" s="6">
        <f t="shared" si="1"/>
        <v>1.9883756500458858</v>
      </c>
      <c r="N11" s="10">
        <v>300</v>
      </c>
      <c r="O11" s="10">
        <v>194.55</v>
      </c>
      <c r="P11" s="10">
        <v>54.44</v>
      </c>
      <c r="Q11" s="10">
        <v>5.59</v>
      </c>
      <c r="R11" s="10">
        <f t="shared" si="2"/>
        <v>1.5420200462606013</v>
      </c>
      <c r="U11" s="8"/>
    </row>
    <row r="12" spans="2:21" x14ac:dyDescent="0.3">
      <c r="B12" s="6">
        <v>140</v>
      </c>
      <c r="C12" s="6">
        <v>56.79</v>
      </c>
      <c r="D12" s="6">
        <v>28.46</v>
      </c>
      <c r="E12" s="6">
        <v>2.77</v>
      </c>
      <c r="F12" s="6">
        <f t="shared" si="0"/>
        <v>2.4652227504842403</v>
      </c>
      <c r="H12" s="6">
        <v>120</v>
      </c>
      <c r="I12" s="6">
        <v>62.04</v>
      </c>
      <c r="J12" s="6">
        <v>31.17</v>
      </c>
      <c r="K12" s="6">
        <v>2.89</v>
      </c>
      <c r="L12" s="6">
        <f t="shared" si="1"/>
        <v>1.9342359767891684</v>
      </c>
      <c r="N12" s="10">
        <v>280</v>
      </c>
      <c r="O12" s="10">
        <v>189.99</v>
      </c>
      <c r="P12" s="10">
        <v>54.08</v>
      </c>
      <c r="Q12" s="10">
        <v>5.52</v>
      </c>
      <c r="R12" s="10">
        <f t="shared" si="2"/>
        <v>1.4737617769356282</v>
      </c>
      <c r="U12" s="8"/>
    </row>
    <row r="13" spans="2:21" x14ac:dyDescent="0.3">
      <c r="B13" s="6">
        <v>120</v>
      </c>
      <c r="C13" s="6">
        <v>51.21</v>
      </c>
      <c r="D13" s="6">
        <v>27.81</v>
      </c>
      <c r="E13" s="6">
        <v>2.57</v>
      </c>
      <c r="F13" s="6">
        <f t="shared" si="0"/>
        <v>2.3432923257176332</v>
      </c>
      <c r="H13" s="6">
        <v>110</v>
      </c>
      <c r="I13" s="6">
        <v>58.61</v>
      </c>
      <c r="J13" s="6">
        <v>30.72</v>
      </c>
      <c r="K13" s="6">
        <v>2.78</v>
      </c>
      <c r="L13" s="6">
        <f t="shared" si="1"/>
        <v>1.8768128305749872</v>
      </c>
      <c r="N13" s="10">
        <v>260</v>
      </c>
      <c r="O13" s="10">
        <v>184.94</v>
      </c>
      <c r="P13" s="10">
        <v>53.66</v>
      </c>
      <c r="Q13" s="10">
        <v>5.42</v>
      </c>
      <c r="R13" s="10">
        <f t="shared" si="2"/>
        <v>1.4058613604412242</v>
      </c>
      <c r="U13" s="8"/>
    </row>
    <row r="14" spans="2:21" x14ac:dyDescent="0.3">
      <c r="B14" s="6">
        <v>100</v>
      </c>
      <c r="C14" s="6">
        <v>45.41</v>
      </c>
      <c r="D14" s="6">
        <v>27.13</v>
      </c>
      <c r="E14" s="6">
        <v>2.36</v>
      </c>
      <c r="F14" s="6">
        <f t="shared" si="0"/>
        <v>2.2021581149526539</v>
      </c>
      <c r="H14" s="6">
        <v>100</v>
      </c>
      <c r="I14" s="6">
        <v>55.08</v>
      </c>
      <c r="J14" s="6">
        <v>30.35</v>
      </c>
      <c r="K14" s="6">
        <v>2.66</v>
      </c>
      <c r="L14" s="6">
        <f t="shared" si="1"/>
        <v>1.8155410312273057</v>
      </c>
      <c r="N14" s="10">
        <v>240</v>
      </c>
      <c r="O14" s="10">
        <v>174.89</v>
      </c>
      <c r="P14" s="10">
        <v>52.78</v>
      </c>
      <c r="Q14" s="10">
        <v>5.23</v>
      </c>
      <c r="R14" s="10">
        <f t="shared" si="2"/>
        <v>1.3722911544399339</v>
      </c>
      <c r="U14" s="8"/>
    </row>
    <row r="15" spans="2:21" x14ac:dyDescent="0.3">
      <c r="B15" s="6">
        <v>80</v>
      </c>
      <c r="C15" s="6">
        <v>39.18</v>
      </c>
      <c r="D15" s="6">
        <v>26.33</v>
      </c>
      <c r="E15" s="6">
        <v>2.12</v>
      </c>
      <c r="F15" s="6">
        <f t="shared" si="0"/>
        <v>2.0418580908626849</v>
      </c>
      <c r="H15" s="6">
        <v>90</v>
      </c>
      <c r="I15" s="6">
        <v>51.57</v>
      </c>
      <c r="J15" s="6">
        <v>29.79</v>
      </c>
      <c r="K15" s="6">
        <v>2.54</v>
      </c>
      <c r="L15" s="6">
        <f t="shared" si="1"/>
        <v>1.7452006980802792</v>
      </c>
      <c r="N15" s="10">
        <v>220</v>
      </c>
      <c r="O15" s="10">
        <v>168.54</v>
      </c>
      <c r="P15" s="10">
        <v>52.06</v>
      </c>
      <c r="Q15" s="10">
        <v>5.1100000000000003</v>
      </c>
      <c r="R15" s="10">
        <f t="shared" si="2"/>
        <v>1.3053281120208853</v>
      </c>
      <c r="U15" s="8"/>
    </row>
    <row r="16" spans="2:21" x14ac:dyDescent="0.3">
      <c r="B16" s="6">
        <v>60</v>
      </c>
      <c r="C16" s="6">
        <v>32.380000000000003</v>
      </c>
      <c r="D16" s="6">
        <v>25.27</v>
      </c>
      <c r="E16" s="6">
        <v>1.86</v>
      </c>
      <c r="F16" s="6">
        <f t="shared" si="0"/>
        <v>1.8529956763434217</v>
      </c>
      <c r="H16" s="6">
        <v>80</v>
      </c>
      <c r="I16" s="6">
        <v>47.84</v>
      </c>
      <c r="J16" s="6">
        <v>29.34</v>
      </c>
      <c r="K16" s="6">
        <v>2.42</v>
      </c>
      <c r="L16" s="6">
        <f t="shared" si="1"/>
        <v>1.6722408026755851</v>
      </c>
      <c r="N16" s="10">
        <v>200</v>
      </c>
      <c r="O16" s="10">
        <v>153.06</v>
      </c>
      <c r="P16" s="10">
        <v>50.29</v>
      </c>
      <c r="Q16" s="10">
        <v>4.8099999999999996</v>
      </c>
      <c r="R16" s="10">
        <f t="shared" si="2"/>
        <v>1.3066771200836274</v>
      </c>
      <c r="U16" s="8"/>
    </row>
    <row r="17" spans="2:21" x14ac:dyDescent="0.3">
      <c r="B17" s="6">
        <v>40</v>
      </c>
      <c r="C17" s="6">
        <v>24.66</v>
      </c>
      <c r="D17" s="6">
        <v>23.56</v>
      </c>
      <c r="E17" s="6">
        <v>1.55</v>
      </c>
      <c r="F17" s="6">
        <f t="shared" si="0"/>
        <v>1.6220600162206003</v>
      </c>
      <c r="H17" s="6">
        <v>70</v>
      </c>
      <c r="I17" s="6">
        <v>43.91</v>
      </c>
      <c r="J17" s="6">
        <v>28.7</v>
      </c>
      <c r="K17" s="6">
        <v>2.2799999999999998</v>
      </c>
      <c r="L17" s="6">
        <f t="shared" si="1"/>
        <v>1.5941698929628787</v>
      </c>
      <c r="N17" s="10">
        <v>180</v>
      </c>
      <c r="O17" s="10">
        <v>144.43</v>
      </c>
      <c r="P17" s="10">
        <v>49.28</v>
      </c>
      <c r="Q17" s="10">
        <v>4.63</v>
      </c>
      <c r="R17" s="10">
        <f t="shared" si="2"/>
        <v>1.2462784740012463</v>
      </c>
      <c r="U17" s="8"/>
    </row>
    <row r="18" spans="2:21" x14ac:dyDescent="0.3">
      <c r="B18" s="6">
        <v>20</v>
      </c>
      <c r="C18" s="6">
        <v>15.17</v>
      </c>
      <c r="D18" s="6">
        <v>19.88</v>
      </c>
      <c r="E18" s="6">
        <v>1.1100000000000001</v>
      </c>
      <c r="F18" s="6">
        <f t="shared" si="0"/>
        <v>1.3183915622940012</v>
      </c>
      <c r="H18" s="6">
        <v>60</v>
      </c>
      <c r="I18" s="6">
        <v>39.89</v>
      </c>
      <c r="J18" s="6">
        <v>28.1</v>
      </c>
      <c r="K18" s="6">
        <v>2.14</v>
      </c>
      <c r="L18" s="6">
        <f t="shared" si="1"/>
        <v>1.5041363750313361</v>
      </c>
      <c r="N18" s="10">
        <v>160</v>
      </c>
      <c r="O18" s="10">
        <v>128.93</v>
      </c>
      <c r="P18" s="10">
        <v>47.9</v>
      </c>
      <c r="Q18" s="10">
        <v>4.3099999999999996</v>
      </c>
      <c r="R18" s="10">
        <f t="shared" si="2"/>
        <v>1.2409834794074304</v>
      </c>
      <c r="U18" s="8"/>
    </row>
    <row r="19" spans="2:21" x14ac:dyDescent="0.3">
      <c r="H19" s="6">
        <v>50</v>
      </c>
      <c r="I19" s="6">
        <v>35.47</v>
      </c>
      <c r="J19" s="6">
        <v>27.43</v>
      </c>
      <c r="K19" s="6">
        <v>1.98</v>
      </c>
      <c r="L19" s="6">
        <f t="shared" si="1"/>
        <v>1.4096419509444602</v>
      </c>
      <c r="N19" s="10">
        <v>140</v>
      </c>
      <c r="O19" s="10">
        <v>118.85</v>
      </c>
      <c r="P19" s="10">
        <v>46.9</v>
      </c>
      <c r="Q19" s="10">
        <v>4.0999999999999996</v>
      </c>
      <c r="R19" s="10">
        <f t="shared" si="2"/>
        <v>1.1779554059739168</v>
      </c>
      <c r="U19" s="8"/>
    </row>
    <row r="20" spans="2:21" x14ac:dyDescent="0.3">
      <c r="H20" s="6">
        <v>40</v>
      </c>
      <c r="I20" s="6">
        <v>30.76</v>
      </c>
      <c r="J20" s="6">
        <v>26.65</v>
      </c>
      <c r="K20" s="6">
        <v>1.8</v>
      </c>
      <c r="L20" s="6">
        <f t="shared" si="1"/>
        <v>1.3003901170351104</v>
      </c>
      <c r="N20" s="10">
        <v>120</v>
      </c>
      <c r="O20" s="10">
        <v>108.43</v>
      </c>
      <c r="P20" s="10">
        <v>45.68</v>
      </c>
      <c r="Q20" s="10">
        <v>3.87</v>
      </c>
      <c r="R20" s="10">
        <f t="shared" si="2"/>
        <v>1.1067047864982016</v>
      </c>
      <c r="U20" s="8"/>
    </row>
    <row r="21" spans="2:21" x14ac:dyDescent="0.3">
      <c r="H21" s="6">
        <v>30</v>
      </c>
      <c r="I21" s="6">
        <v>25.42</v>
      </c>
      <c r="J21" s="6">
        <v>25.65</v>
      </c>
      <c r="K21" s="6">
        <v>1.6</v>
      </c>
      <c r="L21" s="6">
        <f t="shared" si="1"/>
        <v>1.1801730920535012</v>
      </c>
      <c r="N21" s="10">
        <v>100</v>
      </c>
      <c r="O21" s="10">
        <v>97.98</v>
      </c>
      <c r="P21" s="10">
        <v>43.98</v>
      </c>
      <c r="Q21" s="10">
        <v>3.63</v>
      </c>
      <c r="R21" s="10">
        <f t="shared" si="2"/>
        <v>1.0206164523372117</v>
      </c>
      <c r="U21" s="8"/>
    </row>
    <row r="22" spans="2:21" x14ac:dyDescent="0.3">
      <c r="H22" s="6">
        <v>20</v>
      </c>
      <c r="I22" s="6">
        <v>19.29</v>
      </c>
      <c r="J22" s="6">
        <v>23.67</v>
      </c>
      <c r="K22" s="6">
        <v>1.35</v>
      </c>
      <c r="L22" s="6">
        <f t="shared" si="1"/>
        <v>1.0368066355624677</v>
      </c>
      <c r="N22" s="10">
        <v>80</v>
      </c>
      <c r="O22" s="10">
        <v>85.82</v>
      </c>
      <c r="P22" s="10">
        <v>42.3</v>
      </c>
      <c r="Q22" s="10">
        <v>3.36</v>
      </c>
      <c r="R22" s="10">
        <f t="shared" si="2"/>
        <v>0.93218364017711497</v>
      </c>
      <c r="U22" s="8"/>
    </row>
    <row r="23" spans="2:21" x14ac:dyDescent="0.3">
      <c r="H23" s="6">
        <v>10</v>
      </c>
      <c r="I23" s="6">
        <v>12.08</v>
      </c>
      <c r="J23" s="6">
        <v>19.989999999999998</v>
      </c>
      <c r="K23" s="6">
        <v>1.02</v>
      </c>
      <c r="L23" s="6">
        <f t="shared" si="1"/>
        <v>0.82781456953642385</v>
      </c>
      <c r="N23" s="10">
        <v>60</v>
      </c>
      <c r="O23" s="10">
        <v>73.23</v>
      </c>
      <c r="P23" s="10">
        <v>40.43</v>
      </c>
      <c r="Q23" s="10">
        <v>3.05</v>
      </c>
      <c r="R23" s="10">
        <f t="shared" si="2"/>
        <v>0.81933633756657098</v>
      </c>
      <c r="U23" s="8"/>
    </row>
    <row r="24" spans="2:21" x14ac:dyDescent="0.3">
      <c r="N24" s="10">
        <v>40</v>
      </c>
      <c r="O24" s="10">
        <v>59.12</v>
      </c>
      <c r="P24" s="10">
        <v>34.380000000000003</v>
      </c>
      <c r="Q24" s="10">
        <v>2.68</v>
      </c>
      <c r="R24" s="10">
        <f t="shared" si="2"/>
        <v>0.67658998646820034</v>
      </c>
      <c r="U24" s="8"/>
    </row>
    <row r="25" spans="2:21" x14ac:dyDescent="0.3">
      <c r="N25" s="10">
        <v>20</v>
      </c>
      <c r="O25" s="10">
        <v>43.81</v>
      </c>
      <c r="P25" s="10">
        <v>27.99</v>
      </c>
      <c r="Q25" s="10">
        <v>2.1800000000000002</v>
      </c>
      <c r="R25" s="10">
        <f t="shared" si="2"/>
        <v>0.45651677699155441</v>
      </c>
      <c r="U25" s="8"/>
    </row>
    <row r="26" spans="2:21" x14ac:dyDescent="0.3">
      <c r="U26" s="8"/>
    </row>
    <row r="27" spans="2:21" x14ac:dyDescent="0.3">
      <c r="U27" s="9"/>
    </row>
    <row r="28" spans="2:21" x14ac:dyDescent="0.3">
      <c r="B28" s="1" t="s">
        <v>0</v>
      </c>
      <c r="C28" s="2">
        <v>380</v>
      </c>
      <c r="D28" s="3"/>
      <c r="E28" s="3"/>
      <c r="F28" s="3"/>
      <c r="H28" s="1" t="s">
        <v>0</v>
      </c>
      <c r="I28" s="2">
        <v>380</v>
      </c>
      <c r="J28" s="3"/>
      <c r="K28" s="3"/>
      <c r="L28" s="3"/>
      <c r="N28" s="1" t="s">
        <v>0</v>
      </c>
      <c r="O28" s="2">
        <v>380</v>
      </c>
      <c r="P28" s="3"/>
      <c r="Q28" s="3"/>
      <c r="R28" s="3"/>
    </row>
    <row r="29" spans="2:21" x14ac:dyDescent="0.3">
      <c r="B29" s="1" t="s">
        <v>1</v>
      </c>
      <c r="C29" s="2">
        <v>545.89</v>
      </c>
      <c r="D29" s="3"/>
      <c r="E29" s="3"/>
      <c r="F29" s="3"/>
      <c r="H29" s="1" t="s">
        <v>1</v>
      </c>
      <c r="I29" s="2">
        <v>754.75</v>
      </c>
      <c r="J29" s="3"/>
      <c r="K29" s="3"/>
      <c r="L29" s="3"/>
      <c r="N29" s="1" t="s">
        <v>1</v>
      </c>
      <c r="O29" s="2">
        <v>857.05</v>
      </c>
      <c r="P29" s="3"/>
      <c r="Q29" s="3"/>
      <c r="R29" s="3"/>
    </row>
    <row r="31" spans="2:21" x14ac:dyDescent="0.3"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H31" s="5" t="s">
        <v>2</v>
      </c>
      <c r="I31" s="5" t="s">
        <v>3</v>
      </c>
      <c r="J31" s="5" t="s">
        <v>4</v>
      </c>
      <c r="K31" s="5" t="s">
        <v>5</v>
      </c>
      <c r="L31" s="5" t="s">
        <v>6</v>
      </c>
      <c r="N31" s="5" t="s">
        <v>2</v>
      </c>
      <c r="O31" s="5" t="s">
        <v>3</v>
      </c>
      <c r="P31" s="5" t="s">
        <v>4</v>
      </c>
      <c r="Q31" s="5" t="s">
        <v>5</v>
      </c>
      <c r="R31" s="5" t="s">
        <v>6</v>
      </c>
    </row>
    <row r="32" spans="2:21" x14ac:dyDescent="0.3">
      <c r="B32" s="10">
        <v>3000</v>
      </c>
      <c r="C32" s="10">
        <f>545.58+19.84</f>
        <v>565.42000000000007</v>
      </c>
      <c r="D32" s="10">
        <f>88.61+4.83</f>
        <v>93.44</v>
      </c>
      <c r="E32" s="10">
        <v>10.8</v>
      </c>
      <c r="F32" s="10">
        <f>B32/C32</f>
        <v>5.3057903859078204</v>
      </c>
      <c r="H32" s="10">
        <v>50</v>
      </c>
      <c r="I32" s="10">
        <f>89.98+0.51</f>
        <v>90.490000000000009</v>
      </c>
      <c r="J32" s="10">
        <f>54.86+3.23</f>
        <v>58.089999999999996</v>
      </c>
      <c r="K32" s="10">
        <v>3.81</v>
      </c>
      <c r="L32" s="10">
        <f>H32/I32</f>
        <v>0.55254724278925837</v>
      </c>
      <c r="N32" s="10">
        <v>80</v>
      </c>
      <c r="O32" s="10">
        <f>103.53+59.35</f>
        <v>162.88</v>
      </c>
      <c r="P32" s="10">
        <f>34.19+49.85</f>
        <v>84.039999999999992</v>
      </c>
      <c r="Q32" s="10">
        <v>4.3099999999999996</v>
      </c>
      <c r="R32" s="10">
        <f>N32/O32</f>
        <v>0.49115913555992141</v>
      </c>
    </row>
    <row r="33" spans="2:18" x14ac:dyDescent="0.3">
      <c r="B33" s="10">
        <v>2800</v>
      </c>
      <c r="C33" s="10">
        <f>525.89+18.82</f>
        <v>544.71</v>
      </c>
      <c r="D33" s="10">
        <f>87.38+4.72</f>
        <v>92.1</v>
      </c>
      <c r="E33" s="10">
        <v>10.59</v>
      </c>
      <c r="F33" s="10">
        <f t="shared" ref="F33:F46" si="3">B33/C33</f>
        <v>5.1403499109617963</v>
      </c>
      <c r="H33" s="10">
        <v>45</v>
      </c>
      <c r="I33" s="10">
        <f>80.98+0.04+3.37+0.09+0.21</f>
        <v>84.690000000000012</v>
      </c>
      <c r="J33" s="10">
        <f>29.58+1.61+16.27+1.62+2.61</f>
        <v>51.689999999999991</v>
      </c>
      <c r="K33" s="10">
        <v>3.7</v>
      </c>
      <c r="L33" s="10">
        <f t="shared" ref="L33:L41" si="4">H33/I33</f>
        <v>0.53134962805526031</v>
      </c>
      <c r="N33" s="10">
        <v>75</v>
      </c>
      <c r="O33" s="10">
        <f>100.96+55.49</f>
        <v>156.44999999999999</v>
      </c>
      <c r="P33" s="10">
        <f>33.61+49.66</f>
        <v>83.27</v>
      </c>
      <c r="Q33" s="10">
        <v>4.2300000000000004</v>
      </c>
      <c r="R33" s="10">
        <f t="shared" ref="R33:R47" si="5">N33/O33</f>
        <v>0.4793863854266539</v>
      </c>
    </row>
    <row r="34" spans="2:18" x14ac:dyDescent="0.3">
      <c r="B34" s="10">
        <v>2600</v>
      </c>
      <c r="C34" s="10">
        <f>506.62+17.87</f>
        <v>524.49</v>
      </c>
      <c r="D34" s="10">
        <f>85.67+4.65</f>
        <v>90.320000000000007</v>
      </c>
      <c r="E34" s="10">
        <v>10.36</v>
      </c>
      <c r="F34" s="10">
        <f t="shared" si="3"/>
        <v>4.9571965147095272</v>
      </c>
      <c r="H34" s="10">
        <v>40</v>
      </c>
      <c r="I34" s="10">
        <f>77.77+0.06+1.67</f>
        <v>79.5</v>
      </c>
      <c r="J34" s="10">
        <f>28.76+1.14+12</f>
        <v>41.900000000000006</v>
      </c>
      <c r="K34" s="10">
        <v>3.59</v>
      </c>
      <c r="L34" s="10">
        <f t="shared" si="4"/>
        <v>0.50314465408805031</v>
      </c>
      <c r="N34" s="10">
        <v>70</v>
      </c>
      <c r="O34" s="10">
        <f>98.32+51.58</f>
        <v>149.89999999999998</v>
      </c>
      <c r="P34" s="10">
        <f>33.34+49.44</f>
        <v>82.78</v>
      </c>
      <c r="Q34" s="10">
        <v>4.1500000000000004</v>
      </c>
      <c r="R34" s="10">
        <f t="shared" si="5"/>
        <v>0.46697798532354912</v>
      </c>
    </row>
    <row r="35" spans="2:18" x14ac:dyDescent="0.3">
      <c r="B35" s="10">
        <v>2400</v>
      </c>
      <c r="C35" s="10">
        <f>486.68+16.61</f>
        <v>503.29</v>
      </c>
      <c r="D35" s="10">
        <f>84.73+4.55</f>
        <v>89.28</v>
      </c>
      <c r="E35" s="10">
        <v>10.130000000000001</v>
      </c>
      <c r="F35" s="10">
        <f t="shared" si="3"/>
        <v>4.7686224641856585</v>
      </c>
      <c r="H35" s="10">
        <v>35</v>
      </c>
      <c r="I35" s="10">
        <f>74.27+0.03+0.38</f>
        <v>74.679999999999993</v>
      </c>
      <c r="J35" s="10">
        <f>28.6+1.02+5.37</f>
        <v>34.99</v>
      </c>
      <c r="K35" s="10">
        <v>3.47</v>
      </c>
      <c r="L35" s="10">
        <f t="shared" si="4"/>
        <v>0.46866630958757372</v>
      </c>
      <c r="N35" s="10">
        <v>65</v>
      </c>
      <c r="O35" s="10">
        <f>95.46+47.49</f>
        <v>142.94999999999999</v>
      </c>
      <c r="P35" s="10">
        <f>33.09+49.29</f>
        <v>82.38</v>
      </c>
      <c r="Q35" s="10">
        <v>4.08</v>
      </c>
      <c r="R35" s="10">
        <f t="shared" si="5"/>
        <v>0.45470444211262684</v>
      </c>
    </row>
    <row r="36" spans="2:18" x14ac:dyDescent="0.3">
      <c r="B36" s="10">
        <v>2200</v>
      </c>
      <c r="C36" s="11">
        <f>464.16+15.51</f>
        <v>479.67</v>
      </c>
      <c r="D36" s="11">
        <f>82.72+4.43</f>
        <v>87.15</v>
      </c>
      <c r="E36" s="11">
        <v>9.86</v>
      </c>
      <c r="F36" s="10">
        <f t="shared" si="3"/>
        <v>4.5864865428315298</v>
      </c>
      <c r="G36" s="4"/>
      <c r="H36" s="10">
        <v>30</v>
      </c>
      <c r="I36" s="10">
        <v>70.7</v>
      </c>
      <c r="J36" s="10">
        <v>28.42</v>
      </c>
      <c r="K36" s="10">
        <v>3.34</v>
      </c>
      <c r="L36" s="10">
        <f t="shared" si="4"/>
        <v>0.42432814710042432</v>
      </c>
      <c r="N36" s="10">
        <v>60</v>
      </c>
      <c r="O36" s="10">
        <f>92.65+1.26+42.1</f>
        <v>136.01000000000002</v>
      </c>
      <c r="P36" s="10">
        <f>32.5+5.53+41.87</f>
        <v>79.900000000000006</v>
      </c>
      <c r="Q36" s="10">
        <v>4</v>
      </c>
      <c r="R36" s="10">
        <f t="shared" si="5"/>
        <v>0.44114403352694648</v>
      </c>
    </row>
    <row r="37" spans="2:18" x14ac:dyDescent="0.3">
      <c r="B37" s="10">
        <v>2000</v>
      </c>
      <c r="C37" s="11">
        <f>438.67+14.1</f>
        <v>452.77000000000004</v>
      </c>
      <c r="D37" s="11">
        <f>80.28+4.32</f>
        <v>84.6</v>
      </c>
      <c r="E37" s="11">
        <v>9.5399999999999991</v>
      </c>
      <c r="F37" s="10">
        <f t="shared" si="3"/>
        <v>4.4172537933166947</v>
      </c>
      <c r="G37" s="4"/>
      <c r="H37" s="10">
        <v>25</v>
      </c>
      <c r="I37" s="10">
        <v>66.739999999999995</v>
      </c>
      <c r="J37" s="10">
        <v>28.26</v>
      </c>
      <c r="K37" s="10">
        <v>3.21</v>
      </c>
      <c r="L37" s="10">
        <f t="shared" si="4"/>
        <v>0.37458795325142347</v>
      </c>
      <c r="N37" s="10">
        <v>55</v>
      </c>
      <c r="O37" s="10">
        <f>89.89+0.86+38.48</f>
        <v>129.22999999999999</v>
      </c>
      <c r="P37" s="10">
        <f>31.04+3.6+38.35</f>
        <v>72.990000000000009</v>
      </c>
      <c r="Q37" s="10">
        <v>3.9</v>
      </c>
      <c r="R37" s="10">
        <f t="shared" si="5"/>
        <v>0.42559777141530608</v>
      </c>
    </row>
    <row r="38" spans="2:18" x14ac:dyDescent="0.3">
      <c r="B38" s="10">
        <v>1800</v>
      </c>
      <c r="C38" s="11">
        <f>414.12+12.74</f>
        <v>426.86</v>
      </c>
      <c r="D38" s="11">
        <f>77.27+4.2</f>
        <v>81.47</v>
      </c>
      <c r="E38" s="11">
        <v>9.23</v>
      </c>
      <c r="F38" s="10">
        <f t="shared" si="3"/>
        <v>4.2168392447172369</v>
      </c>
      <c r="G38" s="4"/>
      <c r="H38" s="10">
        <v>20</v>
      </c>
      <c r="I38" s="10">
        <v>62.6</v>
      </c>
      <c r="J38" s="10">
        <v>28.07</v>
      </c>
      <c r="K38" s="10">
        <v>3.06</v>
      </c>
      <c r="L38" s="10">
        <f t="shared" si="4"/>
        <v>0.31948881789137379</v>
      </c>
      <c r="N38" s="10">
        <v>50</v>
      </c>
      <c r="O38" s="10">
        <f>86.85+0.53+34.75</f>
        <v>122.13</v>
      </c>
      <c r="P38" s="10">
        <f>30.27+3.02+37.08</f>
        <v>70.37</v>
      </c>
      <c r="Q38" s="10">
        <v>3.81</v>
      </c>
      <c r="R38" s="10">
        <f t="shared" si="5"/>
        <v>0.40939981986407925</v>
      </c>
    </row>
    <row r="39" spans="2:18" x14ac:dyDescent="0.3">
      <c r="B39" s="10">
        <v>1600</v>
      </c>
      <c r="C39" s="11">
        <f>390.97+11.5</f>
        <v>402.47</v>
      </c>
      <c r="D39" s="11">
        <f>74.35+4.12</f>
        <v>78.47</v>
      </c>
      <c r="E39" s="11">
        <v>8.92</v>
      </c>
      <c r="F39" s="10">
        <f t="shared" si="3"/>
        <v>3.9754515864536484</v>
      </c>
      <c r="G39" s="4"/>
      <c r="H39" s="10">
        <v>15</v>
      </c>
      <c r="I39" s="10">
        <v>57.88</v>
      </c>
      <c r="J39" s="10">
        <v>27.87</v>
      </c>
      <c r="K39" s="10">
        <v>2.89</v>
      </c>
      <c r="L39" s="10">
        <f t="shared" si="4"/>
        <v>0.25915687629578438</v>
      </c>
      <c r="N39" s="10">
        <v>45</v>
      </c>
      <c r="O39" s="10">
        <f>83.79+0.26+30.99</f>
        <v>115.04</v>
      </c>
      <c r="P39" s="10">
        <f>29.91+2.19+35.98</f>
        <v>68.08</v>
      </c>
      <c r="Q39" s="10">
        <v>3.7</v>
      </c>
      <c r="R39" s="10">
        <f t="shared" si="5"/>
        <v>0.39116828929068148</v>
      </c>
    </row>
    <row r="40" spans="2:18" x14ac:dyDescent="0.3">
      <c r="B40" s="10">
        <v>1400</v>
      </c>
      <c r="C40" s="10">
        <f>367.76+10.2</f>
        <v>377.96</v>
      </c>
      <c r="D40" s="10">
        <f>71.97+3.93</f>
        <v>75.900000000000006</v>
      </c>
      <c r="E40" s="10">
        <v>8.61</v>
      </c>
      <c r="F40" s="10">
        <f t="shared" si="3"/>
        <v>3.7040956714996298</v>
      </c>
      <c r="H40" s="10">
        <v>10</v>
      </c>
      <c r="I40" s="10">
        <v>52.14</v>
      </c>
      <c r="J40" s="10">
        <v>27.65</v>
      </c>
      <c r="K40" s="10">
        <v>2.68</v>
      </c>
      <c r="L40" s="10">
        <f t="shared" si="4"/>
        <v>0.19179133103183735</v>
      </c>
      <c r="N40" s="10">
        <v>40</v>
      </c>
      <c r="O40" s="10">
        <f>80.52+0.07+27.03</f>
        <v>107.61999999999999</v>
      </c>
      <c r="P40" s="10">
        <f>29.51+1.27+34.96</f>
        <v>65.740000000000009</v>
      </c>
      <c r="Q40" s="10">
        <v>3.58</v>
      </c>
      <c r="R40" s="10">
        <f t="shared" si="5"/>
        <v>0.37167812674224127</v>
      </c>
    </row>
    <row r="41" spans="2:18" x14ac:dyDescent="0.3">
      <c r="B41" s="10">
        <v>1200</v>
      </c>
      <c r="C41" s="10">
        <f>344.09+8.9</f>
        <v>352.98999999999995</v>
      </c>
      <c r="D41" s="10">
        <f>68.82+3.81</f>
        <v>72.63</v>
      </c>
      <c r="E41" s="10">
        <v>8.27</v>
      </c>
      <c r="F41" s="10">
        <f t="shared" si="3"/>
        <v>3.3995297317204458</v>
      </c>
      <c r="H41" s="10">
        <v>5</v>
      </c>
      <c r="I41" s="10">
        <v>44.94</v>
      </c>
      <c r="J41" s="10">
        <v>27.35</v>
      </c>
      <c r="K41" s="10">
        <v>2.42</v>
      </c>
      <c r="L41" s="10">
        <f t="shared" si="4"/>
        <v>0.11125945705384958</v>
      </c>
      <c r="N41" s="10">
        <v>35</v>
      </c>
      <c r="O41" s="10">
        <f>76.83+22.77</f>
        <v>99.6</v>
      </c>
      <c r="P41" s="10">
        <f>29.09+34.19</f>
        <v>63.28</v>
      </c>
      <c r="Q41" s="10">
        <v>3.46</v>
      </c>
      <c r="R41" s="10">
        <f t="shared" si="5"/>
        <v>0.35140562248995988</v>
      </c>
    </row>
    <row r="42" spans="2:18" x14ac:dyDescent="0.3">
      <c r="B42" s="10">
        <v>1000</v>
      </c>
      <c r="C42" s="10">
        <f>318.24+7.48</f>
        <v>325.72000000000003</v>
      </c>
      <c r="D42" s="10">
        <f>65.23+3.67</f>
        <v>68.900000000000006</v>
      </c>
      <c r="E42" s="10">
        <v>7.89</v>
      </c>
      <c r="F42" s="10">
        <f t="shared" si="3"/>
        <v>3.0701215768144414</v>
      </c>
      <c r="N42" s="10">
        <v>30</v>
      </c>
      <c r="O42" s="10">
        <f>72.96+18.32</f>
        <v>91.28</v>
      </c>
      <c r="P42" s="10">
        <f>28.63+33.45</f>
        <v>62.08</v>
      </c>
      <c r="Q42" s="10">
        <v>3.33</v>
      </c>
      <c r="R42" s="10">
        <f t="shared" si="5"/>
        <v>0.32865907099035935</v>
      </c>
    </row>
    <row r="43" spans="2:18" x14ac:dyDescent="0.3">
      <c r="B43" s="10">
        <v>800</v>
      </c>
      <c r="C43" s="10">
        <f>290.32+5.91</f>
        <v>296.23</v>
      </c>
      <c r="D43" s="10">
        <f>62.15+3.48</f>
        <v>65.63</v>
      </c>
      <c r="E43" s="10">
        <v>7.45</v>
      </c>
      <c r="F43" s="10">
        <f t="shared" si="3"/>
        <v>2.7006042602032201</v>
      </c>
      <c r="N43" s="10">
        <v>25</v>
      </c>
      <c r="O43" s="10">
        <f>69.11+13.81</f>
        <v>82.92</v>
      </c>
      <c r="P43" s="10">
        <f>28.14+31.2</f>
        <v>59.34</v>
      </c>
      <c r="Q43" s="10">
        <v>3.19</v>
      </c>
      <c r="R43" s="10">
        <f t="shared" si="5"/>
        <v>0.30149541726965751</v>
      </c>
    </row>
    <row r="44" spans="2:18" x14ac:dyDescent="0.3">
      <c r="B44" s="10">
        <v>600</v>
      </c>
      <c r="C44" s="10">
        <f>257.39+4.09</f>
        <v>261.47999999999996</v>
      </c>
      <c r="D44" s="10">
        <f>59.18+3.27</f>
        <v>62.45</v>
      </c>
      <c r="E44" s="10">
        <v>6.9</v>
      </c>
      <c r="F44" s="10">
        <f t="shared" si="3"/>
        <v>2.2946305644791192</v>
      </c>
      <c r="N44" s="10">
        <v>20</v>
      </c>
      <c r="O44" s="10">
        <f>64.91+9.25</f>
        <v>74.16</v>
      </c>
      <c r="P44" s="10">
        <f>27.61+29.64</f>
        <v>57.25</v>
      </c>
      <c r="Q44" s="10">
        <v>3.04</v>
      </c>
      <c r="R44" s="10">
        <f t="shared" si="5"/>
        <v>0.26968716289104638</v>
      </c>
    </row>
    <row r="45" spans="2:18" x14ac:dyDescent="0.3">
      <c r="B45" s="10">
        <v>400</v>
      </c>
      <c r="C45" s="10">
        <f>210.3+1.52</f>
        <v>211.82000000000002</v>
      </c>
      <c r="D45" s="10">
        <f>55.98+2.96</f>
        <v>58.94</v>
      </c>
      <c r="E45" s="10">
        <v>6.09</v>
      </c>
      <c r="F45" s="10">
        <f t="shared" si="3"/>
        <v>1.8883958077613066</v>
      </c>
      <c r="N45" s="10">
        <v>15</v>
      </c>
      <c r="O45" s="10">
        <f>60.17+4.44+0.06+0.02+0.11</f>
        <v>64.8</v>
      </c>
      <c r="P45" s="10">
        <f>27.01+14.61+1.98+1.44+2.91</f>
        <v>47.95</v>
      </c>
      <c r="Q45" s="10">
        <v>2.87</v>
      </c>
      <c r="R45" s="10">
        <f t="shared" si="5"/>
        <v>0.23148148148148148</v>
      </c>
    </row>
    <row r="46" spans="2:18" x14ac:dyDescent="0.3">
      <c r="B46" s="10">
        <v>200</v>
      </c>
      <c r="C46" s="10">
        <v>146.94</v>
      </c>
      <c r="D46" s="10">
        <v>42.49</v>
      </c>
      <c r="E46" s="10">
        <v>4.8600000000000003</v>
      </c>
      <c r="F46" s="10">
        <f t="shared" si="3"/>
        <v>1.3610997686130393</v>
      </c>
      <c r="N46" s="10">
        <v>10</v>
      </c>
      <c r="O46" s="10">
        <f>54.63+0.01+1.69</f>
        <v>56.33</v>
      </c>
      <c r="P46" s="10">
        <f>26.28+0.49+10.2</f>
        <v>36.97</v>
      </c>
      <c r="Q46" s="10">
        <v>2.66</v>
      </c>
      <c r="R46" s="10">
        <f t="shared" si="5"/>
        <v>0.17752529735487307</v>
      </c>
    </row>
    <row r="47" spans="2:18" x14ac:dyDescent="0.3">
      <c r="N47" s="10">
        <v>5</v>
      </c>
      <c r="O47" s="10">
        <f>47.86+0.01</f>
        <v>47.87</v>
      </c>
      <c r="P47" s="10">
        <f>25.37+1.54</f>
        <v>26.91</v>
      </c>
      <c r="Q47" s="10">
        <v>2.4</v>
      </c>
      <c r="R47" s="10">
        <f t="shared" si="5"/>
        <v>0.10444955086693128</v>
      </c>
    </row>
    <row r="49" spans="2:12" x14ac:dyDescent="0.3">
      <c r="B49" s="1" t="s">
        <v>0</v>
      </c>
      <c r="C49" s="2">
        <v>380</v>
      </c>
      <c r="D49" s="3"/>
      <c r="E49" s="3"/>
      <c r="F49" s="3"/>
      <c r="H49" s="1" t="s">
        <v>0</v>
      </c>
      <c r="I49" s="2">
        <v>380</v>
      </c>
      <c r="J49" s="3"/>
      <c r="K49" s="3"/>
      <c r="L49" s="3"/>
    </row>
    <row r="50" spans="2:12" x14ac:dyDescent="0.3">
      <c r="B50" s="1" t="s">
        <v>1</v>
      </c>
      <c r="C50" s="2">
        <v>944.43</v>
      </c>
      <c r="D50" s="3"/>
      <c r="E50" s="3"/>
      <c r="F50" s="3"/>
      <c r="H50" s="1" t="s">
        <v>1</v>
      </c>
      <c r="I50" s="2">
        <v>1048.5</v>
      </c>
      <c r="J50" s="3"/>
      <c r="K50" s="3"/>
      <c r="L50" s="3"/>
    </row>
    <row r="52" spans="2:12" x14ac:dyDescent="0.3">
      <c r="B52" s="5" t="s">
        <v>2</v>
      </c>
      <c r="C52" s="5" t="s">
        <v>3</v>
      </c>
      <c r="D52" s="5" t="s">
        <v>4</v>
      </c>
      <c r="E52" s="5" t="s">
        <v>5</v>
      </c>
      <c r="F52" s="5" t="s">
        <v>6</v>
      </c>
      <c r="H52" s="5" t="s">
        <v>2</v>
      </c>
      <c r="I52" s="5" t="s">
        <v>3</v>
      </c>
      <c r="J52" s="5" t="s">
        <v>4</v>
      </c>
      <c r="K52" s="5" t="s">
        <v>5</v>
      </c>
      <c r="L52" s="5" t="s">
        <v>6</v>
      </c>
    </row>
    <row r="53" spans="2:12" x14ac:dyDescent="0.3">
      <c r="B53" s="10">
        <v>50</v>
      </c>
      <c r="C53" s="10">
        <v>119.89</v>
      </c>
      <c r="D53" s="10">
        <v>51.61</v>
      </c>
      <c r="E53" s="10">
        <v>4.07</v>
      </c>
      <c r="F53" s="10">
        <f>B53/C53</f>
        <v>0.41704896154808574</v>
      </c>
      <c r="H53" s="10">
        <v>30</v>
      </c>
      <c r="I53" s="10">
        <f>0.31+123.49+0.01+0.04+0.1+13.39</f>
        <v>137.34</v>
      </c>
      <c r="J53" s="10">
        <f>7.03+53.56+0.84+1.74+1.89+25.03</f>
        <v>90.09</v>
      </c>
      <c r="K53" s="10">
        <v>4.0199999999999996</v>
      </c>
      <c r="L53" s="10">
        <f>H53/I53</f>
        <v>0.218435998252512</v>
      </c>
    </row>
    <row r="54" spans="2:12" x14ac:dyDescent="0.3">
      <c r="B54" s="10">
        <v>45</v>
      </c>
      <c r="C54" s="10">
        <v>114.68</v>
      </c>
      <c r="D54" s="10">
        <v>50.1</v>
      </c>
      <c r="E54" s="10">
        <v>3.97</v>
      </c>
      <c r="F54" s="10">
        <f t="shared" ref="F54:F62" si="6">B54/C54</f>
        <v>0.39239623299616322</v>
      </c>
      <c r="H54" s="10">
        <v>27</v>
      </c>
      <c r="I54" s="10">
        <f>119.18+0.01+11.37</f>
        <v>130.56</v>
      </c>
      <c r="J54" s="10">
        <f>51.7+0.9+23.33</f>
        <v>75.930000000000007</v>
      </c>
      <c r="K54" s="10">
        <v>3.94</v>
      </c>
      <c r="L54" s="10">
        <f t="shared" ref="L54:L62" si="7">H54/I54</f>
        <v>0.20680147058823528</v>
      </c>
    </row>
    <row r="55" spans="2:12" x14ac:dyDescent="0.3">
      <c r="B55" s="10">
        <v>40</v>
      </c>
      <c r="C55" s="10">
        <v>109.16</v>
      </c>
      <c r="D55" s="10">
        <v>48.68</v>
      </c>
      <c r="E55" s="10">
        <v>3.86</v>
      </c>
      <c r="F55" s="10">
        <f t="shared" si="6"/>
        <v>0.36643459142543056</v>
      </c>
      <c r="H55" s="10">
        <v>24</v>
      </c>
      <c r="I55" s="10">
        <f>114.72+9.38</f>
        <v>124.1</v>
      </c>
      <c r="J55" s="10">
        <f>51.39+22.41</f>
        <v>73.8</v>
      </c>
      <c r="K55" s="10">
        <v>3.85</v>
      </c>
      <c r="L55" s="10">
        <f t="shared" si="7"/>
        <v>0.19339242546333602</v>
      </c>
    </row>
    <row r="56" spans="2:12" x14ac:dyDescent="0.3">
      <c r="B56" s="10">
        <v>35</v>
      </c>
      <c r="C56" s="10">
        <v>103.29</v>
      </c>
      <c r="D56" s="10">
        <v>45.7</v>
      </c>
      <c r="E56" s="10">
        <v>3.73</v>
      </c>
      <c r="F56" s="10">
        <f t="shared" si="6"/>
        <v>0.33885177655145704</v>
      </c>
      <c r="H56" s="10">
        <v>21</v>
      </c>
      <c r="I56" s="10">
        <f>109.9+0.04+7.4</f>
        <v>117.34000000000002</v>
      </c>
      <c r="J56" s="10">
        <f>50.49+0.47+20.75</f>
        <v>71.710000000000008</v>
      </c>
      <c r="K56" s="10">
        <v>3.76</v>
      </c>
      <c r="L56" s="10">
        <f t="shared" si="7"/>
        <v>0.17896710414181011</v>
      </c>
    </row>
    <row r="57" spans="2:12" x14ac:dyDescent="0.3">
      <c r="B57" s="10">
        <v>30</v>
      </c>
      <c r="C57" s="10">
        <v>97.47</v>
      </c>
      <c r="D57" s="10">
        <v>43.5</v>
      </c>
      <c r="E57" s="10">
        <v>3.6</v>
      </c>
      <c r="F57" s="10">
        <f t="shared" si="6"/>
        <v>0.30778701138811942</v>
      </c>
      <c r="H57" s="10">
        <v>18</v>
      </c>
      <c r="I57" s="10">
        <f>104.95+5.45</f>
        <v>110.4</v>
      </c>
      <c r="J57" s="10">
        <f>50.03+18.34</f>
        <v>68.37</v>
      </c>
      <c r="K57" s="10">
        <v>3.66</v>
      </c>
      <c r="L57" s="10">
        <f t="shared" si="7"/>
        <v>0.16304347826086957</v>
      </c>
    </row>
    <row r="58" spans="2:12" x14ac:dyDescent="0.3">
      <c r="B58" s="10">
        <v>25</v>
      </c>
      <c r="C58" s="10">
        <v>91.49</v>
      </c>
      <c r="D58" s="10">
        <v>42.17</v>
      </c>
      <c r="E58" s="10">
        <v>3.47</v>
      </c>
      <c r="F58" s="10">
        <f t="shared" si="6"/>
        <v>0.27325390753087769</v>
      </c>
      <c r="H58" s="10">
        <v>15</v>
      </c>
      <c r="I58" s="10">
        <f>99.66+3.72</f>
        <v>103.38</v>
      </c>
      <c r="J58" s="10">
        <f>49.66+14.62</f>
        <v>64.28</v>
      </c>
      <c r="K58" s="10">
        <v>3.57</v>
      </c>
      <c r="L58" s="10">
        <f t="shared" si="7"/>
        <v>0.14509576320371445</v>
      </c>
    </row>
    <row r="59" spans="2:12" x14ac:dyDescent="0.3">
      <c r="B59" s="10">
        <v>20</v>
      </c>
      <c r="C59" s="10">
        <v>85.16</v>
      </c>
      <c r="D59" s="10">
        <v>40.74</v>
      </c>
      <c r="E59" s="10">
        <v>3.31</v>
      </c>
      <c r="F59" s="10">
        <f t="shared" si="6"/>
        <v>0.23485204321277597</v>
      </c>
      <c r="H59" s="10">
        <v>12</v>
      </c>
      <c r="I59" s="10">
        <f>92.54+2.06</f>
        <v>94.600000000000009</v>
      </c>
      <c r="J59" s="10">
        <f>49.24+11.74</f>
        <v>60.980000000000004</v>
      </c>
      <c r="K59" s="10">
        <v>3.44</v>
      </c>
      <c r="L59" s="10">
        <f t="shared" si="7"/>
        <v>0.12684989429175475</v>
      </c>
    </row>
    <row r="60" spans="2:12" x14ac:dyDescent="0.3">
      <c r="B60" s="10">
        <v>15</v>
      </c>
      <c r="C60" s="10">
        <v>78.31</v>
      </c>
      <c r="D60" s="10">
        <v>39.1</v>
      </c>
      <c r="E60" s="10">
        <v>3.14</v>
      </c>
      <c r="F60" s="10">
        <f t="shared" si="6"/>
        <v>0.19154641808198186</v>
      </c>
      <c r="H60" s="10">
        <v>9</v>
      </c>
      <c r="I60" s="10">
        <f>4.87+82.15+0.64</f>
        <v>87.660000000000011</v>
      </c>
      <c r="J60" s="10">
        <f>10.78+35.54+9.53</f>
        <v>55.85</v>
      </c>
      <c r="K60" s="10">
        <v>3.3</v>
      </c>
      <c r="L60" s="10">
        <f t="shared" si="7"/>
        <v>0.10266940451745378</v>
      </c>
    </row>
    <row r="61" spans="2:12" x14ac:dyDescent="0.3">
      <c r="B61" s="10">
        <v>10</v>
      </c>
      <c r="C61" s="10">
        <v>70.34</v>
      </c>
      <c r="D61" s="10">
        <v>36.51</v>
      </c>
      <c r="E61" s="10">
        <v>2.93</v>
      </c>
      <c r="F61" s="10">
        <f t="shared" si="6"/>
        <v>0.14216661927779356</v>
      </c>
      <c r="H61" s="10">
        <v>6</v>
      </c>
      <c r="I61" s="10">
        <f>3.31+76.69</f>
        <v>80</v>
      </c>
      <c r="J61" s="10">
        <f>8.68+33.59</f>
        <v>42.27</v>
      </c>
      <c r="K61" s="10">
        <v>3.14</v>
      </c>
      <c r="L61" s="10">
        <f t="shared" si="7"/>
        <v>7.4999999999999997E-2</v>
      </c>
    </row>
    <row r="62" spans="2:12" x14ac:dyDescent="0.3">
      <c r="B62" s="10">
        <v>5</v>
      </c>
      <c r="C62" s="10">
        <v>60.94</v>
      </c>
      <c r="D62" s="10">
        <v>34.67</v>
      </c>
      <c r="E62" s="10">
        <v>2.67</v>
      </c>
      <c r="F62" s="10">
        <f t="shared" si="6"/>
        <v>8.2047915982934039E-2</v>
      </c>
      <c r="H62" s="10">
        <v>3</v>
      </c>
      <c r="I62" s="10">
        <f>1.73+69.99</f>
        <v>71.72</v>
      </c>
      <c r="J62" s="10">
        <f>6.48+31.29</f>
        <v>37.769999999999996</v>
      </c>
      <c r="K62" s="10">
        <v>2.93</v>
      </c>
      <c r="L62" s="10">
        <f t="shared" si="7"/>
        <v>4.1829336307863917E-2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Data Site 380</vt:lpstr>
      <vt:lpstr>Discharge vs Depth</vt:lpstr>
      <vt:lpstr>Discharge vs Width</vt:lpstr>
      <vt:lpstr>Discharge vs Area</vt:lpstr>
      <vt:lpstr>Discharge vs 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Ruma</cp:lastModifiedBy>
  <dcterms:created xsi:type="dcterms:W3CDTF">2020-08-09T15:43:38Z</dcterms:created>
  <dcterms:modified xsi:type="dcterms:W3CDTF">2021-07-17T01:23:33Z</dcterms:modified>
</cp:coreProperties>
</file>