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ma\Downloads\"/>
    </mc:Choice>
  </mc:AlternateContent>
  <bookViews>
    <workbookView xWindow="0" yWindow="0" windowWidth="23040" windowHeight="9336"/>
  </bookViews>
  <sheets>
    <sheet name="Appalachian Highland" sheetId="1" r:id="rId1"/>
    <sheet name="Central Lowland" sheetId="2" r:id="rId2"/>
    <sheet name="Coastal Plain" sheetId="3" r:id="rId3"/>
    <sheet name="Interior Highlan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0" i="4"/>
  <c r="C8" i="4"/>
  <c r="C7" i="4"/>
  <c r="C5" i="4"/>
  <c r="C4" i="4"/>
  <c r="C3" i="4"/>
  <c r="C2" i="4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4" i="3"/>
  <c r="C13" i="3"/>
  <c r="C12" i="3"/>
  <c r="C10" i="3"/>
  <c r="C9" i="3"/>
  <c r="C8" i="3"/>
  <c r="C7" i="3"/>
  <c r="C5" i="3"/>
  <c r="C4" i="3"/>
  <c r="C3" i="3"/>
  <c r="C27" i="2"/>
  <c r="C25" i="2"/>
  <c r="C24" i="2"/>
  <c r="C22" i="2"/>
  <c r="C21" i="2"/>
  <c r="C20" i="2"/>
  <c r="C19" i="2"/>
  <c r="C18" i="2"/>
  <c r="C17" i="2"/>
  <c r="C16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12" i="1"/>
  <c r="C111" i="1"/>
  <c r="C109" i="1"/>
  <c r="C108" i="1"/>
  <c r="C107" i="1"/>
  <c r="C106" i="1"/>
  <c r="C105" i="1"/>
  <c r="C104" i="1"/>
  <c r="C103" i="1"/>
  <c r="C102" i="1"/>
  <c r="C101" i="1"/>
  <c r="C100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4" i="1"/>
  <c r="C73" i="1"/>
  <c r="C72" i="1"/>
  <c r="C71" i="1"/>
  <c r="C70" i="1"/>
  <c r="C69" i="1"/>
  <c r="C68" i="1"/>
  <c r="C67" i="1"/>
  <c r="C66" i="1"/>
  <c r="C65" i="1"/>
  <c r="C64" i="1"/>
  <c r="C62" i="1"/>
  <c r="C61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8" i="1"/>
  <c r="C27" i="1"/>
  <c r="C25" i="1"/>
  <c r="C24" i="1"/>
  <c r="C23" i="1"/>
  <c r="C2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2" i="1"/>
</calcChain>
</file>

<file path=xl/sharedStrings.xml><?xml version="1.0" encoding="utf-8"?>
<sst xmlns="http://schemas.openxmlformats.org/spreadsheetml/2006/main" count="262" uniqueCount="190">
  <si>
    <t>USGS Station</t>
  </si>
  <si>
    <t>Return Period (years)</t>
  </si>
  <si>
    <t>AIC/BIC</t>
  </si>
  <si>
    <t>Kurtosis</t>
  </si>
  <si>
    <t>Skewness</t>
  </si>
  <si>
    <t xml:space="preserve">457.5564 / 461.6583 </t>
  </si>
  <si>
    <t>Light Tail</t>
  </si>
  <si>
    <t xml:space="preserve">929.1898 / 935.4224 </t>
  </si>
  <si>
    <t xml:space="preserve">1402.639 / 1409.67 </t>
  </si>
  <si>
    <t xml:space="preserve">1268.945 / 1276.015 </t>
  </si>
  <si>
    <t xml:space="preserve">603.7356 / 608.0376 </t>
  </si>
  <si>
    <t>795.1684  / 800.9044</t>
  </si>
  <si>
    <t xml:space="preserve">1059.121 / 1065.824 </t>
  </si>
  <si>
    <t xml:space="preserve">1643.349 / 1651.011 </t>
  </si>
  <si>
    <t xml:space="preserve">426.8188 / 430.4754 </t>
  </si>
  <si>
    <t xml:space="preserve">1614.489 / 1621.635 </t>
  </si>
  <si>
    <t xml:space="preserve">899.3063 / 904.7922 </t>
  </si>
  <si>
    <t xml:space="preserve">2067.115 / 2075.019 </t>
  </si>
  <si>
    <t xml:space="preserve">2185.685 / 2193.531 </t>
  </si>
  <si>
    <t xml:space="preserve">832.7556 / 838.2416 </t>
  </si>
  <si>
    <t xml:space="preserve">1775.256 / 1782.722 </t>
  </si>
  <si>
    <t xml:space="preserve">1895.241 / 1902.773 </t>
  </si>
  <si>
    <t xml:space="preserve">1996.05 / 2003.616 </t>
  </si>
  <si>
    <t xml:space="preserve">967.8566 / 973.8786 </t>
  </si>
  <si>
    <t xml:space="preserve">806.5846 / 811.9372 </t>
  </si>
  <si>
    <t xml:space="preserve">1929.618 / 1937.58 </t>
  </si>
  <si>
    <t xml:space="preserve">874.3133 / 879.9269 </t>
  </si>
  <si>
    <t>1114.131 / 1120.098</t>
  </si>
  <si>
    <t xml:space="preserve">847.097 / 852.7106 </t>
  </si>
  <si>
    <t xml:space="preserve">734.6247 / 739.6154 </t>
  </si>
  <si>
    <t xml:space="preserve">1565.337 / 1572.369 </t>
  </si>
  <si>
    <t xml:space="preserve">1161.891 / 1168.636 </t>
  </si>
  <si>
    <t xml:space="preserve">517.0959 / 520.9834 </t>
  </si>
  <si>
    <t xml:space="preserve">316.0828 / 319.2163 </t>
  </si>
  <si>
    <t xml:space="preserve">1984.037 / 1991.667 </t>
  </si>
  <si>
    <t xml:space="preserve">951.6256 / 957.6476 </t>
  </si>
  <si>
    <t xml:space="preserve">1772.24 / 1779.869 </t>
  </si>
  <si>
    <t xml:space="preserve">1604.54 / 1611.833 </t>
  </si>
  <si>
    <t xml:space="preserve">870.1105 / 875.661 </t>
  </si>
  <si>
    <t xml:space="preserve">1331.171 / 1338.163 </t>
  </si>
  <si>
    <t xml:space="preserve">1359.506 / 1366.614 </t>
  </si>
  <si>
    <t xml:space="preserve">1564.421 / 1571.641 </t>
  </si>
  <si>
    <t xml:space="preserve">281.1098 / 283.7809 </t>
  </si>
  <si>
    <t xml:space="preserve">1753.026 / 1760.687 </t>
  </si>
  <si>
    <t xml:space="preserve">1864.976 / 1872.541 </t>
  </si>
  <si>
    <t xml:space="preserve">1595.099 / 1602.282 </t>
  </si>
  <si>
    <t xml:space="preserve">1491.496 / 1498.449 </t>
  </si>
  <si>
    <t>1440.538 / 1447.326</t>
  </si>
  <si>
    <t xml:space="preserve">1039.008 / 1045.291 </t>
  </si>
  <si>
    <t xml:space="preserve">1288.064 /  1294.81 </t>
  </si>
  <si>
    <t xml:space="preserve">1553.164 / 1560.729 </t>
  </si>
  <si>
    <t xml:space="preserve">1921.049 / 1928.71 </t>
  </si>
  <si>
    <t xml:space="preserve">1269.117 / 1275.905 </t>
  </si>
  <si>
    <t xml:space="preserve">1934.627 / 1942.192 </t>
  </si>
  <si>
    <t xml:space="preserve">339.5128 / 342.0125 </t>
  </si>
  <si>
    <t xml:space="preserve">1565.866 / 1572.975 </t>
  </si>
  <si>
    <t xml:space="preserve">1866.329 / 1873.99 </t>
  </si>
  <si>
    <t xml:space="preserve">288.3451 / 290.6629 </t>
  </si>
  <si>
    <t xml:space="preserve">2095.212 / 2102.997 </t>
  </si>
  <si>
    <t xml:space="preserve">1475.806 / 1482.914 </t>
  </si>
  <si>
    <t>1988.093 / 1995.722</t>
  </si>
  <si>
    <t xml:space="preserve">1171.878 / 1178.708 </t>
  </si>
  <si>
    <t xml:space="preserve">1505.427 / 1512.893 </t>
  </si>
  <si>
    <t xml:space="preserve">1343.14 / 1350.171 </t>
  </si>
  <si>
    <t xml:space="preserve">960.3112 / 966.3873 </t>
  </si>
  <si>
    <t xml:space="preserve">986.9268 / 993.0559 </t>
  </si>
  <si>
    <t xml:space="preserve">329.6875 / 332.9606 </t>
  </si>
  <si>
    <t xml:space="preserve">1280.811 /  1287.288 </t>
  </si>
  <si>
    <t xml:space="preserve">1314.121 / 1321.073 </t>
  </si>
  <si>
    <t>840.5016 / 846.4686</t>
  </si>
  <si>
    <t>426.9835 / 430.7578</t>
  </si>
  <si>
    <t xml:space="preserve">611.5385 / 616.5292 </t>
  </si>
  <si>
    <t xml:space="preserve">726.4749 / 731.6156 </t>
  </si>
  <si>
    <t xml:space="preserve">972.1911 / 978.1581 </t>
  </si>
  <si>
    <t xml:space="preserve">272.5153 / 274.833 </t>
  </si>
  <si>
    <t xml:space="preserve">767.968 / 773.4539 </t>
  </si>
  <si>
    <t xml:space="preserve">1701.556 / 1709.186 </t>
  </si>
  <si>
    <t>611.4137 / 615.8109</t>
  </si>
  <si>
    <t>1949.512 / 1956.84</t>
  </si>
  <si>
    <t xml:space="preserve">1371.423 / 1378.493 </t>
  </si>
  <si>
    <t xml:space="preserve">1525.271 / 1532.564 </t>
  </si>
  <si>
    <t xml:space="preserve">317.6117 / 320.2828 </t>
  </si>
  <si>
    <t xml:space="preserve">1029.732 / 1035.862 </t>
  </si>
  <si>
    <t>480.7456 / 484.4022</t>
  </si>
  <si>
    <t xml:space="preserve">425.3086 / 428.8427 </t>
  </si>
  <si>
    <t>881.785 / 888.068</t>
  </si>
  <si>
    <t xml:space="preserve">732.9515 / 738.0923 </t>
  </si>
  <si>
    <t xml:space="preserve">1641.323 / 1648.888 </t>
  </si>
  <si>
    <t xml:space="preserve">1478.535 / 1485.828 </t>
  </si>
  <si>
    <t xml:space="preserve">1903.529 / 1910.995 </t>
  </si>
  <si>
    <t xml:space="preserve">515.3882 / 519.2757 </t>
  </si>
  <si>
    <t xml:space="preserve">499.4124 / 503.1867 </t>
  </si>
  <si>
    <t>563.3513 / 568.342</t>
  </si>
  <si>
    <t>1790.214 / 1797.206</t>
  </si>
  <si>
    <t xml:space="preserve">1764.684 / 1771.867 </t>
  </si>
  <si>
    <t xml:space="preserve">436.0106 / 439.5447 </t>
  </si>
  <si>
    <t>870.9113 / 876.4617</t>
  </si>
  <si>
    <t>1963.541 / 1971.386</t>
  </si>
  <si>
    <t>1082.711 / 1089.092</t>
  </si>
  <si>
    <t>1158.944 / 1165.732</t>
  </si>
  <si>
    <t xml:space="preserve">1859.318 / 1867.308 </t>
  </si>
  <si>
    <t>897.1701 / 903.0809</t>
  </si>
  <si>
    <t>1017.141 / 1023.473</t>
  </si>
  <si>
    <t>417.8544 / 421.511</t>
  </si>
  <si>
    <t>1925.444 / 1933.73</t>
  </si>
  <si>
    <t xml:space="preserve">844.3838 / 850.0593 </t>
  </si>
  <si>
    <t>2281.163 / 2289.45</t>
  </si>
  <si>
    <t xml:space="preserve">1381.235 / 1387.981 </t>
  </si>
  <si>
    <t xml:space="preserve">1397.11 / 1404.063 </t>
  </si>
  <si>
    <t>557.8111 / 562.2083</t>
  </si>
  <si>
    <t>911.7072 / 917.2576</t>
  </si>
  <si>
    <t xml:space="preserve">2184.502 / 2192.288 </t>
  </si>
  <si>
    <t xml:space="preserve">1809.792 / 1817.325 </t>
  </si>
  <si>
    <t xml:space="preserve">1648.724 / 1656.052 </t>
  </si>
  <si>
    <t>1414.292 / 1420.906</t>
  </si>
  <si>
    <t xml:space="preserve">1218.227 / 1224.559 </t>
  </si>
  <si>
    <t xml:space="preserve">1069.655 / 1075.988 </t>
  </si>
  <si>
    <t xml:space="preserve">1990.494 / 1998.124 </t>
  </si>
  <si>
    <t xml:space="preserve">826.4334 / 831.3461 </t>
  </si>
  <si>
    <t xml:space="preserve">1413.687 / 1420.475 </t>
  </si>
  <si>
    <t xml:space="preserve">1607.676 / 1614.933 </t>
  </si>
  <si>
    <t xml:space="preserve">1877.041 / 1884.573 </t>
  </si>
  <si>
    <t xml:space="preserve">722.8207 / 728.4962 </t>
  </si>
  <si>
    <t xml:space="preserve">1122.319 / 1128.888 </t>
  </si>
  <si>
    <t xml:space="preserve">778.2881 / 783.8385 </t>
  </si>
  <si>
    <t xml:space="preserve">2188.04 / 2195.795 </t>
  </si>
  <si>
    <t xml:space="preserve">235.7945 / 237.2492 </t>
  </si>
  <si>
    <t xml:space="preserve">803.6144 / 808.8274 </t>
  </si>
  <si>
    <t xml:space="preserve">1602.213 / 1609.359 </t>
  </si>
  <si>
    <t xml:space="preserve">1528.483 / 1535.704 </t>
  </si>
  <si>
    <t xml:space="preserve">1587.351 / 1595.397 </t>
  </si>
  <si>
    <t xml:space="preserve">1093.547 / 1099.976 </t>
  </si>
  <si>
    <t xml:space="preserve">865.6774 / 871.6443 </t>
  </si>
  <si>
    <t xml:space="preserve">556.3856 / 560.8751 </t>
  </si>
  <si>
    <t xml:space="preserve">1665.134 / 1672.355 </t>
  </si>
  <si>
    <t xml:space="preserve">1446.191 / 1452.979 </t>
  </si>
  <si>
    <t xml:space="preserve">693.5405 / 697.9377 </t>
  </si>
  <si>
    <t xml:space="preserve">729.8331 / 734.8238 </t>
  </si>
  <si>
    <t xml:space="preserve">1195.177 / 1201.306 </t>
  </si>
  <si>
    <t>1354.102 / 1360.484</t>
  </si>
  <si>
    <t xml:space="preserve">1872.828 / 1880.156 </t>
  </si>
  <si>
    <t xml:space="preserve">1490.336 / 1497.081 </t>
  </si>
  <si>
    <t xml:space="preserve">1006.194 / 1011.99 </t>
  </si>
  <si>
    <t>1119.817 / 1126.432</t>
  </si>
  <si>
    <t xml:space="preserve">1937.031 / 1944.359 </t>
  </si>
  <si>
    <t>1503.65 / 1510.521</t>
  </si>
  <si>
    <t xml:space="preserve">972.42 / 978.2155 </t>
  </si>
  <si>
    <t xml:space="preserve">1219.496 / 1225.572 </t>
  </si>
  <si>
    <t xml:space="preserve">562.8878 / 566.5444 </t>
  </si>
  <si>
    <t xml:space="preserve">1700.251 / 1707.614 </t>
  </si>
  <si>
    <t xml:space="preserve">1847.28 / 1854.878 </t>
  </si>
  <si>
    <t xml:space="preserve">1305.42 / 1311.752 </t>
  </si>
  <si>
    <t xml:space="preserve">1477.262 / 1484.133 </t>
  </si>
  <si>
    <t xml:space="preserve">1214.477 / 1221.046 </t>
  </si>
  <si>
    <t xml:space="preserve">1462.868 / 1470.014 </t>
  </si>
  <si>
    <t xml:space="preserve">1379.816 / 1386.604 </t>
  </si>
  <si>
    <t xml:space="preserve">1448.736 / 1455.845 </t>
  </si>
  <si>
    <t xml:space="preserve">636.5495 / 641.8331 </t>
  </si>
  <si>
    <t xml:space="preserve">630.4385 / 635.189 </t>
  </si>
  <si>
    <t xml:space="preserve">975.0975 / 981.2266 </t>
  </si>
  <si>
    <t xml:space="preserve">1504.736 / 1511.993 </t>
  </si>
  <si>
    <t>492.1523 / 496.1489</t>
  </si>
  <si>
    <t xml:space="preserve">442.6512 / 445.9244 </t>
  </si>
  <si>
    <t xml:space="preserve">833.8856 / 839.9076 </t>
  </si>
  <si>
    <t>1619.526/1626.397</t>
  </si>
  <si>
    <t xml:space="preserve">1446.191/1452.979 </t>
  </si>
  <si>
    <t>693.5405/697.9377</t>
  </si>
  <si>
    <t xml:space="preserve">1716.282/1723.391 </t>
  </si>
  <si>
    <t xml:space="preserve">590.3643/594.2518 </t>
  </si>
  <si>
    <t>571.0845/575.2881</t>
  </si>
  <si>
    <t>1760.327 / 1767.436</t>
  </si>
  <si>
    <t>1298.832 / 1305.401</t>
  </si>
  <si>
    <t xml:space="preserve">1529.867 / 1536.899 </t>
  </si>
  <si>
    <t xml:space="preserve">1713.04 / 1720.297 </t>
  </si>
  <si>
    <t>1615.967 / 1622.879</t>
  </si>
  <si>
    <t>1828.967 / 1836.223</t>
  </si>
  <si>
    <t xml:space="preserve">357.8492 /  360.5203 </t>
  </si>
  <si>
    <t>445.7801 / 449.1865</t>
  </si>
  <si>
    <t xml:space="preserve">1218.706 / 1224.939 </t>
  </si>
  <si>
    <t xml:space="preserve">1717.508 / 1724.54 </t>
  </si>
  <si>
    <t xml:space="preserve">1659.793 / 1666.824 </t>
  </si>
  <si>
    <t>1937.031 / 1944.359</t>
  </si>
  <si>
    <t xml:space="preserve">453.3653 / 456.3525 </t>
  </si>
  <si>
    <t xml:space="preserve">1066.183 / 1072.15 </t>
  </si>
  <si>
    <t xml:space="preserve">1987.156 / 1994.655 </t>
  </si>
  <si>
    <t xml:space="preserve">1368.459 / 1375.028 </t>
  </si>
  <si>
    <t xml:space="preserve">557.8111 / 562.2083 </t>
  </si>
  <si>
    <t xml:space="preserve">1146.125 /  1152.201 </t>
  </si>
  <si>
    <t xml:space="preserve">1261.677 / 1268.01 </t>
  </si>
  <si>
    <t>Minimum Heavy Tail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</si>
</sst>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workbookViewId="0">
      <selection activeCell="B1" sqref="B1"/>
    </sheetView>
  </sheetViews>
  <sheetFormatPr defaultRowHeight="14.4" x14ac:dyDescent="0.3"/>
  <cols>
    <col min="2" max="2" width="8.88671875" customWidth="1"/>
  </cols>
  <sheetData>
    <row r="1" spans="1:6" x14ac:dyDescent="0.3">
      <c r="A1" s="2" t="s">
        <v>0</v>
      </c>
      <c r="B1" s="2" t="s">
        <v>189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">
        <v>4273800</v>
      </c>
      <c r="B2" s="3">
        <v>1700</v>
      </c>
      <c r="C2" s="3">
        <f>1/0.1400077</f>
        <v>7.1424643073202398</v>
      </c>
      <c r="D2" s="4" t="s">
        <v>5</v>
      </c>
      <c r="E2" s="1">
        <v>16.726247707193455</v>
      </c>
      <c r="F2" s="1">
        <v>3.7830757626792448</v>
      </c>
    </row>
    <row r="3" spans="1:6" x14ac:dyDescent="0.3">
      <c r="A3" s="3">
        <v>4270200</v>
      </c>
      <c r="B3" s="2" t="s">
        <v>6</v>
      </c>
      <c r="C3" s="2" t="s">
        <v>6</v>
      </c>
      <c r="D3" s="4" t="s">
        <v>7</v>
      </c>
      <c r="E3" s="1">
        <v>-0.24688427968970217</v>
      </c>
      <c r="F3" s="1">
        <v>0.39774095612054172</v>
      </c>
    </row>
    <row r="4" spans="1:6" x14ac:dyDescent="0.3">
      <c r="A4" s="3">
        <v>4268000</v>
      </c>
      <c r="B4" s="2" t="s">
        <v>6</v>
      </c>
      <c r="C4" s="2" t="s">
        <v>6</v>
      </c>
      <c r="D4" s="4" t="s">
        <v>8</v>
      </c>
      <c r="E4" s="1">
        <v>0.3221723649012973</v>
      </c>
      <c r="F4" s="1">
        <v>0.63167498150898949</v>
      </c>
    </row>
    <row r="5" spans="1:6" x14ac:dyDescent="0.3">
      <c r="A5" s="3">
        <v>4256000</v>
      </c>
      <c r="B5" s="3">
        <v>5530</v>
      </c>
      <c r="C5" s="3">
        <f>1/0.01826053</f>
        <v>54.762923091498436</v>
      </c>
      <c r="D5" s="4" t="s">
        <v>9</v>
      </c>
      <c r="E5" s="1">
        <v>17.764151584036622</v>
      </c>
      <c r="F5" s="1">
        <v>3.3619288618102687</v>
      </c>
    </row>
    <row r="6" spans="1:6" x14ac:dyDescent="0.3">
      <c r="A6" s="3">
        <v>4250200</v>
      </c>
      <c r="B6" s="5">
        <v>17000</v>
      </c>
      <c r="C6" s="3">
        <f>1/0.05406377</f>
        <v>18.496675315095491</v>
      </c>
      <c r="D6" s="4" t="s">
        <v>10</v>
      </c>
      <c r="E6" s="1">
        <v>3.3325346885291358</v>
      </c>
      <c r="F6" s="1">
        <v>1.7948305319669418</v>
      </c>
    </row>
    <row r="7" spans="1:6" x14ac:dyDescent="0.3">
      <c r="A7" s="3">
        <v>4240010</v>
      </c>
      <c r="B7" s="3">
        <v>3300</v>
      </c>
      <c r="C7" s="3">
        <f>1/0.0617277</f>
        <v>16.20018241405398</v>
      </c>
      <c r="D7" s="4" t="s">
        <v>11</v>
      </c>
      <c r="E7" s="1">
        <v>0.45707791300048273</v>
      </c>
      <c r="F7" s="1">
        <v>1.0465136545983007</v>
      </c>
    </row>
    <row r="8" spans="1:6" x14ac:dyDescent="0.3">
      <c r="A8" s="3">
        <v>4239000</v>
      </c>
      <c r="B8" s="3">
        <v>3200</v>
      </c>
      <c r="C8" s="3">
        <f>1/0.009371593</f>
        <v>106.70544484806372</v>
      </c>
      <c r="D8" s="4" t="s">
        <v>12</v>
      </c>
      <c r="E8" s="1">
        <v>2.6281643219266586</v>
      </c>
      <c r="F8" s="1">
        <v>1.389297765944292</v>
      </c>
    </row>
    <row r="9" spans="1:6" x14ac:dyDescent="0.3">
      <c r="A9" s="3">
        <v>4234000</v>
      </c>
      <c r="B9" s="3">
        <v>9450</v>
      </c>
      <c r="C9" s="3">
        <f>1/0.0134276</f>
        <v>74.473472549078025</v>
      </c>
      <c r="D9" s="4" t="s">
        <v>13</v>
      </c>
      <c r="E9" s="1">
        <v>15.730030997598785</v>
      </c>
      <c r="F9" s="1">
        <v>3.3281160034082178</v>
      </c>
    </row>
    <row r="10" spans="1:6" x14ac:dyDescent="0.3">
      <c r="A10" s="3">
        <v>4233300</v>
      </c>
      <c r="B10" s="3">
        <v>4340</v>
      </c>
      <c r="C10" s="3">
        <f>1/0.1045558</f>
        <v>9.5642709443187268</v>
      </c>
      <c r="D10" s="4" t="s">
        <v>14</v>
      </c>
      <c r="E10" s="1">
        <v>1.2820016945513677</v>
      </c>
      <c r="F10" s="1">
        <v>1.3072184790264509</v>
      </c>
    </row>
    <row r="11" spans="1:6" x14ac:dyDescent="0.3">
      <c r="A11" s="3">
        <v>4213500</v>
      </c>
      <c r="B11" s="3">
        <v>27000</v>
      </c>
      <c r="C11" s="3">
        <f>1/0.07435717</f>
        <v>13.448602199357506</v>
      </c>
      <c r="D11" s="4" t="s">
        <v>15</v>
      </c>
      <c r="E11" s="1">
        <v>0.65868658467933727</v>
      </c>
      <c r="F11" s="1">
        <v>1.0777523185517275</v>
      </c>
    </row>
    <row r="12" spans="1:6" x14ac:dyDescent="0.3">
      <c r="A12" s="3">
        <v>4212100</v>
      </c>
      <c r="B12" s="3">
        <v>35000</v>
      </c>
      <c r="C12" s="3">
        <f>1/0.00111468</f>
        <v>897.11845552086697</v>
      </c>
      <c r="D12" s="4" t="s">
        <v>16</v>
      </c>
      <c r="E12" s="1">
        <v>9.1913896163045585</v>
      </c>
      <c r="F12" s="3">
        <v>2.1859993179999999</v>
      </c>
    </row>
    <row r="13" spans="1:6" x14ac:dyDescent="0.3">
      <c r="A13" s="3">
        <v>3524000</v>
      </c>
      <c r="B13" s="3">
        <v>27500</v>
      </c>
      <c r="C13" s="3">
        <f>1/0.03203154</f>
        <v>31.219229546877862</v>
      </c>
      <c r="D13" s="4" t="s">
        <v>17</v>
      </c>
      <c r="E13" s="1">
        <v>1.5578429457939995</v>
      </c>
      <c r="F13" s="1">
        <v>1.1717829502061297</v>
      </c>
    </row>
    <row r="14" spans="1:6" x14ac:dyDescent="0.3">
      <c r="A14" s="3">
        <v>3465500</v>
      </c>
      <c r="B14" s="3">
        <v>51400</v>
      </c>
      <c r="C14" s="3">
        <f>1/0.07531149</f>
        <v>13.278186369702684</v>
      </c>
      <c r="D14" s="4" t="s">
        <v>18</v>
      </c>
      <c r="E14" s="1">
        <v>11.219942390798535</v>
      </c>
      <c r="F14" s="1">
        <v>2.8964010455656126</v>
      </c>
    </row>
    <row r="15" spans="1:6" x14ac:dyDescent="0.3">
      <c r="A15" s="3">
        <v>3202750</v>
      </c>
      <c r="B15" s="3">
        <v>10700</v>
      </c>
      <c r="C15" s="3">
        <f>1/0.0150797</f>
        <v>66.314316597810304</v>
      </c>
      <c r="D15" s="4" t="s">
        <v>19</v>
      </c>
      <c r="E15" s="1">
        <v>0.5136039950342246</v>
      </c>
      <c r="F15" s="1">
        <v>0.91681216501302232</v>
      </c>
    </row>
    <row r="16" spans="1:6" x14ac:dyDescent="0.3">
      <c r="A16" s="3">
        <v>3194700</v>
      </c>
      <c r="B16" s="3">
        <v>28600</v>
      </c>
      <c r="C16" s="3">
        <f>1/0.03636107</f>
        <v>27.50194094948251</v>
      </c>
      <c r="D16" s="4" t="s">
        <v>20</v>
      </c>
      <c r="E16" s="1">
        <v>3.4434825955613415</v>
      </c>
      <c r="F16" s="1">
        <v>1.6913861913006385</v>
      </c>
    </row>
    <row r="17" spans="1:6" x14ac:dyDescent="0.3">
      <c r="A17" s="3">
        <v>3182500</v>
      </c>
      <c r="B17" s="3">
        <v>61500</v>
      </c>
      <c r="C17" s="3">
        <f>1/0.005416838</f>
        <v>184.60954527346027</v>
      </c>
      <c r="D17" s="4" t="s">
        <v>21</v>
      </c>
      <c r="E17" s="1">
        <v>12.683813226088208</v>
      </c>
      <c r="F17" s="1">
        <v>2.836820342107492</v>
      </c>
    </row>
    <row r="18" spans="1:6" x14ac:dyDescent="0.3">
      <c r="A18" s="3">
        <v>3164000</v>
      </c>
      <c r="B18" s="3">
        <v>49500</v>
      </c>
      <c r="C18" s="3">
        <f>1/0.08542206</f>
        <v>11.706577902710379</v>
      </c>
      <c r="D18" s="4" t="s">
        <v>22</v>
      </c>
      <c r="E18" s="1">
        <v>17.233085156653402</v>
      </c>
      <c r="F18" s="1">
        <v>3.3786134666100094</v>
      </c>
    </row>
    <row r="19" spans="1:6" x14ac:dyDescent="0.3">
      <c r="A19" s="3">
        <v>3159540</v>
      </c>
      <c r="B19" s="3">
        <v>11100</v>
      </c>
      <c r="C19" s="3">
        <f>1/0.00692444</f>
        <v>144.41601053659213</v>
      </c>
      <c r="D19" s="4" t="s">
        <v>23</v>
      </c>
      <c r="E19" s="1">
        <v>13.847239836431518</v>
      </c>
      <c r="F19" s="1">
        <v>3.221827300456507</v>
      </c>
    </row>
    <row r="20" spans="1:6" x14ac:dyDescent="0.3">
      <c r="A20" s="3">
        <v>3151400</v>
      </c>
      <c r="B20" s="3">
        <v>7790</v>
      </c>
      <c r="C20" s="3">
        <f>1/0.1593808</f>
        <v>6.2742814692861382</v>
      </c>
      <c r="D20" s="4" t="s">
        <v>24</v>
      </c>
      <c r="E20" s="1">
        <v>7.1163779491330761</v>
      </c>
      <c r="F20" s="1">
        <v>2.5104293581268706</v>
      </c>
    </row>
    <row r="21" spans="1:6" x14ac:dyDescent="0.3">
      <c r="A21" s="3">
        <v>3053500</v>
      </c>
      <c r="B21" s="2" t="s">
        <v>6</v>
      </c>
      <c r="C21" s="2" t="s">
        <v>6</v>
      </c>
      <c r="D21" s="4" t="s">
        <v>25</v>
      </c>
      <c r="E21" s="1">
        <v>4.9679523642505163E-2</v>
      </c>
      <c r="F21" s="3">
        <v>0.42533982999999997</v>
      </c>
    </row>
    <row r="22" spans="1:6" x14ac:dyDescent="0.3">
      <c r="A22" s="3">
        <v>2219000</v>
      </c>
      <c r="B22" s="3">
        <v>11200</v>
      </c>
      <c r="C22" s="3">
        <f>1/0.01166315</f>
        <v>85.740130239257823</v>
      </c>
      <c r="D22" s="4" t="s">
        <v>26</v>
      </c>
      <c r="E22" s="1">
        <v>1.21926281550705</v>
      </c>
      <c r="F22" s="1">
        <v>1.0012480524272727</v>
      </c>
    </row>
    <row r="23" spans="1:6" x14ac:dyDescent="0.3">
      <c r="A23" s="3">
        <v>2218300</v>
      </c>
      <c r="B23" s="3">
        <v>36000</v>
      </c>
      <c r="C23" s="3">
        <f>1/0.02968617</f>
        <v>33.685719646555953</v>
      </c>
      <c r="D23" s="4" t="s">
        <v>27</v>
      </c>
      <c r="E23" s="1">
        <v>10.064485339078724</v>
      </c>
      <c r="F23" s="1">
        <v>2.6521178806318306</v>
      </c>
    </row>
    <row r="24" spans="1:6" x14ac:dyDescent="0.3">
      <c r="A24" s="3">
        <v>2208450</v>
      </c>
      <c r="B24" s="3">
        <v>5410</v>
      </c>
      <c r="C24" s="3">
        <f>1/0.1083938</f>
        <v>9.2256199155302241</v>
      </c>
      <c r="D24" s="4" t="s">
        <v>28</v>
      </c>
      <c r="E24" s="1">
        <v>1.9122763511929541E-3</v>
      </c>
      <c r="F24" s="1">
        <v>0.92262661496180454</v>
      </c>
    </row>
    <row r="25" spans="1:6" x14ac:dyDescent="0.3">
      <c r="A25" s="3">
        <v>2204070</v>
      </c>
      <c r="B25" s="3">
        <v>11200</v>
      </c>
      <c r="C25" s="3">
        <f>1/0.1317548</f>
        <v>7.5898563088403606</v>
      </c>
      <c r="D25" s="4" t="s">
        <v>29</v>
      </c>
      <c r="E25" s="1">
        <v>0.58057497012936476</v>
      </c>
      <c r="F25" s="1">
        <v>1.0180099850076001</v>
      </c>
    </row>
    <row r="26" spans="1:6" x14ac:dyDescent="0.3">
      <c r="A26" s="3">
        <v>2196000</v>
      </c>
      <c r="B26" s="2" t="s">
        <v>6</v>
      </c>
      <c r="C26" s="2" t="s">
        <v>6</v>
      </c>
      <c r="D26" s="4" t="s">
        <v>30</v>
      </c>
      <c r="E26" s="1">
        <v>1.3645491846444315</v>
      </c>
      <c r="F26" s="1">
        <v>0.92370278228951563</v>
      </c>
    </row>
    <row r="27" spans="1:6" x14ac:dyDescent="0.3">
      <c r="A27" s="3">
        <v>2164000</v>
      </c>
      <c r="B27" s="3">
        <v>4450</v>
      </c>
      <c r="C27" s="3">
        <f>1/0.06523407</f>
        <v>15.329412989255459</v>
      </c>
      <c r="D27" s="4" t="s">
        <v>31</v>
      </c>
      <c r="E27" s="1">
        <v>0.691727462410892</v>
      </c>
      <c r="F27" s="1">
        <v>1.0134794733399295</v>
      </c>
    </row>
    <row r="28" spans="1:6" x14ac:dyDescent="0.3">
      <c r="A28" s="3">
        <v>2160390</v>
      </c>
      <c r="B28" s="3">
        <v>17300</v>
      </c>
      <c r="C28" s="3">
        <f>1/0.04302318</f>
        <v>23.243284201679188</v>
      </c>
      <c r="D28" s="4" t="s">
        <v>32</v>
      </c>
      <c r="E28" s="1">
        <v>21.20674268985081</v>
      </c>
      <c r="F28" s="1">
        <v>4.4340014539669754</v>
      </c>
    </row>
    <row r="29" spans="1:6" x14ac:dyDescent="0.3">
      <c r="A29" s="3">
        <v>2160381</v>
      </c>
      <c r="B29" s="2" t="s">
        <v>6</v>
      </c>
      <c r="C29" s="2" t="s">
        <v>6</v>
      </c>
      <c r="D29" s="4" t="s">
        <v>33</v>
      </c>
      <c r="E29" s="1">
        <v>-0.8164552786232302</v>
      </c>
      <c r="F29" s="1">
        <v>0.16890943911813985</v>
      </c>
    </row>
    <row r="30" spans="1:6" x14ac:dyDescent="0.3">
      <c r="A30" s="3">
        <v>2151500</v>
      </c>
      <c r="B30" s="3">
        <v>60400</v>
      </c>
      <c r="C30" s="3">
        <f>1/0.006302985</f>
        <v>158.65498648656154</v>
      </c>
      <c r="D30" s="4" t="s">
        <v>34</v>
      </c>
      <c r="E30" s="1">
        <v>7.0852302442143138</v>
      </c>
      <c r="F30" s="1">
        <v>2.057587829881447</v>
      </c>
    </row>
    <row r="31" spans="1:6" x14ac:dyDescent="0.3">
      <c r="A31" s="3">
        <v>2079640</v>
      </c>
      <c r="B31" s="3">
        <v>6870</v>
      </c>
      <c r="C31" s="3">
        <f>1/0.01331662</f>
        <v>75.094130492572447</v>
      </c>
      <c r="D31" s="4" t="s">
        <v>35</v>
      </c>
      <c r="E31" s="1">
        <v>1.4224527928640307</v>
      </c>
      <c r="F31" s="1">
        <v>1.1225242607673984</v>
      </c>
    </row>
    <row r="32" spans="1:6" x14ac:dyDescent="0.3">
      <c r="A32" s="3">
        <v>2068500</v>
      </c>
      <c r="B32" s="3">
        <v>12300</v>
      </c>
      <c r="C32" s="3">
        <f>1/0.04870253</f>
        <v>20.532814209035958</v>
      </c>
      <c r="D32" s="4" t="s">
        <v>36</v>
      </c>
      <c r="E32" s="1">
        <v>4.369307370383515</v>
      </c>
      <c r="F32" s="1">
        <v>1.8562478023177307</v>
      </c>
    </row>
    <row r="33" spans="1:6" x14ac:dyDescent="0.3">
      <c r="A33" s="3">
        <v>2064000</v>
      </c>
      <c r="B33" s="3">
        <v>11400</v>
      </c>
      <c r="C33" s="3">
        <f>1/0.09088831</f>
        <v>11.00251506491869</v>
      </c>
      <c r="D33" s="4" t="s">
        <v>37</v>
      </c>
      <c r="E33" s="1">
        <v>27.611240554694625</v>
      </c>
      <c r="F33" s="1">
        <v>4.7204745777483295</v>
      </c>
    </row>
    <row r="34" spans="1:6" x14ac:dyDescent="0.3">
      <c r="A34" s="3">
        <v>2056650</v>
      </c>
      <c r="B34" s="3">
        <v>8550</v>
      </c>
      <c r="C34" s="3">
        <f>1/0.09679387</f>
        <v>10.331232752652621</v>
      </c>
      <c r="D34" s="4" t="s">
        <v>38</v>
      </c>
      <c r="E34" s="1">
        <v>9.0173057879389908</v>
      </c>
      <c r="F34" s="1">
        <v>2.7026952531032977</v>
      </c>
    </row>
    <row r="35" spans="1:6" x14ac:dyDescent="0.3">
      <c r="A35" s="3">
        <v>2046000</v>
      </c>
      <c r="B35" s="3">
        <v>3000</v>
      </c>
      <c r="C35" s="3">
        <f>1/0.2814027</f>
        <v>3.5536261734517827</v>
      </c>
      <c r="D35" s="4" t="s">
        <v>39</v>
      </c>
      <c r="E35" s="3"/>
      <c r="F35" s="3"/>
    </row>
    <row r="36" spans="1:6" x14ac:dyDescent="0.3">
      <c r="A36" s="3">
        <v>2042500</v>
      </c>
      <c r="B36" s="3">
        <v>4510</v>
      </c>
      <c r="C36" s="3">
        <f>1/0.1044476</f>
        <v>9.574178822682379</v>
      </c>
      <c r="D36" s="4" t="s">
        <v>40</v>
      </c>
      <c r="E36" s="1">
        <v>27.627333833954868</v>
      </c>
      <c r="F36" s="1">
        <v>4.4688712742818675</v>
      </c>
    </row>
    <row r="37" spans="1:6" x14ac:dyDescent="0.3">
      <c r="A37" s="3">
        <v>2027000</v>
      </c>
      <c r="B37" s="3">
        <v>12400</v>
      </c>
      <c r="C37" s="3">
        <f>1/0.07416174</f>
        <v>13.484041771403961</v>
      </c>
      <c r="D37" s="4" t="s">
        <v>41</v>
      </c>
      <c r="E37" s="1">
        <v>59.982961021145663</v>
      </c>
      <c r="F37" s="1">
        <v>7.2453401058367284</v>
      </c>
    </row>
    <row r="38" spans="1:6" x14ac:dyDescent="0.3">
      <c r="A38" s="3">
        <v>2024915</v>
      </c>
      <c r="B38" s="3">
        <v>2760</v>
      </c>
      <c r="C38" s="3">
        <f>1/0.01532521</f>
        <v>65.251960658287871</v>
      </c>
      <c r="D38" s="4" t="s">
        <v>42</v>
      </c>
      <c r="E38" s="1">
        <v>3.9180505114172037</v>
      </c>
      <c r="F38" s="1">
        <v>1.669068028548673</v>
      </c>
    </row>
    <row r="39" spans="1:6" x14ac:dyDescent="0.3">
      <c r="A39" s="3">
        <v>2022500</v>
      </c>
      <c r="B39" s="3">
        <v>4810</v>
      </c>
      <c r="C39" s="3">
        <f>1/0.2557384</f>
        <v>3.9102457824088996</v>
      </c>
      <c r="D39" s="4" t="s">
        <v>43</v>
      </c>
      <c r="E39" s="1">
        <v>10.950408828405903</v>
      </c>
      <c r="F39" s="1">
        <v>2.8142132948041141</v>
      </c>
    </row>
    <row r="40" spans="1:6" x14ac:dyDescent="0.3">
      <c r="A40" s="3">
        <v>2021500</v>
      </c>
      <c r="B40" s="3">
        <v>29500</v>
      </c>
      <c r="C40" s="3">
        <f>1/0.04141411</f>
        <v>24.146359779311933</v>
      </c>
      <c r="D40" s="4" t="s">
        <v>44</v>
      </c>
      <c r="E40" s="1">
        <v>29.174528454402022</v>
      </c>
      <c r="F40" s="1">
        <v>4.5589520198628382</v>
      </c>
    </row>
    <row r="41" spans="1:6" x14ac:dyDescent="0.3">
      <c r="A41" s="3">
        <v>2020500</v>
      </c>
      <c r="B41" s="3">
        <v>10900</v>
      </c>
      <c r="C41" s="3">
        <f>1/0.2194993</f>
        <v>4.5558231848575366</v>
      </c>
      <c r="D41" s="4" t="s">
        <v>45</v>
      </c>
      <c r="E41" s="1">
        <v>17.21924914912552</v>
      </c>
      <c r="F41" s="1">
        <v>3.5082685468845582</v>
      </c>
    </row>
    <row r="42" spans="1:6" x14ac:dyDescent="0.3">
      <c r="A42" s="3">
        <v>2068500</v>
      </c>
      <c r="B42" s="3">
        <v>8040</v>
      </c>
      <c r="C42" s="3">
        <f>1/0.3175431</f>
        <v>3.1491788043890732</v>
      </c>
      <c r="D42" s="4" t="s">
        <v>46</v>
      </c>
      <c r="E42" s="1">
        <v>40.914522330638</v>
      </c>
      <c r="F42" s="1">
        <v>5.7440018288861472</v>
      </c>
    </row>
    <row r="43" spans="1:6" x14ac:dyDescent="0.3">
      <c r="A43" s="3">
        <v>2064000</v>
      </c>
      <c r="B43" s="3">
        <v>11400</v>
      </c>
      <c r="C43" s="3">
        <f>1/0.09088831</f>
        <v>11.00251506491869</v>
      </c>
      <c r="D43" s="4" t="s">
        <v>37</v>
      </c>
      <c r="E43" s="1">
        <v>27.611240554694625</v>
      </c>
      <c r="F43" s="1">
        <v>4.7204745777483295</v>
      </c>
    </row>
    <row r="44" spans="1:6" x14ac:dyDescent="0.3">
      <c r="A44" s="3">
        <v>2056650</v>
      </c>
      <c r="B44" s="3">
        <v>8550</v>
      </c>
      <c r="C44" s="3">
        <f>1/0.1004634</f>
        <v>9.9538737490469167</v>
      </c>
      <c r="D44" s="4" t="s">
        <v>38</v>
      </c>
      <c r="E44" s="1">
        <v>9.0173057879389908</v>
      </c>
      <c r="F44" s="1">
        <v>2.7026952531032977</v>
      </c>
    </row>
    <row r="45" spans="1:6" x14ac:dyDescent="0.3">
      <c r="A45" s="3">
        <v>2046000</v>
      </c>
      <c r="B45" s="3">
        <v>3000</v>
      </c>
      <c r="C45" s="3">
        <f>1/0.2814027</f>
        <v>3.5536261734517827</v>
      </c>
      <c r="D45" s="4" t="s">
        <v>39</v>
      </c>
      <c r="E45" s="1">
        <v>3.7252297970202326</v>
      </c>
      <c r="F45" s="1">
        <v>1.8890169398348591</v>
      </c>
    </row>
    <row r="46" spans="1:6" x14ac:dyDescent="0.3">
      <c r="A46" s="3">
        <v>2042500</v>
      </c>
      <c r="B46" s="3">
        <v>4510</v>
      </c>
      <c r="C46" s="3">
        <f>1/0.1044476</f>
        <v>9.574178822682379</v>
      </c>
      <c r="D46" s="4" t="s">
        <v>40</v>
      </c>
      <c r="E46" s="1">
        <v>27.627333833954868</v>
      </c>
      <c r="F46" s="1">
        <v>4.4688712742818675</v>
      </c>
    </row>
    <row r="47" spans="1:6" x14ac:dyDescent="0.3">
      <c r="A47" s="3">
        <v>2027000</v>
      </c>
      <c r="B47" s="3">
        <v>12400</v>
      </c>
      <c r="C47" s="3">
        <f>1/0.07416174</f>
        <v>13.484041771403961</v>
      </c>
      <c r="D47" s="4" t="s">
        <v>41</v>
      </c>
      <c r="E47" s="1">
        <v>59.982961021145663</v>
      </c>
      <c r="F47" s="1">
        <v>7.2453401058367284</v>
      </c>
    </row>
    <row r="48" spans="1:6" x14ac:dyDescent="0.3">
      <c r="A48" s="3">
        <v>2024915</v>
      </c>
      <c r="B48" s="3">
        <v>2760</v>
      </c>
      <c r="C48" s="3">
        <f>1/0.01532521</f>
        <v>65.251960658287871</v>
      </c>
      <c r="D48" s="4" t="s">
        <v>42</v>
      </c>
      <c r="E48" s="1">
        <v>3.9180505114172037</v>
      </c>
      <c r="F48" s="1">
        <v>1.669068028548673</v>
      </c>
    </row>
    <row r="49" spans="1:6" x14ac:dyDescent="0.3">
      <c r="A49" s="3">
        <v>2022500</v>
      </c>
      <c r="B49" s="3">
        <v>4810</v>
      </c>
      <c r="C49" s="3">
        <f>1/0.2557384</f>
        <v>3.9102457824088996</v>
      </c>
      <c r="D49" s="4" t="s">
        <v>43</v>
      </c>
      <c r="E49" s="1">
        <v>10.950408828405903</v>
      </c>
      <c r="F49" s="1">
        <v>2.8142132948041141</v>
      </c>
    </row>
    <row r="50" spans="1:6" x14ac:dyDescent="0.3">
      <c r="A50" s="3">
        <v>2021500</v>
      </c>
      <c r="B50" s="3">
        <v>29500</v>
      </c>
      <c r="C50" s="3">
        <f>1/0.04141411</f>
        <v>24.146359779311933</v>
      </c>
      <c r="D50" s="4" t="s">
        <v>44</v>
      </c>
      <c r="E50" s="1">
        <v>29.174528454402022</v>
      </c>
      <c r="F50" s="1">
        <v>4.5589520198628382</v>
      </c>
    </row>
    <row r="51" spans="1:6" x14ac:dyDescent="0.3">
      <c r="A51" s="3">
        <v>2020500</v>
      </c>
      <c r="B51" s="3">
        <v>10900</v>
      </c>
      <c r="C51" s="3">
        <f>1/0.2194993</f>
        <v>4.5558231848575366</v>
      </c>
      <c r="D51" s="4" t="s">
        <v>45</v>
      </c>
      <c r="E51" s="1">
        <v>17.21924914912552</v>
      </c>
      <c r="F51" s="1">
        <v>3.5082685468845582</v>
      </c>
    </row>
    <row r="52" spans="1:6" x14ac:dyDescent="0.3">
      <c r="A52" s="3">
        <v>1665500</v>
      </c>
      <c r="B52" s="3">
        <v>8040</v>
      </c>
      <c r="C52" s="3">
        <f>1/0.3175431</f>
        <v>3.1491788043890732</v>
      </c>
      <c r="D52" s="4" t="s">
        <v>46</v>
      </c>
      <c r="E52" s="1">
        <v>40.914522330638</v>
      </c>
      <c r="F52" s="1">
        <v>5.7440018288861472</v>
      </c>
    </row>
    <row r="53" spans="1:6" x14ac:dyDescent="0.3">
      <c r="A53" s="3">
        <v>1663500</v>
      </c>
      <c r="B53" s="3">
        <v>13000</v>
      </c>
      <c r="C53" s="3">
        <f>1/0.2729952</f>
        <v>3.6630680685960781</v>
      </c>
      <c r="D53" s="4" t="s">
        <v>47</v>
      </c>
      <c r="E53" s="1">
        <v>6.8521053253853275</v>
      </c>
      <c r="F53" s="1">
        <v>2.4482839168297357</v>
      </c>
    </row>
    <row r="54" spans="1:6" x14ac:dyDescent="0.3">
      <c r="A54" s="3">
        <v>1662800</v>
      </c>
      <c r="B54" s="3">
        <v>2310</v>
      </c>
      <c r="C54" s="3">
        <f>1/0.3224252</f>
        <v>3.1014945481928828</v>
      </c>
      <c r="D54" s="4" t="s">
        <v>48</v>
      </c>
      <c r="E54" s="1">
        <v>2.687741764106137</v>
      </c>
      <c r="F54" s="1">
        <v>1.7733616031885697</v>
      </c>
    </row>
    <row r="55" spans="1:6" x14ac:dyDescent="0.3">
      <c r="A55" s="3">
        <v>1656000</v>
      </c>
      <c r="B55" s="3">
        <v>9030</v>
      </c>
      <c r="C55" s="3">
        <f>1/0.07323002</f>
        <v>13.655601896599235</v>
      </c>
      <c r="D55" s="4" t="s">
        <v>49</v>
      </c>
      <c r="E55" s="1">
        <v>39.022755746926649</v>
      </c>
      <c r="F55" s="1">
        <v>5.5652832225595921</v>
      </c>
    </row>
    <row r="56" spans="1:6" x14ac:dyDescent="0.3">
      <c r="A56" s="3">
        <v>1648000</v>
      </c>
      <c r="B56" s="3">
        <v>5060</v>
      </c>
      <c r="C56" s="3">
        <f>1/0.05700636</f>
        <v>17.541902342124633</v>
      </c>
      <c r="D56" s="4" t="s">
        <v>50</v>
      </c>
      <c r="E56" s="1">
        <v>10.514484579667901</v>
      </c>
      <c r="F56" s="1">
        <v>2.923109108300324</v>
      </c>
    </row>
    <row r="57" spans="1:6" x14ac:dyDescent="0.3">
      <c r="A57" s="3">
        <v>1644000</v>
      </c>
      <c r="B57" s="3">
        <v>18500</v>
      </c>
      <c r="C57" s="3">
        <f>1/0.102854</f>
        <v>9.7225192992008083</v>
      </c>
      <c r="D57" s="4" t="s">
        <v>51</v>
      </c>
      <c r="E57" s="1">
        <v>14.364495886966864</v>
      </c>
      <c r="F57" s="1">
        <v>3.3394743495467227</v>
      </c>
    </row>
    <row r="58" spans="1:6" x14ac:dyDescent="0.3">
      <c r="A58" s="3">
        <v>1643500</v>
      </c>
      <c r="B58" s="3">
        <v>4420</v>
      </c>
      <c r="C58" s="3">
        <f>1/0.2323568</f>
        <v>4.3037259938164061</v>
      </c>
      <c r="D58" s="4" t="s">
        <v>52</v>
      </c>
      <c r="E58" s="1">
        <v>27.059471783909672</v>
      </c>
      <c r="F58" s="1">
        <v>4.5580250398932751</v>
      </c>
    </row>
    <row r="59" spans="1:6" x14ac:dyDescent="0.3">
      <c r="A59" s="3">
        <v>1643000</v>
      </c>
      <c r="B59" s="3">
        <v>56000</v>
      </c>
      <c r="C59" s="3">
        <f>1/0.01023439</f>
        <v>97.709780455894304</v>
      </c>
      <c r="D59" s="4" t="s">
        <v>53</v>
      </c>
      <c r="E59" s="1">
        <v>9.353009556669603</v>
      </c>
      <c r="F59" s="1">
        <v>2.5299924452818492</v>
      </c>
    </row>
    <row r="60" spans="1:6" x14ac:dyDescent="0.3">
      <c r="A60" s="3">
        <v>1642190</v>
      </c>
      <c r="B60" s="2" t="s">
        <v>6</v>
      </c>
      <c r="C60" s="2" t="s">
        <v>6</v>
      </c>
      <c r="D60" s="4" t="s">
        <v>54</v>
      </c>
      <c r="E60" s="1">
        <v>-0.82657682143582489</v>
      </c>
      <c r="F60" s="1">
        <v>0.10145163260459736</v>
      </c>
    </row>
    <row r="61" spans="1:6" x14ac:dyDescent="0.3">
      <c r="A61" s="3">
        <v>1627500</v>
      </c>
      <c r="B61" s="3">
        <v>10900</v>
      </c>
      <c r="C61" s="3">
        <f>1/0.227516</f>
        <v>4.3952952759366379</v>
      </c>
      <c r="D61" s="4" t="s">
        <v>55</v>
      </c>
      <c r="E61" s="1">
        <v>2.6384808796127106</v>
      </c>
      <c r="F61" s="1">
        <v>1.5891798009863014</v>
      </c>
    </row>
    <row r="62" spans="1:6" x14ac:dyDescent="0.3">
      <c r="A62" s="3">
        <v>1625000</v>
      </c>
      <c r="B62" s="3">
        <v>16100</v>
      </c>
      <c r="C62" s="3">
        <f>1/0.08592114</f>
        <v>11.638579283282322</v>
      </c>
      <c r="D62" s="4" t="s">
        <v>56</v>
      </c>
      <c r="E62" s="1">
        <v>12.83341430655606</v>
      </c>
      <c r="F62" s="1">
        <v>3.0434889198877735</v>
      </c>
    </row>
    <row r="63" spans="1:6" x14ac:dyDescent="0.3">
      <c r="A63" s="3">
        <v>1613525</v>
      </c>
      <c r="B63" s="2" t="s">
        <v>6</v>
      </c>
      <c r="C63" s="2" t="s">
        <v>6</v>
      </c>
      <c r="D63" s="4" t="s">
        <v>57</v>
      </c>
      <c r="E63" s="1">
        <v>-0.49427153259746381</v>
      </c>
      <c r="F63" s="1">
        <v>0.23470836766875339</v>
      </c>
    </row>
    <row r="64" spans="1:6" x14ac:dyDescent="0.3">
      <c r="A64" s="3">
        <v>1611500</v>
      </c>
      <c r="B64" s="3">
        <v>38000</v>
      </c>
      <c r="C64" s="3">
        <f>1/0.06645241</f>
        <v>15.04836318201251</v>
      </c>
      <c r="D64" s="4" t="s">
        <v>58</v>
      </c>
      <c r="E64" s="1">
        <v>7.8751962212758855</v>
      </c>
      <c r="F64" s="1">
        <v>2.4134190261734894</v>
      </c>
    </row>
    <row r="65" spans="1:6" x14ac:dyDescent="0.3">
      <c r="A65" s="3">
        <v>1607500</v>
      </c>
      <c r="B65" s="3">
        <v>5930</v>
      </c>
      <c r="C65" s="3">
        <f>1/0.2185433</f>
        <v>4.575752265111765</v>
      </c>
      <c r="D65" s="4" t="s">
        <v>59</v>
      </c>
      <c r="E65" s="1">
        <v>12.90913785241395</v>
      </c>
      <c r="F65" s="1">
        <v>3.6495511235769444</v>
      </c>
    </row>
    <row r="66" spans="1:6" x14ac:dyDescent="0.3">
      <c r="A66" s="3">
        <v>1606500</v>
      </c>
      <c r="B66" s="3">
        <v>28100</v>
      </c>
      <c r="C66" s="3">
        <f>1/0.1653567</f>
        <v>6.0475323951191573</v>
      </c>
      <c r="D66" s="4" t="s">
        <v>60</v>
      </c>
      <c r="E66" s="1">
        <v>18.805570918934595</v>
      </c>
      <c r="F66" s="1">
        <v>3.9005281937828635</v>
      </c>
    </row>
    <row r="67" spans="1:6" x14ac:dyDescent="0.3">
      <c r="A67" s="3">
        <v>1596500</v>
      </c>
      <c r="B67" s="3">
        <v>3520</v>
      </c>
      <c r="C67" s="3">
        <f>1/0.0666486</f>
        <v>15.004066101913619</v>
      </c>
      <c r="D67" s="4" t="s">
        <v>61</v>
      </c>
      <c r="E67" s="1">
        <v>9.3112048659279978</v>
      </c>
      <c r="F67" s="1">
        <v>2.6664022260722913</v>
      </c>
    </row>
    <row r="68" spans="1:6" x14ac:dyDescent="0.3">
      <c r="A68" s="3">
        <v>1593500</v>
      </c>
      <c r="B68" s="3">
        <v>2660</v>
      </c>
      <c r="C68" s="3">
        <f>1/0.2316094</f>
        <v>4.3176140519339894</v>
      </c>
      <c r="D68" s="4" t="s">
        <v>62</v>
      </c>
      <c r="E68" s="1">
        <v>7.9427439222661018</v>
      </c>
      <c r="F68" s="1">
        <v>2.4724498649779187</v>
      </c>
    </row>
    <row r="69" spans="1:6" x14ac:dyDescent="0.3">
      <c r="A69" s="3">
        <v>1591000</v>
      </c>
      <c r="B69" s="3">
        <v>3490</v>
      </c>
      <c r="C69" s="3">
        <f>1/0.1902106</f>
        <v>5.2573305588647532</v>
      </c>
      <c r="D69" s="4" t="s">
        <v>63</v>
      </c>
      <c r="E69" s="1">
        <v>18.726383421479674</v>
      </c>
      <c r="F69" s="1">
        <v>3.8879474840690254</v>
      </c>
    </row>
    <row r="70" spans="1:6" x14ac:dyDescent="0.3">
      <c r="A70" s="3">
        <v>1589440</v>
      </c>
      <c r="B70" s="3">
        <v>2720</v>
      </c>
      <c r="C70" s="3">
        <f>1/0.2236187</f>
        <v>4.4718979226692577</v>
      </c>
      <c r="D70" s="4" t="s">
        <v>64</v>
      </c>
      <c r="E70" s="1">
        <v>10.176433183516949</v>
      </c>
      <c r="F70" s="1">
        <v>2.9908515230865858</v>
      </c>
    </row>
    <row r="71" spans="1:6" x14ac:dyDescent="0.3">
      <c r="A71" s="3">
        <v>1589300</v>
      </c>
      <c r="B71" s="3">
        <v>4430</v>
      </c>
      <c r="C71" s="3">
        <f>1/0.1241653</f>
        <v>8.0537799207991281</v>
      </c>
      <c r="D71" s="4" t="s">
        <v>65</v>
      </c>
      <c r="E71" s="1">
        <v>16.413268272271409</v>
      </c>
      <c r="F71" s="1">
        <v>3.5125182372230968</v>
      </c>
    </row>
    <row r="72" spans="1:6" x14ac:dyDescent="0.3">
      <c r="A72" s="3">
        <v>1589197</v>
      </c>
      <c r="B72" s="3">
        <v>1760</v>
      </c>
      <c r="C72" s="3">
        <f>1/0.03548445</f>
        <v>28.181358313289341</v>
      </c>
      <c r="D72" s="4" t="s">
        <v>66</v>
      </c>
      <c r="E72" s="1">
        <v>0.20546610570991364</v>
      </c>
      <c r="F72" s="1">
        <v>0.87112704282762099</v>
      </c>
    </row>
    <row r="73" spans="1:6" x14ac:dyDescent="0.3">
      <c r="A73" s="3">
        <v>1589000</v>
      </c>
      <c r="B73" s="3">
        <v>11800</v>
      </c>
      <c r="C73" s="3">
        <f>1/0.2065976</f>
        <v>4.8403272835696063</v>
      </c>
      <c r="D73" s="4" t="s">
        <v>67</v>
      </c>
      <c r="E73" s="1">
        <v>20.84985349867647</v>
      </c>
      <c r="F73" s="1">
        <v>4.1122812297670928</v>
      </c>
    </row>
    <row r="74" spans="1:6" x14ac:dyDescent="0.3">
      <c r="A74" s="3">
        <v>1586000</v>
      </c>
      <c r="B74" s="3">
        <v>5440</v>
      </c>
      <c r="C74" s="3">
        <f>1/0.1006779</f>
        <v>9.9326664541076042</v>
      </c>
      <c r="D74" s="4" t="s">
        <v>68</v>
      </c>
      <c r="E74" s="1">
        <v>31.9012322128847</v>
      </c>
      <c r="F74" s="1">
        <v>5.1028634484396775</v>
      </c>
    </row>
    <row r="75" spans="1:6" x14ac:dyDescent="0.3">
      <c r="A75" s="3">
        <v>1585200</v>
      </c>
      <c r="B75" s="2" t="s">
        <v>6</v>
      </c>
      <c r="C75" s="2" t="s">
        <v>6</v>
      </c>
      <c r="D75" s="4" t="s">
        <v>69</v>
      </c>
      <c r="E75" s="1">
        <v>-0.91857335033646681</v>
      </c>
      <c r="F75" s="1">
        <v>0.31400569786175214</v>
      </c>
    </row>
    <row r="76" spans="1:6" x14ac:dyDescent="0.3">
      <c r="A76" s="3">
        <v>1585090</v>
      </c>
      <c r="B76" s="3">
        <v>3050</v>
      </c>
      <c r="C76" s="3">
        <f>1/0.07702401</f>
        <v>12.982964662577292</v>
      </c>
      <c r="D76" s="4" t="s">
        <v>70</v>
      </c>
      <c r="E76" s="1">
        <v>0.4642928003834319</v>
      </c>
      <c r="F76" s="1">
        <v>1.1425969987289291</v>
      </c>
    </row>
    <row r="77" spans="1:6" x14ac:dyDescent="0.3">
      <c r="A77" s="3">
        <v>1583600</v>
      </c>
      <c r="B77" s="3">
        <v>3370</v>
      </c>
      <c r="C77" s="3">
        <f>1/0.0226953</f>
        <v>44.061986402470993</v>
      </c>
      <c r="D77" s="4" t="s">
        <v>71</v>
      </c>
      <c r="E77" s="1">
        <v>4.3221700646358023</v>
      </c>
      <c r="F77" s="1">
        <v>1.7565439779130949</v>
      </c>
    </row>
    <row r="78" spans="1:6" x14ac:dyDescent="0.3">
      <c r="A78" s="3">
        <v>1582500</v>
      </c>
      <c r="B78" s="3">
        <v>13000</v>
      </c>
      <c r="C78" s="3">
        <f>1/0.002801494</f>
        <v>356.95239754216857</v>
      </c>
      <c r="D78" s="4" t="s">
        <v>72</v>
      </c>
      <c r="E78" s="1">
        <v>10.203059185831817</v>
      </c>
      <c r="F78" s="1">
        <v>2.5677317407238593</v>
      </c>
    </row>
    <row r="79" spans="1:6" x14ac:dyDescent="0.3">
      <c r="A79" s="3">
        <v>1581700</v>
      </c>
      <c r="B79" s="3">
        <v>4910</v>
      </c>
      <c r="C79" s="3">
        <f>1/0.1795758</f>
        <v>5.5686790759111195</v>
      </c>
      <c r="D79" s="4" t="s">
        <v>73</v>
      </c>
      <c r="E79" s="1">
        <v>-0.96616273178940792</v>
      </c>
      <c r="F79" s="1">
        <v>0.55398955162555652</v>
      </c>
    </row>
    <row r="80" spans="1:6" x14ac:dyDescent="0.3">
      <c r="A80" s="3">
        <v>1581649</v>
      </c>
      <c r="B80" s="3">
        <v>9160</v>
      </c>
      <c r="C80" s="3">
        <f>1/0.00633229</f>
        <v>157.92075220812691</v>
      </c>
      <c r="D80" s="4" t="s">
        <v>74</v>
      </c>
      <c r="E80" s="1">
        <v>12.522264059967259</v>
      </c>
      <c r="F80" s="1">
        <v>3.3627369122329114</v>
      </c>
    </row>
    <row r="81" spans="1:6" x14ac:dyDescent="0.3">
      <c r="A81" s="3">
        <v>1581500</v>
      </c>
      <c r="B81" s="3">
        <v>3550</v>
      </c>
      <c r="C81" s="3">
        <f>1/0.07761341</f>
        <v>12.884371399220832</v>
      </c>
      <c r="D81" s="4" t="s">
        <v>75</v>
      </c>
      <c r="E81" s="1">
        <v>1.9136408576568296</v>
      </c>
      <c r="F81" s="1">
        <v>1.3524194612399758</v>
      </c>
    </row>
    <row r="82" spans="1:6" x14ac:dyDescent="0.3">
      <c r="A82" s="3">
        <v>1580000</v>
      </c>
      <c r="B82" s="3">
        <v>9080</v>
      </c>
      <c r="C82" s="3">
        <f>1/0.04066109</f>
        <v>24.593536474305044</v>
      </c>
      <c r="D82" s="4" t="s">
        <v>76</v>
      </c>
      <c r="E82" s="1">
        <v>2.4645444317953875</v>
      </c>
      <c r="F82" s="1">
        <v>1.4729080300111936</v>
      </c>
    </row>
    <row r="83" spans="1:6" x14ac:dyDescent="0.3">
      <c r="A83" s="3">
        <v>1525981</v>
      </c>
      <c r="B83" s="3">
        <v>17000</v>
      </c>
      <c r="C83" s="3">
        <f>1/0.02548917</f>
        <v>39.23234848368935</v>
      </c>
      <c r="D83" s="4" t="s">
        <v>77</v>
      </c>
      <c r="E83" s="1">
        <v>2.0986038267891405</v>
      </c>
      <c r="F83" s="1">
        <v>1.4229369487703198</v>
      </c>
    </row>
    <row r="84" spans="1:6" x14ac:dyDescent="0.3">
      <c r="A84" s="3">
        <v>1515000</v>
      </c>
      <c r="B84" s="3">
        <v>128000</v>
      </c>
      <c r="C84" s="3">
        <f>1/0.03160126</f>
        <v>31.644307853547613</v>
      </c>
      <c r="D84" s="4" t="s">
        <v>78</v>
      </c>
      <c r="E84" s="1">
        <v>1.8010344969674752</v>
      </c>
      <c r="F84" s="1">
        <v>1.2087194722974579</v>
      </c>
    </row>
    <row r="85" spans="1:6" x14ac:dyDescent="0.3">
      <c r="A85" s="3">
        <v>1510000</v>
      </c>
      <c r="B85" s="3">
        <v>11000</v>
      </c>
      <c r="C85" s="3">
        <f>1/0.004822228</f>
        <v>207.37302342402725</v>
      </c>
      <c r="D85" s="4" t="s">
        <v>79</v>
      </c>
      <c r="E85" s="1">
        <v>1.6452010876113405</v>
      </c>
      <c r="F85" s="1">
        <v>1.0149880901471577</v>
      </c>
    </row>
    <row r="86" spans="1:6" x14ac:dyDescent="0.3">
      <c r="A86" s="3">
        <v>1505000</v>
      </c>
      <c r="B86" s="3">
        <v>10900</v>
      </c>
      <c r="C86" s="3">
        <f>1/0.02892283</f>
        <v>34.574763257952284</v>
      </c>
      <c r="D86" s="4" t="s">
        <v>80</v>
      </c>
      <c r="E86" s="1">
        <v>1.2161581944498234</v>
      </c>
      <c r="F86" s="1">
        <v>1.1502517578718794</v>
      </c>
    </row>
    <row r="87" spans="1:6" x14ac:dyDescent="0.3">
      <c r="A87" s="3">
        <v>1432900</v>
      </c>
      <c r="B87" s="3">
        <v>7630</v>
      </c>
      <c r="C87" s="3">
        <f>1/0.0213336</f>
        <v>46.874414069824127</v>
      </c>
      <c r="D87" s="4" t="s">
        <v>81</v>
      </c>
      <c r="E87" s="1">
        <v>1.6069446620244516</v>
      </c>
      <c r="F87" s="1">
        <v>1.2639766176928535</v>
      </c>
    </row>
    <row r="88" spans="1:6" x14ac:dyDescent="0.3">
      <c r="A88" s="3">
        <v>1427500</v>
      </c>
      <c r="B88" s="3">
        <v>11000</v>
      </c>
      <c r="C88" s="3">
        <f>1/0.02892196</f>
        <v>34.575803299638061</v>
      </c>
      <c r="D88" s="4" t="s">
        <v>82</v>
      </c>
      <c r="E88" s="1">
        <v>6.5357069582733649</v>
      </c>
      <c r="F88" s="1">
        <v>2.0997075354878172</v>
      </c>
    </row>
    <row r="89" spans="1:6" x14ac:dyDescent="0.3">
      <c r="A89" s="3">
        <v>1413408</v>
      </c>
      <c r="B89" s="3">
        <v>8790</v>
      </c>
      <c r="C89" s="3">
        <f>1/0.1633374</f>
        <v>6.1222965469023016</v>
      </c>
      <c r="D89" s="4" t="s">
        <v>83</v>
      </c>
      <c r="E89" s="1">
        <v>7.2936974975215954</v>
      </c>
      <c r="F89" s="1">
        <v>2.3724678660076086</v>
      </c>
    </row>
    <row r="90" spans="1:6" x14ac:dyDescent="0.3">
      <c r="A90" s="3">
        <v>1413398</v>
      </c>
      <c r="B90" s="3">
        <v>3810</v>
      </c>
      <c r="C90" s="3">
        <f>1/0.1712209</f>
        <v>5.8404085015322309</v>
      </c>
      <c r="D90" s="4" t="s">
        <v>84</v>
      </c>
      <c r="E90" s="1">
        <v>9.0404236993843394</v>
      </c>
      <c r="F90" s="1">
        <v>2.7750918871046149</v>
      </c>
    </row>
    <row r="91" spans="1:6" x14ac:dyDescent="0.3">
      <c r="A91" s="3">
        <v>1387450</v>
      </c>
      <c r="B91" s="3">
        <v>1510</v>
      </c>
      <c r="C91" s="3">
        <f>1/0.07296055</f>
        <v>13.706037029600243</v>
      </c>
      <c r="D91" s="4" t="s">
        <v>85</v>
      </c>
      <c r="E91" s="1">
        <v>12.602506967523393</v>
      </c>
      <c r="F91" s="1">
        <v>2.9431455300479756</v>
      </c>
    </row>
    <row r="92" spans="1:6" x14ac:dyDescent="0.3">
      <c r="A92" s="3">
        <v>1387400</v>
      </c>
      <c r="B92" s="3">
        <v>4900</v>
      </c>
      <c r="C92" s="3">
        <f>1/0.17754</f>
        <v>5.6325335135744057</v>
      </c>
      <c r="D92" s="4" t="s">
        <v>86</v>
      </c>
      <c r="E92" s="1">
        <v>4.7565675637207203</v>
      </c>
      <c r="F92" s="1">
        <v>2.1020424836828471</v>
      </c>
    </row>
    <row r="93" spans="1:6" x14ac:dyDescent="0.3">
      <c r="A93" s="3">
        <v>1372500</v>
      </c>
      <c r="B93" s="3">
        <v>5340</v>
      </c>
      <c r="C93" s="3">
        <f>1/0.1715842</f>
        <v>5.8280424421362813</v>
      </c>
      <c r="D93" s="4" t="s">
        <v>87</v>
      </c>
      <c r="E93" s="1">
        <v>8.6256896887645986</v>
      </c>
      <c r="F93" s="1">
        <v>2.6404330198244188</v>
      </c>
    </row>
    <row r="94" spans="1:6" x14ac:dyDescent="0.3">
      <c r="A94" s="3">
        <v>1365000</v>
      </c>
      <c r="B94" s="3">
        <v>6410</v>
      </c>
      <c r="C94" s="3">
        <f>1/0.0657083</f>
        <v>15.218777536475606</v>
      </c>
      <c r="D94" s="4" t="s">
        <v>88</v>
      </c>
      <c r="E94" s="1">
        <v>0.45337273562720126</v>
      </c>
      <c r="F94" s="1">
        <v>1.0605341203839995</v>
      </c>
    </row>
    <row r="95" spans="1:6" x14ac:dyDescent="0.3">
      <c r="A95" s="3">
        <v>1362500</v>
      </c>
      <c r="B95" s="3">
        <v>26400</v>
      </c>
      <c r="C95" s="3">
        <f>1/0.2058146</f>
        <v>4.858741799658528</v>
      </c>
      <c r="D95" s="4" t="s">
        <v>89</v>
      </c>
      <c r="E95" s="1">
        <v>2.7299468052909961</v>
      </c>
      <c r="F95" s="1">
        <v>1.7631473905117749</v>
      </c>
    </row>
    <row r="96" spans="1:6" x14ac:dyDescent="0.3">
      <c r="A96" s="3">
        <v>1362370</v>
      </c>
      <c r="B96" s="3">
        <v>9940</v>
      </c>
      <c r="C96" s="3">
        <f>1/0.09695866</f>
        <v>10.313673889470007</v>
      </c>
      <c r="D96" s="4" t="s">
        <v>90</v>
      </c>
      <c r="E96" s="1">
        <v>0.69731583917737838</v>
      </c>
      <c r="F96" s="1">
        <v>1.096128125011621</v>
      </c>
    </row>
    <row r="97" spans="1:6" x14ac:dyDescent="0.3">
      <c r="A97" s="3">
        <v>1362198</v>
      </c>
      <c r="B97" s="3">
        <v>15900</v>
      </c>
      <c r="C97" s="3">
        <f>1/0.06331549</f>
        <v>15.793923414317728</v>
      </c>
      <c r="D97" s="4" t="s">
        <v>91</v>
      </c>
      <c r="E97" s="1">
        <v>3.1408086567860729</v>
      </c>
      <c r="F97" s="1">
        <v>1.8780094255267756</v>
      </c>
    </row>
    <row r="98" spans="1:6" x14ac:dyDescent="0.3">
      <c r="A98" s="3">
        <v>1359750</v>
      </c>
      <c r="B98" s="2" t="s">
        <v>6</v>
      </c>
      <c r="C98" s="2" t="s">
        <v>6</v>
      </c>
      <c r="D98" s="4" t="s">
        <v>92</v>
      </c>
      <c r="E98" s="1">
        <v>-0.35168417549926012</v>
      </c>
      <c r="F98" s="1">
        <v>0.4738679175666779</v>
      </c>
    </row>
    <row r="99" spans="1:6" x14ac:dyDescent="0.3">
      <c r="A99" s="3">
        <v>1358000</v>
      </c>
      <c r="B99" s="2" t="s">
        <v>6</v>
      </c>
      <c r="C99" s="2" t="s">
        <v>6</v>
      </c>
      <c r="D99" s="4" t="s">
        <v>93</v>
      </c>
      <c r="E99" s="1">
        <v>2.1404615481684601</v>
      </c>
      <c r="F99" s="1">
        <v>1.0537245325610753</v>
      </c>
    </row>
    <row r="100" spans="1:6" x14ac:dyDescent="0.3">
      <c r="A100" s="3">
        <v>1351500</v>
      </c>
      <c r="B100" s="3">
        <v>56100</v>
      </c>
      <c r="C100" s="3">
        <f>1/0.04879001</f>
        <v>20.495999078499882</v>
      </c>
      <c r="D100" s="4" t="s">
        <v>94</v>
      </c>
      <c r="E100" s="1">
        <v>11.806331527672555</v>
      </c>
      <c r="F100" s="1">
        <v>2.874873624413345</v>
      </c>
    </row>
    <row r="101" spans="1:6" x14ac:dyDescent="0.3">
      <c r="A101" s="3">
        <v>1349810</v>
      </c>
      <c r="B101" s="3">
        <v>6500</v>
      </c>
      <c r="C101" s="3">
        <f>1/0.08644384</f>
        <v>11.568204281531225</v>
      </c>
      <c r="D101" s="4" t="s">
        <v>95</v>
      </c>
      <c r="E101" s="1">
        <v>14.864416649750114</v>
      </c>
      <c r="F101" s="1">
        <v>3.5644397904649612</v>
      </c>
    </row>
    <row r="102" spans="1:6" x14ac:dyDescent="0.3">
      <c r="A102" s="3">
        <v>1349000</v>
      </c>
      <c r="B102" s="3">
        <v>24600</v>
      </c>
      <c r="C102" s="3">
        <f>1/0.005723001</f>
        <v>174.73350083286724</v>
      </c>
      <c r="D102" s="4" t="s">
        <v>96</v>
      </c>
      <c r="E102" s="1">
        <v>16.461501617561787</v>
      </c>
      <c r="F102" s="1">
        <v>3.3578133768947938</v>
      </c>
    </row>
    <row r="103" spans="1:6" x14ac:dyDescent="0.3">
      <c r="A103" s="3">
        <v>1346000</v>
      </c>
      <c r="B103" s="3">
        <v>27500</v>
      </c>
      <c r="C103" s="3">
        <f>1/0.006445189</f>
        <v>155.1544880995732</v>
      </c>
      <c r="D103" s="4" t="s">
        <v>97</v>
      </c>
      <c r="E103" s="1">
        <v>2.0834388893088156</v>
      </c>
      <c r="F103" s="1">
        <v>1.2350567486504409</v>
      </c>
    </row>
    <row r="104" spans="1:6" x14ac:dyDescent="0.3">
      <c r="A104" s="3">
        <v>1154000</v>
      </c>
      <c r="B104" s="3">
        <v>7510</v>
      </c>
      <c r="C104" s="3">
        <f>1/0.04149402</f>
        <v>24.099858244633804</v>
      </c>
      <c r="D104" s="4" t="s">
        <v>98</v>
      </c>
      <c r="E104" s="1">
        <v>26.672037295027106</v>
      </c>
      <c r="F104" s="1">
        <v>4.5613869868823116</v>
      </c>
    </row>
    <row r="105" spans="1:6" x14ac:dyDescent="0.3">
      <c r="A105" s="3">
        <v>1096000</v>
      </c>
      <c r="B105" s="3">
        <v>3330</v>
      </c>
      <c r="C105" s="3">
        <f>1/0.07032201</f>
        <v>14.220298879397786</v>
      </c>
      <c r="D105" s="4" t="s">
        <v>99</v>
      </c>
      <c r="E105" s="1">
        <v>1.2880692416809625</v>
      </c>
      <c r="F105" s="1">
        <v>1.2619191138267003</v>
      </c>
    </row>
    <row r="106" spans="1:6" x14ac:dyDescent="0.3">
      <c r="A106" s="3">
        <v>1094000</v>
      </c>
      <c r="B106" s="3">
        <v>6700</v>
      </c>
      <c r="C106" s="3">
        <f>1/0.06775099</f>
        <v>14.759931921290008</v>
      </c>
      <c r="D106" s="4" t="s">
        <v>100</v>
      </c>
      <c r="E106" s="1">
        <v>12.177802322472214</v>
      </c>
      <c r="F106" s="1">
        <v>2.8502478626507299</v>
      </c>
    </row>
    <row r="107" spans="1:6" x14ac:dyDescent="0.3">
      <c r="A107" s="3">
        <v>1091000</v>
      </c>
      <c r="B107" s="3">
        <v>7180</v>
      </c>
      <c r="C107" s="3">
        <f>1/0.01200637</f>
        <v>83.289120691766115</v>
      </c>
      <c r="D107" s="4" t="s">
        <v>101</v>
      </c>
      <c r="E107" s="1">
        <v>7.8363604204219293</v>
      </c>
      <c r="F107" s="1">
        <v>2.3469915414507292</v>
      </c>
    </row>
    <row r="108" spans="1:6" x14ac:dyDescent="0.3">
      <c r="A108" s="3">
        <v>1086000</v>
      </c>
      <c r="B108" s="3">
        <v>7730</v>
      </c>
      <c r="C108" s="3">
        <f>1/0.004552262</f>
        <v>219.67101190572953</v>
      </c>
      <c r="D108" s="4" t="s">
        <v>102</v>
      </c>
      <c r="E108" s="1">
        <v>9.9843406827520731</v>
      </c>
      <c r="F108" s="1">
        <v>2.7272012298530641</v>
      </c>
    </row>
    <row r="109" spans="1:6" x14ac:dyDescent="0.3">
      <c r="A109" s="3">
        <v>1072800</v>
      </c>
      <c r="B109" s="3">
        <v>2810</v>
      </c>
      <c r="C109" s="3">
        <f>1/0.1960336</f>
        <v>5.1011663306698445</v>
      </c>
      <c r="D109" s="4" t="s">
        <v>103</v>
      </c>
      <c r="E109" s="1">
        <v>4.8019221043721192</v>
      </c>
      <c r="F109" s="1">
        <v>2.1195514915963622</v>
      </c>
    </row>
    <row r="110" spans="1:6" x14ac:dyDescent="0.3">
      <c r="A110" s="3">
        <v>1049500</v>
      </c>
      <c r="B110" s="2" t="s">
        <v>6</v>
      </c>
      <c r="C110" s="2" t="s">
        <v>6</v>
      </c>
      <c r="D110" s="4" t="s">
        <v>104</v>
      </c>
      <c r="E110" s="1">
        <v>0.39510484388224176</v>
      </c>
      <c r="F110" s="1">
        <v>0.41254381142951652</v>
      </c>
    </row>
    <row r="111" spans="1:6" x14ac:dyDescent="0.3">
      <c r="A111" s="3">
        <v>1046000</v>
      </c>
      <c r="B111" s="3">
        <v>5180</v>
      </c>
      <c r="C111" s="3">
        <f>1/0.09165417</f>
        <v>10.910578318476945</v>
      </c>
      <c r="D111" s="4" t="s">
        <v>105</v>
      </c>
      <c r="E111" s="1">
        <v>2.2017258315146111</v>
      </c>
      <c r="F111" s="1">
        <v>1.3395190308969867</v>
      </c>
    </row>
    <row r="112" spans="1:6" x14ac:dyDescent="0.3">
      <c r="A112" s="3">
        <v>1031500</v>
      </c>
      <c r="B112" s="3">
        <v>22800</v>
      </c>
      <c r="C112" s="3">
        <f>1/0.02012711</f>
        <v>49.684231864385893</v>
      </c>
      <c r="D112" s="4" t="s">
        <v>106</v>
      </c>
      <c r="E112" s="1">
        <v>8.1990424479748114</v>
      </c>
      <c r="F112" s="1">
        <v>2.0450335689120029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" sqref="B1"/>
    </sheetView>
  </sheetViews>
  <sheetFormatPr defaultRowHeight="14.4" x14ac:dyDescent="0.3"/>
  <sheetData>
    <row r="1" spans="1:6" x14ac:dyDescent="0.3">
      <c r="A1" s="2" t="s">
        <v>0</v>
      </c>
      <c r="B1" s="2" t="s">
        <v>189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">
        <v>7154500</v>
      </c>
      <c r="B2" s="3">
        <v>10000</v>
      </c>
      <c r="C2" s="3">
        <f>1/ 0.2287281</f>
        <v>4.3720032650120384</v>
      </c>
      <c r="D2" s="4" t="s">
        <v>107</v>
      </c>
      <c r="E2" s="1">
        <v>5.6617700110753288</v>
      </c>
      <c r="F2" s="1">
        <v>2.4006709756724685</v>
      </c>
    </row>
    <row r="3" spans="1:6" x14ac:dyDescent="0.3">
      <c r="A3" s="3">
        <v>7149000</v>
      </c>
      <c r="B3" s="3">
        <v>7900</v>
      </c>
      <c r="C3" s="3">
        <f>1/0.1240321</f>
        <v>8.0624290002346157</v>
      </c>
      <c r="D3" s="4" t="s">
        <v>108</v>
      </c>
      <c r="E3" s="1">
        <v>2.1161731874943324</v>
      </c>
      <c r="F3" s="1">
        <v>1.4544971711412449</v>
      </c>
    </row>
    <row r="4" spans="1:6" x14ac:dyDescent="0.3">
      <c r="A4" s="3">
        <v>6935830</v>
      </c>
      <c r="B4" s="3">
        <v>6370</v>
      </c>
      <c r="C4" s="3">
        <f>1/0.05431533</f>
        <v>18.411008457464956</v>
      </c>
      <c r="D4" s="4" t="s">
        <v>109</v>
      </c>
      <c r="E4" s="1">
        <v>1.7667912320166663</v>
      </c>
      <c r="F4" s="1">
        <v>1.2815032523073413</v>
      </c>
    </row>
    <row r="5" spans="1:6" x14ac:dyDescent="0.3">
      <c r="A5" s="3">
        <v>6906000</v>
      </c>
      <c r="B5" s="3">
        <v>7200</v>
      </c>
      <c r="C5" s="3">
        <f>1/0.3477448</f>
        <v>2.8756720445568127</v>
      </c>
      <c r="D5" s="4" t="s">
        <v>110</v>
      </c>
      <c r="E5" s="1">
        <v>2.0380066977264359</v>
      </c>
      <c r="F5" s="1">
        <v>1.5640099144250847</v>
      </c>
    </row>
    <row r="6" spans="1:6" x14ac:dyDescent="0.3">
      <c r="A6" s="3">
        <v>6897500</v>
      </c>
      <c r="B6" s="3">
        <v>89800</v>
      </c>
      <c r="C6" s="3">
        <f>1/0.005331393</f>
        <v>187.568239670195</v>
      </c>
      <c r="D6" s="4" t="s">
        <v>111</v>
      </c>
      <c r="E6" s="1">
        <v>1.8833692495924286</v>
      </c>
      <c r="F6" s="1">
        <v>1.1364549226861913</v>
      </c>
    </row>
    <row r="7" spans="1:6" x14ac:dyDescent="0.3">
      <c r="A7" s="3">
        <v>6892000</v>
      </c>
      <c r="B7" s="3">
        <v>15100</v>
      </c>
      <c r="C7" s="3">
        <f>1/0.1317499</f>
        <v>7.5901385883404844</v>
      </c>
      <c r="D7" s="4" t="s">
        <v>112</v>
      </c>
      <c r="E7" s="1">
        <v>5.9119536365601579</v>
      </c>
      <c r="F7" s="1">
        <v>2.1651791204162452</v>
      </c>
    </row>
    <row r="8" spans="1:6" x14ac:dyDescent="0.3">
      <c r="A8" s="3">
        <v>6891500</v>
      </c>
      <c r="B8" s="3">
        <v>8950</v>
      </c>
      <c r="C8" s="3">
        <f>1/0.2267654</f>
        <v>4.4098438297906117</v>
      </c>
      <c r="D8" s="4" t="s">
        <v>113</v>
      </c>
      <c r="E8" s="1">
        <v>1.938845631269404</v>
      </c>
      <c r="F8" s="1">
        <v>1.4552807032200694</v>
      </c>
    </row>
    <row r="9" spans="1:6" x14ac:dyDescent="0.3">
      <c r="A9" s="3">
        <v>6888500</v>
      </c>
      <c r="B9" s="3">
        <v>38500</v>
      </c>
      <c r="C9" s="3">
        <f>1/0.05013727</f>
        <v>19.945242331702545</v>
      </c>
      <c r="D9" s="4" t="s">
        <v>114</v>
      </c>
      <c r="E9" s="1">
        <v>10.195725668108965</v>
      </c>
      <c r="F9" s="1">
        <v>2.5095465037398177</v>
      </c>
    </row>
    <row r="10" spans="1:6" x14ac:dyDescent="0.3">
      <c r="A10" s="3">
        <v>6888000</v>
      </c>
      <c r="B10" s="3">
        <v>21000</v>
      </c>
      <c r="C10" s="3">
        <f>1/0.04783221</f>
        <v>20.906414317883286</v>
      </c>
      <c r="D10" s="4" t="s">
        <v>115</v>
      </c>
      <c r="E10" s="1">
        <v>6.7441731065270361</v>
      </c>
      <c r="F10" s="1">
        <v>2.1916113431335464</v>
      </c>
    </row>
    <row r="11" spans="1:6" x14ac:dyDescent="0.3">
      <c r="A11" s="3">
        <v>6876700</v>
      </c>
      <c r="B11" s="3">
        <v>3600</v>
      </c>
      <c r="C11" s="3">
        <f>1/0.1767101</f>
        <v>5.6589861020960317</v>
      </c>
      <c r="D11" s="4" t="s">
        <v>116</v>
      </c>
      <c r="E11" s="1">
        <v>6.8051282678300069</v>
      </c>
      <c r="F11" s="1">
        <v>2.5296338611897409</v>
      </c>
    </row>
    <row r="12" spans="1:6" x14ac:dyDescent="0.3">
      <c r="A12" s="3">
        <v>6820500</v>
      </c>
      <c r="B12" s="3">
        <v>53000</v>
      </c>
      <c r="C12" s="3">
        <f>1/0.004996398</f>
        <v>200.14418387006</v>
      </c>
      <c r="D12" s="4" t="s">
        <v>117</v>
      </c>
      <c r="E12" s="1">
        <v>2.9797911034299633</v>
      </c>
      <c r="F12" s="1">
        <v>1.4523876734338632</v>
      </c>
    </row>
    <row r="13" spans="1:6" x14ac:dyDescent="0.3">
      <c r="A13" s="3">
        <v>6817700</v>
      </c>
      <c r="B13" s="3">
        <v>90700</v>
      </c>
      <c r="C13" s="3">
        <f>1/0.002152649</f>
        <v>464.54391774971208</v>
      </c>
      <c r="D13" s="4" t="s">
        <v>118</v>
      </c>
      <c r="E13" s="1">
        <v>10.281532646392238</v>
      </c>
      <c r="F13" s="1">
        <v>2.5661836285648971</v>
      </c>
    </row>
    <row r="14" spans="1:6" x14ac:dyDescent="0.3">
      <c r="A14" s="3">
        <v>6814000</v>
      </c>
      <c r="B14" s="3">
        <v>9180</v>
      </c>
      <c r="C14" s="3">
        <f>1/0.3342932</f>
        <v>2.991386004860404</v>
      </c>
      <c r="D14" s="4" t="s">
        <v>119</v>
      </c>
      <c r="E14" s="1">
        <v>-0.29929724567110183</v>
      </c>
      <c r="F14" s="1">
        <v>0.64988809385768564</v>
      </c>
    </row>
    <row r="15" spans="1:6" x14ac:dyDescent="0.3">
      <c r="A15" s="3">
        <v>6813000</v>
      </c>
      <c r="B15" s="2" t="s">
        <v>6</v>
      </c>
      <c r="C15" s="2" t="s">
        <v>6</v>
      </c>
      <c r="D15" s="4" t="s">
        <v>120</v>
      </c>
      <c r="E15" s="1">
        <v>-0.67736429906990958</v>
      </c>
      <c r="F15" s="1">
        <v>-4.6259914181876756E-2</v>
      </c>
    </row>
    <row r="16" spans="1:6" x14ac:dyDescent="0.3">
      <c r="A16" s="3">
        <v>6609500</v>
      </c>
      <c r="B16" s="3">
        <v>35400</v>
      </c>
      <c r="C16" s="3">
        <f>1/0.0141898</f>
        <v>70.473156774584552</v>
      </c>
      <c r="D16" s="4" t="s">
        <v>121</v>
      </c>
      <c r="E16" s="1">
        <v>0.28987555268987597</v>
      </c>
      <c r="F16" s="3">
        <v>0.82048025800000002</v>
      </c>
    </row>
    <row r="17" spans="1:6" x14ac:dyDescent="0.3">
      <c r="A17" s="3">
        <v>6132200</v>
      </c>
      <c r="B17" s="3">
        <v>1000</v>
      </c>
      <c r="C17" s="3">
        <f>1/0.1442768</f>
        <v>6.9311212890776615</v>
      </c>
      <c r="D17" s="4" t="s">
        <v>122</v>
      </c>
      <c r="E17" s="1">
        <v>21.948043246364119</v>
      </c>
      <c r="F17" s="1">
        <v>4.7317927662924752</v>
      </c>
    </row>
    <row r="18" spans="1:6" x14ac:dyDescent="0.3">
      <c r="A18" s="3">
        <v>6108000</v>
      </c>
      <c r="B18" s="3">
        <v>975</v>
      </c>
      <c r="C18" s="3">
        <f>1/0.4444486</f>
        <v>2.2499789626966988</v>
      </c>
      <c r="D18" s="4" t="s">
        <v>123</v>
      </c>
      <c r="E18" s="1">
        <v>55.589410378526573</v>
      </c>
      <c r="F18" s="1">
        <v>7.2315869044910519</v>
      </c>
    </row>
    <row r="19" spans="1:6" x14ac:dyDescent="0.3">
      <c r="A19" s="3">
        <v>6093200</v>
      </c>
      <c r="B19" s="3">
        <v>3260</v>
      </c>
      <c r="C19" s="3">
        <f>1/0.09879617</f>
        <v>10.12184986523263</v>
      </c>
      <c r="D19" s="4" t="s">
        <v>124</v>
      </c>
      <c r="E19" s="1">
        <v>36.05174606119413</v>
      </c>
      <c r="F19" s="1">
        <v>5.7287292067637132</v>
      </c>
    </row>
    <row r="20" spans="1:6" x14ac:dyDescent="0.3">
      <c r="A20" s="3">
        <v>5514500</v>
      </c>
      <c r="B20" s="3">
        <v>84000</v>
      </c>
      <c r="C20" s="3">
        <f>1/0.02701313</f>
        <v>37.019034817512818</v>
      </c>
      <c r="D20" s="4" t="s">
        <v>125</v>
      </c>
      <c r="E20" s="1">
        <v>4.3016825237239136</v>
      </c>
      <c r="F20" s="3">
        <v>1.8925976920000001</v>
      </c>
    </row>
    <row r="21" spans="1:6" x14ac:dyDescent="0.3">
      <c r="A21" s="3">
        <v>5498700</v>
      </c>
      <c r="B21" s="3">
        <v>5580</v>
      </c>
      <c r="C21" s="3">
        <f>1/0.4839415</f>
        <v>2.0663654594615255</v>
      </c>
      <c r="D21" s="4" t="s">
        <v>126</v>
      </c>
      <c r="E21" s="1">
        <v>1.3304586326117676</v>
      </c>
      <c r="F21" s="1">
        <v>0.98706042997474919</v>
      </c>
    </row>
    <row r="22" spans="1:6" x14ac:dyDescent="0.3">
      <c r="A22" s="3">
        <v>5483450</v>
      </c>
      <c r="B22" s="3">
        <v>9230</v>
      </c>
      <c r="C22" s="3">
        <f>1/0.1435716</f>
        <v>6.9651658127373386</v>
      </c>
      <c r="D22" s="4" t="s">
        <v>127</v>
      </c>
      <c r="E22" s="1">
        <v>9.4153659009057939</v>
      </c>
      <c r="F22" s="1">
        <v>2.5970305310570962</v>
      </c>
    </row>
    <row r="23" spans="1:6" x14ac:dyDescent="0.3">
      <c r="A23" s="3">
        <v>5482500</v>
      </c>
      <c r="B23" s="2" t="s">
        <v>6</v>
      </c>
      <c r="C23" s="2" t="s">
        <v>6</v>
      </c>
      <c r="D23" s="4" t="s">
        <v>128</v>
      </c>
      <c r="E23" s="1">
        <v>0.9964389782247447</v>
      </c>
      <c r="F23" s="1">
        <v>0.80679218808813835</v>
      </c>
    </row>
    <row r="24" spans="1:6" x14ac:dyDescent="0.3">
      <c r="A24" s="3">
        <v>5439500</v>
      </c>
      <c r="B24" s="3">
        <v>13900</v>
      </c>
      <c r="C24" s="3">
        <f>1/0.02237539</f>
        <v>44.691958441841685</v>
      </c>
      <c r="D24" s="4" t="s">
        <v>129</v>
      </c>
      <c r="E24" s="1">
        <v>13.477597866283279</v>
      </c>
      <c r="F24" s="1">
        <v>2.8592977511709368</v>
      </c>
    </row>
    <row r="25" spans="1:6" x14ac:dyDescent="0.3">
      <c r="A25" s="3">
        <v>5014500</v>
      </c>
      <c r="B25" s="3">
        <v>3150</v>
      </c>
      <c r="C25" s="3">
        <f>1/0.008390815</f>
        <v>119.1779344437936</v>
      </c>
      <c r="D25" s="4" t="s">
        <v>130</v>
      </c>
      <c r="E25" s="1">
        <v>31.989350611898107</v>
      </c>
      <c r="F25" s="1">
        <v>5.0521247326554342</v>
      </c>
    </row>
    <row r="26" spans="1:6" x14ac:dyDescent="0.3">
      <c r="A26" s="3">
        <v>4250750</v>
      </c>
      <c r="B26" s="2" t="s">
        <v>6</v>
      </c>
      <c r="C26" s="2" t="s">
        <v>6</v>
      </c>
      <c r="D26" s="4" t="s">
        <v>131</v>
      </c>
      <c r="E26" s="1">
        <v>-0.82155051391208245</v>
      </c>
      <c r="F26" s="1">
        <v>7.2519945270537525E-2</v>
      </c>
    </row>
    <row r="27" spans="1:6" x14ac:dyDescent="0.3">
      <c r="A27" s="3">
        <v>4235250</v>
      </c>
      <c r="B27" s="3">
        <v>3170</v>
      </c>
      <c r="C27" s="3">
        <f>1/0.03781082</f>
        <v>26.447456045650423</v>
      </c>
      <c r="D27" s="4" t="s">
        <v>132</v>
      </c>
      <c r="E27" s="1">
        <v>0.37695567893964821</v>
      </c>
      <c r="F27" s="1">
        <v>0.88862015666177063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defaultRowHeight="14.4" x14ac:dyDescent="0.3"/>
  <sheetData>
    <row r="1" spans="1:6" x14ac:dyDescent="0.3">
      <c r="A1" s="2" t="s">
        <v>0</v>
      </c>
      <c r="B1" s="2" t="s">
        <v>189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">
        <v>7364133</v>
      </c>
      <c r="B2" s="2" t="s">
        <v>6</v>
      </c>
      <c r="C2" s="2" t="s">
        <v>6</v>
      </c>
      <c r="D2" s="4" t="s">
        <v>133</v>
      </c>
      <c r="E2" s="1">
        <v>-8.6159612860049695E-2</v>
      </c>
      <c r="F2" s="1">
        <v>-0.1066893336071993</v>
      </c>
    </row>
    <row r="3" spans="1:6" x14ac:dyDescent="0.3">
      <c r="A3" s="3">
        <v>7362100</v>
      </c>
      <c r="B3" s="3">
        <v>16000</v>
      </c>
      <c r="C3" s="3">
        <f>1/0.1789278</f>
        <v>5.5888464509148381</v>
      </c>
      <c r="D3" s="4" t="s">
        <v>134</v>
      </c>
      <c r="E3" s="1">
        <v>5.166068023241138</v>
      </c>
      <c r="F3" s="1">
        <v>2.1814331184755655</v>
      </c>
    </row>
    <row r="4" spans="1:6" x14ac:dyDescent="0.3">
      <c r="A4" s="3">
        <v>7361500</v>
      </c>
      <c r="B4" s="3">
        <v>35500</v>
      </c>
      <c r="C4" s="3">
        <f>1/0.01412425</f>
        <v>70.800219480680397</v>
      </c>
      <c r="D4" s="4" t="s">
        <v>135</v>
      </c>
      <c r="E4" s="1">
        <v>2.3980433272655679</v>
      </c>
      <c r="F4" s="1">
        <v>1.3208406594807132</v>
      </c>
    </row>
    <row r="5" spans="1:6" x14ac:dyDescent="0.3">
      <c r="A5" s="3">
        <v>7359610</v>
      </c>
      <c r="B5" s="3">
        <v>97200</v>
      </c>
      <c r="C5" s="3">
        <f>1/0.004800475</f>
        <v>208.31271905384361</v>
      </c>
      <c r="D5" s="4" t="s">
        <v>136</v>
      </c>
      <c r="E5" s="1">
        <v>11.667845343204773</v>
      </c>
      <c r="F5" s="1">
        <v>2.9907748608410603</v>
      </c>
    </row>
    <row r="6" spans="1:6" x14ac:dyDescent="0.3">
      <c r="A6" s="3">
        <v>7351750</v>
      </c>
      <c r="B6" s="2" t="s">
        <v>6</v>
      </c>
      <c r="C6" s="2" t="s">
        <v>6</v>
      </c>
      <c r="D6" s="4" t="s">
        <v>137</v>
      </c>
      <c r="E6" s="1">
        <v>0.61679432975308224</v>
      </c>
      <c r="F6" s="1">
        <v>-0.24073825364066484</v>
      </c>
    </row>
    <row r="7" spans="1:6" x14ac:dyDescent="0.3">
      <c r="A7" s="3">
        <v>7341200</v>
      </c>
      <c r="B7" s="3">
        <v>36400</v>
      </c>
      <c r="C7" s="3">
        <f>1/0.04072212</f>
        <v>24.556678286886832</v>
      </c>
      <c r="D7" s="4" t="s">
        <v>138</v>
      </c>
      <c r="E7" s="1">
        <v>5.6269203965123493</v>
      </c>
      <c r="F7" s="3">
        <v>2.4691282700000001</v>
      </c>
    </row>
    <row r="8" spans="1:6" x14ac:dyDescent="0.3">
      <c r="A8" s="3">
        <v>7290650</v>
      </c>
      <c r="B8" s="3">
        <v>88000</v>
      </c>
      <c r="C8" s="3">
        <f>1/0.007320539</f>
        <v>136.60196332537808</v>
      </c>
      <c r="D8" s="4" t="s">
        <v>139</v>
      </c>
      <c r="E8" s="1">
        <v>2.5957558730915902</v>
      </c>
      <c r="F8" s="1">
        <v>1.2801098903714865</v>
      </c>
    </row>
    <row r="9" spans="1:6" x14ac:dyDescent="0.3">
      <c r="A9" s="3">
        <v>7290000</v>
      </c>
      <c r="B9" s="3">
        <v>63500</v>
      </c>
      <c r="C9" s="3">
        <f>1/0.04996031</f>
        <v>20.015888612380508</v>
      </c>
      <c r="D9" s="4" t="s">
        <v>140</v>
      </c>
      <c r="E9" s="1">
        <v>2.1942701425143052</v>
      </c>
      <c r="F9" s="1">
        <v>1.3342847457308544</v>
      </c>
    </row>
    <row r="10" spans="1:6" x14ac:dyDescent="0.3">
      <c r="A10" s="3">
        <v>7283000</v>
      </c>
      <c r="B10" s="3">
        <v>61400</v>
      </c>
      <c r="C10" s="3">
        <f>1/0.006827305</f>
        <v>146.47067913327442</v>
      </c>
      <c r="D10" s="4" t="s">
        <v>141</v>
      </c>
      <c r="E10" s="1">
        <v>1.6343762010026008</v>
      </c>
      <c r="F10" s="1">
        <v>0.9749077051819508</v>
      </c>
    </row>
    <row r="11" spans="1:6" x14ac:dyDescent="0.3">
      <c r="A11" s="3">
        <v>7277700</v>
      </c>
      <c r="B11" s="2" t="s">
        <v>6</v>
      </c>
      <c r="C11" s="2" t="s">
        <v>6</v>
      </c>
      <c r="D11" s="4" t="s">
        <v>142</v>
      </c>
      <c r="E11" s="1">
        <v>3.4879617273706782</v>
      </c>
      <c r="F11" s="1">
        <v>1.2225871538788293</v>
      </c>
    </row>
    <row r="12" spans="1:6" x14ac:dyDescent="0.3">
      <c r="A12" s="3">
        <v>7264000</v>
      </c>
      <c r="B12" s="3">
        <v>4700</v>
      </c>
      <c r="C12" s="3">
        <f>1/0.0506118</f>
        <v>19.758238197416414</v>
      </c>
      <c r="D12" s="4" t="s">
        <v>143</v>
      </c>
      <c r="E12" s="1">
        <v>0.73174116540654888</v>
      </c>
      <c r="F12" s="1">
        <v>1.0649241427306491</v>
      </c>
    </row>
    <row r="13" spans="1:6" x14ac:dyDescent="0.3">
      <c r="A13" s="3">
        <v>7069500</v>
      </c>
      <c r="B13" s="3">
        <v>57300</v>
      </c>
      <c r="C13" s="3">
        <f>1/0.1610535</f>
        <v>6.2091168462653723</v>
      </c>
      <c r="D13" s="4" t="s">
        <v>144</v>
      </c>
      <c r="E13" s="1">
        <v>17.274180096909507</v>
      </c>
      <c r="F13" s="1">
        <v>3.3933054174796471</v>
      </c>
    </row>
    <row r="14" spans="1:6" x14ac:dyDescent="0.3">
      <c r="A14" s="3">
        <v>7040450</v>
      </c>
      <c r="B14" s="3">
        <v>42700</v>
      </c>
      <c r="C14" s="3">
        <f>1/0.007468973</f>
        <v>133.88721581936366</v>
      </c>
      <c r="D14" s="4" t="s">
        <v>145</v>
      </c>
      <c r="E14" s="1">
        <v>1.7152168768193947</v>
      </c>
      <c r="F14" s="1">
        <v>1.1312617571270061</v>
      </c>
    </row>
    <row r="15" spans="1:6" x14ac:dyDescent="0.3">
      <c r="A15" s="3">
        <v>7032200</v>
      </c>
      <c r="B15" s="2" t="s">
        <v>6</v>
      </c>
      <c r="C15" s="2" t="s">
        <v>6</v>
      </c>
      <c r="D15" s="4" t="s">
        <v>146</v>
      </c>
      <c r="E15" s="1">
        <v>0.15681519929337906</v>
      </c>
      <c r="F15" s="1">
        <v>0.64366908873454953</v>
      </c>
    </row>
    <row r="16" spans="1:6" x14ac:dyDescent="0.3">
      <c r="A16" s="3">
        <v>7030050</v>
      </c>
      <c r="B16" s="3">
        <v>53900</v>
      </c>
      <c r="C16" s="3">
        <f>1/0.04297913</f>
        <v>23.267106616629981</v>
      </c>
      <c r="D16" s="4" t="s">
        <v>147</v>
      </c>
      <c r="E16" s="1">
        <v>5.0850815717343067E-2</v>
      </c>
      <c r="F16" s="1">
        <v>0.84928620104951669</v>
      </c>
    </row>
    <row r="17" spans="1:6" x14ac:dyDescent="0.3">
      <c r="A17" s="3">
        <v>7026040</v>
      </c>
      <c r="B17" s="3">
        <v>26400</v>
      </c>
      <c r="C17" s="3">
        <f>1/0.4994435</f>
        <v>2.0022284802985726</v>
      </c>
      <c r="D17" s="4" t="s">
        <v>148</v>
      </c>
      <c r="E17" s="1">
        <v>2.6024668446559795</v>
      </c>
      <c r="F17" s="1">
        <v>1.477841902174021</v>
      </c>
    </row>
    <row r="18" spans="1:6" x14ac:dyDescent="0.3">
      <c r="A18" s="3">
        <v>7024500</v>
      </c>
      <c r="B18" s="3">
        <v>17500</v>
      </c>
      <c r="C18" s="3">
        <f>1/0.08317952</f>
        <v>12.022190077557552</v>
      </c>
      <c r="D18" s="4" t="s">
        <v>149</v>
      </c>
      <c r="E18" s="1">
        <v>0.32050230619354458</v>
      </c>
      <c r="F18" s="1">
        <v>0.93652941755971142</v>
      </c>
    </row>
    <row r="19" spans="1:6" x14ac:dyDescent="0.3">
      <c r="A19" s="3">
        <v>2487500</v>
      </c>
      <c r="B19" s="3">
        <v>19000</v>
      </c>
      <c r="C19" s="3">
        <f>1/ 0.09260339</f>
        <v>10.798740737245149</v>
      </c>
      <c r="D19" s="4" t="s">
        <v>150</v>
      </c>
      <c r="E19" s="1">
        <v>1.7370860506752837</v>
      </c>
      <c r="F19" s="1">
        <v>1.3622394024202353</v>
      </c>
    </row>
    <row r="20" spans="1:6" x14ac:dyDescent="0.3">
      <c r="A20" s="3">
        <v>2482550</v>
      </c>
      <c r="B20" s="3">
        <v>58700</v>
      </c>
      <c r="C20" s="3">
        <f>1/0.01970546</f>
        <v>50.74735631647269</v>
      </c>
      <c r="D20" s="4" t="s">
        <v>151</v>
      </c>
      <c r="E20" s="1">
        <v>13.056098784839287</v>
      </c>
      <c r="F20" s="1">
        <v>3.1394597708721363</v>
      </c>
    </row>
    <row r="21" spans="1:6" x14ac:dyDescent="0.3">
      <c r="A21" s="3">
        <v>2342500</v>
      </c>
      <c r="B21" s="3">
        <v>24900</v>
      </c>
      <c r="C21" s="3">
        <f>1/0.05684439</f>
        <v>17.591885496528327</v>
      </c>
      <c r="D21" s="4" t="s">
        <v>152</v>
      </c>
      <c r="E21" s="1">
        <v>12.196965519977518</v>
      </c>
      <c r="F21" s="3">
        <v>2.7485840580000001</v>
      </c>
    </row>
    <row r="22" spans="1:6" x14ac:dyDescent="0.3">
      <c r="A22" s="3">
        <v>2330100</v>
      </c>
      <c r="B22" s="3">
        <v>8000</v>
      </c>
      <c r="C22" s="3">
        <f>1/0.1026105</f>
        <v>9.7455913381184196</v>
      </c>
      <c r="D22" s="4" t="s">
        <v>153</v>
      </c>
      <c r="E22" s="1">
        <v>8.4005102512271144</v>
      </c>
      <c r="F22" s="1">
        <v>2.5106859599619247</v>
      </c>
    </row>
    <row r="23" spans="1:6" x14ac:dyDescent="0.3">
      <c r="A23" s="3">
        <v>2049500</v>
      </c>
      <c r="B23" s="3">
        <v>21000</v>
      </c>
      <c r="C23" s="3">
        <f>1/0.004694593</f>
        <v>213.01101075215678</v>
      </c>
      <c r="D23" s="4" t="s">
        <v>154</v>
      </c>
      <c r="E23" s="1">
        <v>13.334303951597359</v>
      </c>
      <c r="F23" s="3">
        <v>3.410914896</v>
      </c>
    </row>
    <row r="24" spans="1:6" x14ac:dyDescent="0.3">
      <c r="A24" s="3">
        <v>2044500</v>
      </c>
      <c r="B24" s="3">
        <v>14500</v>
      </c>
      <c r="C24" s="3">
        <f>1/0.09369112</f>
        <v>10.673370112343624</v>
      </c>
      <c r="D24" s="4" t="s">
        <v>155</v>
      </c>
      <c r="E24" s="1">
        <v>4.9043176051397346</v>
      </c>
      <c r="F24" s="1">
        <v>2.1849996976812371</v>
      </c>
    </row>
    <row r="25" spans="1:6" x14ac:dyDescent="0.3">
      <c r="A25" s="3">
        <v>2042500</v>
      </c>
      <c r="B25" s="3">
        <v>4510</v>
      </c>
      <c r="C25" s="3">
        <f>1/0.1044476</f>
        <v>9.574178822682379</v>
      </c>
      <c r="D25" s="4" t="s">
        <v>40</v>
      </c>
      <c r="E25" s="1">
        <v>27.627333833954868</v>
      </c>
      <c r="F25" s="1">
        <v>4.4688712742818675</v>
      </c>
    </row>
    <row r="26" spans="1:6" x14ac:dyDescent="0.3">
      <c r="A26" s="3">
        <v>1674000</v>
      </c>
      <c r="B26" s="3">
        <v>8080</v>
      </c>
      <c r="C26" s="3">
        <f>1/0.08965083</f>
        <v>11.154386412261884</v>
      </c>
      <c r="D26" s="4" t="s">
        <v>156</v>
      </c>
      <c r="E26" s="1">
        <v>3.4050047572565503</v>
      </c>
      <c r="F26" s="3">
        <v>1.589414814</v>
      </c>
    </row>
    <row r="27" spans="1:6" x14ac:dyDescent="0.3">
      <c r="A27" s="3">
        <v>1673550</v>
      </c>
      <c r="B27" s="3">
        <v>889</v>
      </c>
      <c r="C27" s="3">
        <f>1/0.187632</f>
        <v>5.3295813080924361</v>
      </c>
      <c r="D27" s="4" t="s">
        <v>157</v>
      </c>
      <c r="E27" s="1">
        <v>38.500554122075094</v>
      </c>
      <c r="F27" s="3">
        <v>6.0624891930000002</v>
      </c>
    </row>
    <row r="28" spans="1:6" x14ac:dyDescent="0.3">
      <c r="A28" s="3">
        <v>1660920</v>
      </c>
      <c r="B28" s="3">
        <v>3370</v>
      </c>
      <c r="C28" s="3">
        <f>1/0.1729027</f>
        <v>5.7835996777378265</v>
      </c>
      <c r="D28" s="4" t="s">
        <v>158</v>
      </c>
      <c r="E28" s="1">
        <v>10.222611579175823</v>
      </c>
      <c r="F28" s="3">
        <v>3.019398866</v>
      </c>
    </row>
    <row r="29" spans="1:6" x14ac:dyDescent="0.3">
      <c r="A29" s="3">
        <v>1658000</v>
      </c>
      <c r="B29" s="3">
        <v>3500</v>
      </c>
      <c r="C29" s="3">
        <f>1/0.1401936</f>
        <v>7.1329932322160214</v>
      </c>
      <c r="D29" s="4" t="s">
        <v>159</v>
      </c>
      <c r="E29" s="1">
        <v>5.9855232332561163</v>
      </c>
      <c r="F29" s="1">
        <v>2.311958763639137</v>
      </c>
    </row>
    <row r="30" spans="1:6" x14ac:dyDescent="0.3">
      <c r="A30" s="3">
        <v>1651000</v>
      </c>
      <c r="B30" s="3">
        <v>6620</v>
      </c>
      <c r="C30" s="3">
        <f>1/ 0.1484116</f>
        <v>6.7380177829765326</v>
      </c>
      <c r="D30" s="4" t="s">
        <v>160</v>
      </c>
      <c r="E30" s="1">
        <v>5.6763025527819684</v>
      </c>
      <c r="F30" s="1">
        <v>2.2080756925025775</v>
      </c>
    </row>
    <row r="31" spans="1:6" x14ac:dyDescent="0.3">
      <c r="A31" s="3">
        <v>1594526</v>
      </c>
      <c r="B31" s="3">
        <v>7980</v>
      </c>
      <c r="C31" s="3">
        <f>1/0.02021013</f>
        <v>49.480136941227002</v>
      </c>
      <c r="D31" s="4" t="s">
        <v>161</v>
      </c>
      <c r="E31" s="1">
        <v>11.584644496669217</v>
      </c>
      <c r="F31" s="3">
        <v>3.121567185</v>
      </c>
    </row>
    <row r="32" spans="1:6" x14ac:dyDescent="0.3">
      <c r="A32" s="3">
        <v>1589352</v>
      </c>
      <c r="B32" s="3">
        <v>13600</v>
      </c>
      <c r="C32" s="3">
        <f>1/ 0.2360782</f>
        <v>4.23588455011941</v>
      </c>
      <c r="D32" s="4" t="s">
        <v>162</v>
      </c>
      <c r="E32" s="1">
        <v>-1.8303537871858566E-2</v>
      </c>
      <c r="F32" s="1">
        <v>0.93492378740663784</v>
      </c>
    </row>
    <row r="33" spans="1:6" x14ac:dyDescent="0.3">
      <c r="A33" s="3">
        <v>1465850</v>
      </c>
      <c r="B33" s="3">
        <v>2550</v>
      </c>
      <c r="C33" s="3">
        <f>1/0.0202928</f>
        <v>49.278561854450842</v>
      </c>
      <c r="D33" s="4" t="s">
        <v>163</v>
      </c>
      <c r="E33" s="1">
        <v>11.530650566677297</v>
      </c>
      <c r="F33" s="1">
        <v>2.8628693132291017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1" sqref="B1"/>
    </sheetView>
  </sheetViews>
  <sheetFormatPr defaultRowHeight="14.4" x14ac:dyDescent="0.3"/>
  <cols>
    <col min="2" max="2" width="9.21875" bestFit="1" customWidth="1"/>
    <col min="3" max="3" width="18.21875" bestFit="1" customWidth="1"/>
    <col min="4" max="4" width="24.6640625" bestFit="1" customWidth="1"/>
    <col min="5" max="5" width="12.6640625" bestFit="1" customWidth="1"/>
    <col min="6" max="6" width="12" bestFit="1" customWidth="1"/>
  </cols>
  <sheetData>
    <row r="1" spans="1:6" x14ac:dyDescent="0.3">
      <c r="A1" s="2" t="s">
        <v>0</v>
      </c>
      <c r="B1" s="2" t="s">
        <v>189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">
        <v>7363200</v>
      </c>
      <c r="B2" s="3">
        <v>61400</v>
      </c>
      <c r="C2" s="3">
        <f>1/0.05930964</f>
        <v>16.860665483722379</v>
      </c>
      <c r="D2" s="4" t="s">
        <v>164</v>
      </c>
      <c r="E2" s="1">
        <v>1.5210562028246377</v>
      </c>
      <c r="F2" s="1">
        <v>1.2931308797837471</v>
      </c>
    </row>
    <row r="3" spans="1:6" x14ac:dyDescent="0.3">
      <c r="A3" s="3">
        <v>7361500</v>
      </c>
      <c r="B3" s="3">
        <v>35500</v>
      </c>
      <c r="C3" s="3">
        <f>1/0.01412425</f>
        <v>70.800219480680397</v>
      </c>
      <c r="D3" s="4" t="s">
        <v>165</v>
      </c>
      <c r="E3" s="1">
        <v>2.3980433272655679</v>
      </c>
      <c r="F3" s="1">
        <v>1.3208406594807132</v>
      </c>
    </row>
    <row r="4" spans="1:6" x14ac:dyDescent="0.3">
      <c r="A4" s="3">
        <v>7359610</v>
      </c>
      <c r="B4" s="3">
        <v>97200</v>
      </c>
      <c r="C4" s="3">
        <f>1/0.004800475</f>
        <v>208.31271905384361</v>
      </c>
      <c r="D4" s="4" t="s">
        <v>166</v>
      </c>
      <c r="E4" s="1">
        <v>11.667845343204773</v>
      </c>
      <c r="F4" s="3">
        <v>2.9907748609999998</v>
      </c>
    </row>
    <row r="5" spans="1:6" x14ac:dyDescent="0.3">
      <c r="A5" s="3">
        <v>7356000</v>
      </c>
      <c r="B5" s="3">
        <v>95500</v>
      </c>
      <c r="C5" s="3">
        <f>1/0.002846848</f>
        <v>351.26568049997752</v>
      </c>
      <c r="D5" s="4" t="s">
        <v>167</v>
      </c>
      <c r="E5" s="1">
        <v>9.2180314929449416</v>
      </c>
      <c r="F5" s="1">
        <v>2.5034162610868607</v>
      </c>
    </row>
    <row r="6" spans="1:6" x14ac:dyDescent="0.3">
      <c r="A6" s="3">
        <v>7338750</v>
      </c>
      <c r="B6" s="2" t="s">
        <v>6</v>
      </c>
      <c r="C6" s="2" t="s">
        <v>6</v>
      </c>
      <c r="D6" s="4" t="s">
        <v>168</v>
      </c>
      <c r="E6" s="1">
        <v>1.3563264111477977</v>
      </c>
      <c r="F6" s="1">
        <v>0.57841176239292036</v>
      </c>
    </row>
    <row r="7" spans="1:6" x14ac:dyDescent="0.3">
      <c r="A7" s="3">
        <v>7263295</v>
      </c>
      <c r="B7" s="3">
        <v>10400</v>
      </c>
      <c r="C7" s="3">
        <f>1/0.1118807</f>
        <v>8.9380920927380689</v>
      </c>
      <c r="D7" s="4" t="s">
        <v>169</v>
      </c>
      <c r="E7" s="1">
        <v>-0.52736549729858861</v>
      </c>
      <c r="F7" s="3">
        <v>0.86099488000000002</v>
      </c>
    </row>
    <row r="8" spans="1:6" x14ac:dyDescent="0.3">
      <c r="A8" s="3">
        <v>7261500</v>
      </c>
      <c r="B8" s="3">
        <v>81500</v>
      </c>
      <c r="C8" s="3">
        <f>1/0.05860109</f>
        <v>17.064529004494627</v>
      </c>
      <c r="D8" s="4" t="s">
        <v>170</v>
      </c>
      <c r="E8" s="1">
        <v>11.573807574641174</v>
      </c>
      <c r="F8" s="1">
        <v>3.0358705132143751</v>
      </c>
    </row>
    <row r="9" spans="1:6" x14ac:dyDescent="0.3">
      <c r="A9" s="3">
        <v>7261000</v>
      </c>
      <c r="B9" s="2" t="s">
        <v>6</v>
      </c>
      <c r="C9" s="2" t="s">
        <v>6</v>
      </c>
      <c r="D9" s="4" t="s">
        <v>171</v>
      </c>
      <c r="E9" s="1">
        <v>0.42924405709968827</v>
      </c>
      <c r="F9" s="1">
        <v>0.66220702859483693</v>
      </c>
    </row>
    <row r="10" spans="1:6" x14ac:dyDescent="0.3">
      <c r="A10" s="3">
        <v>7260000</v>
      </c>
      <c r="B10" s="3">
        <v>20800</v>
      </c>
      <c r="C10" s="3">
        <f>1/0.05211516</f>
        <v>19.188274582674214</v>
      </c>
      <c r="D10" s="4" t="s">
        <v>172</v>
      </c>
      <c r="E10" s="1">
        <v>9.2546079953131262</v>
      </c>
      <c r="F10" s="1">
        <v>2.4762451766002904</v>
      </c>
    </row>
    <row r="11" spans="1:6" x14ac:dyDescent="0.3">
      <c r="A11" s="3">
        <v>7258500</v>
      </c>
      <c r="B11" s="2" t="s">
        <v>6</v>
      </c>
      <c r="C11" s="2" t="s">
        <v>6</v>
      </c>
      <c r="D11" s="4" t="s">
        <v>173</v>
      </c>
      <c r="E11" s="1">
        <v>1.7822512951949383</v>
      </c>
      <c r="F11" s="1">
        <v>1.0441070861261537</v>
      </c>
    </row>
    <row r="12" spans="1:6" x14ac:dyDescent="0.3">
      <c r="A12" s="3">
        <v>7257500</v>
      </c>
      <c r="B12" s="3">
        <v>77000</v>
      </c>
      <c r="C12" s="3">
        <f>1/0.01896551</f>
        <v>52.727292859511813</v>
      </c>
      <c r="D12" s="4" t="s">
        <v>174</v>
      </c>
      <c r="E12" s="1">
        <v>11.398696271906116</v>
      </c>
      <c r="F12" s="1">
        <v>2.920264749567842</v>
      </c>
    </row>
    <row r="13" spans="1:6" x14ac:dyDescent="0.3">
      <c r="A13" s="3">
        <v>7252000</v>
      </c>
      <c r="B13" s="2">
        <v>59700</v>
      </c>
      <c r="C13" s="3">
        <f>1/0.04143469</f>
        <v>24.134366638196155</v>
      </c>
      <c r="D13" s="4" t="s">
        <v>175</v>
      </c>
      <c r="E13" s="1">
        <v>-1.507355642487429E-2</v>
      </c>
      <c r="F13" s="1">
        <v>0.78956288699839483</v>
      </c>
    </row>
    <row r="14" spans="1:6" x14ac:dyDescent="0.3">
      <c r="A14" s="3">
        <v>7191160</v>
      </c>
      <c r="B14" s="3">
        <v>1580</v>
      </c>
      <c r="C14" s="3">
        <f>1/0.73405</f>
        <v>1.362305020093999</v>
      </c>
      <c r="D14" s="4" t="s">
        <v>176</v>
      </c>
      <c r="E14" s="1">
        <v>2.3164905588093765</v>
      </c>
      <c r="F14" s="1">
        <v>1.5346493765116576</v>
      </c>
    </row>
    <row r="15" spans="1:6" x14ac:dyDescent="0.3">
      <c r="A15" s="3">
        <v>7189542</v>
      </c>
      <c r="B15" s="2">
        <v>2580</v>
      </c>
      <c r="C15" s="3">
        <f>1/0.5543137</f>
        <v>1.804032626290853</v>
      </c>
      <c r="D15" s="4" t="s">
        <v>177</v>
      </c>
      <c r="E15" s="1">
        <v>1.41042777411523</v>
      </c>
      <c r="F15" s="1">
        <v>1.4620893862298876</v>
      </c>
    </row>
    <row r="16" spans="1:6" x14ac:dyDescent="0.3">
      <c r="A16" s="3">
        <v>7075300</v>
      </c>
      <c r="B16" s="3">
        <v>67900</v>
      </c>
      <c r="C16" s="3">
        <f>1/0.001594656</f>
        <v>627.0944956153553</v>
      </c>
      <c r="D16" s="4" t="s">
        <v>178</v>
      </c>
      <c r="E16" s="1">
        <v>17.07084324945237</v>
      </c>
      <c r="F16" s="1">
        <v>3.2911922378019214</v>
      </c>
    </row>
    <row r="17" spans="1:6" x14ac:dyDescent="0.3">
      <c r="A17" s="3">
        <v>7075000</v>
      </c>
      <c r="B17" s="2">
        <v>101000</v>
      </c>
      <c r="C17" s="3">
        <f>1/0.01663004</f>
        <v>60.132146404939498</v>
      </c>
      <c r="D17" s="4" t="s">
        <v>179</v>
      </c>
      <c r="E17" s="1">
        <v>35.083288530133593</v>
      </c>
      <c r="F17" s="1">
        <v>5.1327112397088275</v>
      </c>
    </row>
    <row r="18" spans="1:6" x14ac:dyDescent="0.3">
      <c r="A18" s="3">
        <v>7057500</v>
      </c>
      <c r="B18" s="3">
        <v>27800</v>
      </c>
      <c r="C18" s="3">
        <f>1/0.1977051</f>
        <v>5.058038462336075</v>
      </c>
      <c r="D18" s="4" t="s">
        <v>180</v>
      </c>
      <c r="E18" s="1">
        <v>30.1868842974214</v>
      </c>
      <c r="F18" s="1">
        <v>4.7518341096492218</v>
      </c>
    </row>
    <row r="19" spans="1:6" x14ac:dyDescent="0.3">
      <c r="A19" s="3">
        <v>7073500</v>
      </c>
      <c r="B19" s="2">
        <v>57300</v>
      </c>
      <c r="C19" s="3">
        <f>1/0.1610535</f>
        <v>6.2091168462653723</v>
      </c>
      <c r="D19" s="4" t="s">
        <v>181</v>
      </c>
      <c r="E19" s="1">
        <v>17.274180096909507</v>
      </c>
      <c r="F19" s="1">
        <v>3.3933054174796471</v>
      </c>
    </row>
    <row r="20" spans="1:6" x14ac:dyDescent="0.3">
      <c r="A20" s="3">
        <v>7069305</v>
      </c>
      <c r="B20" s="3">
        <v>39300</v>
      </c>
      <c r="C20" s="3">
        <f>1/0.266223</f>
        <v>3.7562494600391405</v>
      </c>
      <c r="D20" s="4" t="s">
        <v>182</v>
      </c>
      <c r="E20" s="1">
        <v>0.38840114602037001</v>
      </c>
      <c r="F20" s="1">
        <v>1.0421092959696392</v>
      </c>
    </row>
    <row r="21" spans="1:6" x14ac:dyDescent="0.3">
      <c r="A21" s="3">
        <v>7060710</v>
      </c>
      <c r="B21" s="2">
        <v>17800</v>
      </c>
      <c r="C21" s="3">
        <f>1/0.06463522</f>
        <v>15.471441112136697</v>
      </c>
      <c r="D21" s="4" t="s">
        <v>183</v>
      </c>
      <c r="E21" s="1">
        <v>4.1758518903279711</v>
      </c>
      <c r="F21" s="1">
        <v>1.7921477062345266</v>
      </c>
    </row>
    <row r="22" spans="1:6" x14ac:dyDescent="0.3">
      <c r="A22" s="3">
        <v>7014500</v>
      </c>
      <c r="B22" s="3">
        <v>66900</v>
      </c>
      <c r="C22" s="3">
        <f>1/0.03278118</f>
        <v>30.505308228684875</v>
      </c>
      <c r="D22" s="4" t="s">
        <v>184</v>
      </c>
      <c r="E22" s="1">
        <v>3.376467280847816</v>
      </c>
      <c r="F22" s="1">
        <v>1.6980060711319114</v>
      </c>
    </row>
    <row r="23" spans="1:6" x14ac:dyDescent="0.3">
      <c r="A23" s="3">
        <v>6927000</v>
      </c>
      <c r="B23" s="2">
        <v>35800</v>
      </c>
      <c r="C23" s="3">
        <f>1/0.03198999</f>
        <v>31.259778449446216</v>
      </c>
      <c r="D23" s="4" t="s">
        <v>185</v>
      </c>
      <c r="E23" s="1">
        <v>1.2245674883558229</v>
      </c>
      <c r="F23" s="1">
        <v>1.2297915942900635</v>
      </c>
    </row>
    <row r="24" spans="1:6" x14ac:dyDescent="0.3">
      <c r="A24" s="3">
        <v>6935830</v>
      </c>
      <c r="B24" s="3">
        <v>6370</v>
      </c>
      <c r="C24" s="3">
        <f>1/0.05431533</f>
        <v>18.411008457464956</v>
      </c>
      <c r="D24" s="4" t="s">
        <v>186</v>
      </c>
      <c r="E24" s="1">
        <v>1.7667912320166663</v>
      </c>
      <c r="F24" s="1">
        <v>1.2815032523073413</v>
      </c>
    </row>
    <row r="25" spans="1:6" x14ac:dyDescent="0.3">
      <c r="A25" s="3">
        <v>6918460</v>
      </c>
      <c r="B25" s="2">
        <v>8180</v>
      </c>
      <c r="C25" s="3">
        <f>1/0.4729241</f>
        <v>2.1145042090263533</v>
      </c>
      <c r="D25" s="4" t="s">
        <v>187</v>
      </c>
      <c r="E25" s="1">
        <v>2.9217165053493623</v>
      </c>
      <c r="F25" s="1">
        <v>1.7036558426378214</v>
      </c>
    </row>
    <row r="26" spans="1:6" x14ac:dyDescent="0.3">
      <c r="A26" s="3">
        <v>6910750</v>
      </c>
      <c r="B26" s="2" t="s">
        <v>6</v>
      </c>
      <c r="C26" s="2" t="s">
        <v>6</v>
      </c>
      <c r="D26" s="4" t="s">
        <v>188</v>
      </c>
      <c r="E26" s="1">
        <v>-6.8382517012115063E-2</v>
      </c>
      <c r="F26" s="1">
        <v>0.68877761161594631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Appalachian Highland</vt:lpstr>
      <vt:lpstr>Central Lowland</vt:lpstr>
      <vt:lpstr>Coastal Plain</vt:lpstr>
      <vt:lpstr>Interior Highlands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Ruma</dc:creator>
  <cp:lastModifiedBy>Ruma</cp:lastModifiedBy>
  <dcterms:created xsi:type="dcterms:W3CDTF">2022-06-21T02:53:23Z</dcterms:created>
  <dcterms:modified xsi:type="dcterms:W3CDTF">2022-06-21T03:00:31Z</dcterms:modified>
</cp:coreProperties>
</file>