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300" windowWidth="20730" windowHeight="11700"/>
  </bookViews>
  <sheets>
    <sheet name="PARAMETERS INPUT" sheetId="17" r:id="rId1"/>
    <sheet name="INPUT PARAMETERS" sheetId="4" r:id="rId2"/>
    <sheet name="hliquid1" sheetId="11" r:id="rId3"/>
    <sheet name="hvapour1" sheetId="10" r:id="rId4"/>
    <sheet name="sliquid1" sheetId="12" r:id="rId5"/>
    <sheet name="svapour1" sheetId="13" r:id="rId6"/>
    <sheet name="h-SAC" sheetId="16" r:id="rId7"/>
  </sheets>
  <externalReferences>
    <externalReference r:id="rId8"/>
    <externalReference r:id="rId9"/>
  </externalReferences>
  <definedNames>
    <definedName name="APRIL">'PARAMETERS INPUT'!$A$61:$AM$81</definedName>
    <definedName name="AUGUST">'PARAMETERS INPUT'!$A$112:$AM$120</definedName>
    <definedName name="DECEMBER">'PARAMETERS INPUT'!$A$122:$AM$122</definedName>
    <definedName name="FEBRUARY">'PARAMETERS INPUT'!$A$23:$AM$40</definedName>
    <definedName name="h">hliquid1!$C$3:$C$52</definedName>
    <definedName name="JANUARY">'PARAMETERS INPUT'!$C$5:$AM$22</definedName>
    <definedName name="JULY">'PARAMETERS INPUT'!$A$104:$AM$111</definedName>
    <definedName name="JUNE">'PARAMETERS INPUT'!$A$89:$AM$103</definedName>
    <definedName name="KnownA">hvapour1!$C$3:$C$52</definedName>
    <definedName name="KnownB">hvapour1!$B$3:$B$52</definedName>
    <definedName name="KnownX" localSheetId="2">hliquid1!$B$3:$B$12</definedName>
    <definedName name="KnownX" localSheetId="3">hvapour1!$B$3:$B$12</definedName>
    <definedName name="KnownX" localSheetId="1">#REF!</definedName>
    <definedName name="KnownX" localSheetId="4">sliquid1!$B$3:$B$12</definedName>
    <definedName name="KnownX" localSheetId="5">svapour1!$B$3:$B$12</definedName>
    <definedName name="KnownX">#REF!</definedName>
    <definedName name="KnownX1">#REF!</definedName>
    <definedName name="KnownX1SAC">'h-SAC'!$B$28:$B$36</definedName>
    <definedName name="knownx2">[1]Inter!$B$4:$B$10</definedName>
    <definedName name="KnownXhliquid" localSheetId="1">hliquid1!$B$3:$B$52</definedName>
    <definedName name="KnownXhvapour" localSheetId="1">hvapour1!$B$3:$B$52</definedName>
    <definedName name="KnownXSAC">'h-SAC'!$B$4:$B$12</definedName>
    <definedName name="KnownXsliquid" localSheetId="1">sliquid1!$B$3:$B$12</definedName>
    <definedName name="KnownXsliquidtropy" localSheetId="1">sliquid1!$B$3:$B$52</definedName>
    <definedName name="KnownXsvapour" localSheetId="1">svapour1!$B$3:$B$52</definedName>
    <definedName name="KnownXt" localSheetId="1">hliquid1!$B$3:$B$12</definedName>
    <definedName name="KnownY" localSheetId="2">hliquid1!$C$3:$C$12</definedName>
    <definedName name="KnownY" localSheetId="3">hvapour1!$C$3:$C$12</definedName>
    <definedName name="KnownY" localSheetId="1">hliquid1!$C$3:$C$12</definedName>
    <definedName name="KnownY" localSheetId="4">sliquid1!$C$3:$C$12</definedName>
    <definedName name="KnownY" localSheetId="5">svapour1!$C$3:$C$12</definedName>
    <definedName name="KnownY">#REF!</definedName>
    <definedName name="KnownY1">#REF!</definedName>
    <definedName name="KnownY1SAC">'h-SAC'!$C$28:$C$36</definedName>
    <definedName name="knownY2">[1]Inter!$C$4:$C$10</definedName>
    <definedName name="KnownYhliquid" localSheetId="1">hliquid1!$C$3:$C$52</definedName>
    <definedName name="KnownYhvapour" localSheetId="1">hvapour1!$C$3:$C$52</definedName>
    <definedName name="KnownYSAC">'h-SAC'!$C$4:$C$12</definedName>
    <definedName name="KnownYsliquidtropy" localSheetId="1">sliquid1!$C$3:$C$52</definedName>
    <definedName name="KnownYsvapour" localSheetId="1">svapour1!$C$3:$C$52</definedName>
    <definedName name="MARCH">'PARAMETERS INPUT'!$A$41:$AM$60</definedName>
    <definedName name="MAY">'PARAMETERS INPUT'!$A$82:$AM$88</definedName>
    <definedName name="NOVEMBER">'PARAMETERS INPUT'!$A$121:$AM$121</definedName>
    <definedName name="OCTOBER">'PARAMETERS INPUT'!#REF!</definedName>
    <definedName name="SEPTEMBER">'PARAMETERS INPUT'!#REF!</definedName>
    <definedName name="Suhu">svapour1!$B$3:$B$52</definedName>
    <definedName name="Svapour">svapour1!$C$3:$C$52</definedName>
    <definedName name="Temp">hliquid1!$B$3:$B$52</definedName>
  </definedNames>
  <calcPr calcId="144525"/>
  <fileRecoveryPr repairLoad="1"/>
</workbook>
</file>

<file path=xl/calcChain.xml><?xml version="1.0" encoding="utf-8"?>
<calcChain xmlns="http://schemas.openxmlformats.org/spreadsheetml/2006/main">
  <c r="F45" i="16" l="1"/>
  <c r="F21" i="16"/>
  <c r="F23" i="13"/>
  <c r="F22" i="13"/>
  <c r="F21" i="13"/>
  <c r="F20" i="13"/>
  <c r="F19" i="13"/>
  <c r="F23" i="12"/>
  <c r="F22" i="12"/>
  <c r="F21" i="12"/>
  <c r="F20" i="12"/>
  <c r="F19" i="12"/>
  <c r="F23" i="10"/>
  <c r="F22" i="10"/>
  <c r="F21" i="10"/>
  <c r="F20" i="10"/>
  <c r="F19" i="10"/>
  <c r="F23" i="11"/>
  <c r="F22" i="11"/>
  <c r="F21" i="11"/>
  <c r="F20" i="11"/>
  <c r="F19" i="11"/>
  <c r="DF372" i="4"/>
  <c r="CY372" i="4"/>
  <c r="CR372" i="4"/>
  <c r="GM34" i="4"/>
  <c r="GJ34" i="4"/>
  <c r="GI34" i="4"/>
  <c r="GG34" i="4"/>
  <c r="GD34" i="4"/>
  <c r="FU34" i="4"/>
  <c r="FT34" i="4"/>
  <c r="FS34" i="4"/>
  <c r="FR34" i="4"/>
  <c r="FQ34" i="4"/>
  <c r="FO34" i="4"/>
  <c r="FM34" i="4"/>
  <c r="FZ34" i="4" s="1"/>
  <c r="FL34" i="4"/>
  <c r="FJ34" i="4"/>
  <c r="FH34" i="4"/>
  <c r="FG34" i="4"/>
  <c r="FE34" i="4"/>
  <c r="FC34" i="4"/>
  <c r="FB34" i="4"/>
  <c r="EZ34" i="4"/>
  <c r="EX34" i="4"/>
  <c r="EW34" i="4"/>
  <c r="ET34" i="4"/>
  <c r="ER34" i="4"/>
  <c r="FX34" i="4" s="1"/>
  <c r="EQ34" i="4"/>
  <c r="EP34" i="4"/>
  <c r="EN34" i="4"/>
  <c r="EL34" i="4"/>
  <c r="FV34" i="4" s="1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Q34" i="4"/>
  <c r="GE34" i="4" s="1"/>
  <c r="DP34" i="4"/>
  <c r="DN34" i="4"/>
  <c r="DM34" i="4"/>
  <c r="DL34" i="4"/>
  <c r="DK34" i="4"/>
  <c r="DJ34" i="4"/>
  <c r="DG34" i="4"/>
  <c r="BH34" i="4"/>
  <c r="BG34" i="4"/>
  <c r="BF34" i="4"/>
  <c r="BE34" i="4"/>
  <c r="BD34" i="4"/>
  <c r="BB34" i="4"/>
  <c r="AZ34" i="4"/>
  <c r="AY34" i="4"/>
  <c r="AX34" i="4"/>
  <c r="AV34" i="4"/>
  <c r="AT34" i="4"/>
  <c r="AS34" i="4"/>
  <c r="AR34" i="4"/>
  <c r="AQ34" i="4"/>
  <c r="U34" i="4"/>
  <c r="GM33" i="4"/>
  <c r="GJ33" i="4"/>
  <c r="GI33" i="4"/>
  <c r="GG33" i="4"/>
  <c r="GD33" i="4"/>
  <c r="FU33" i="4"/>
  <c r="FT33" i="4"/>
  <c r="FS33" i="4"/>
  <c r="FR33" i="4"/>
  <c r="FQ33" i="4"/>
  <c r="FO33" i="4"/>
  <c r="FM33" i="4"/>
  <c r="FZ33" i="4" s="1"/>
  <c r="FL33" i="4"/>
  <c r="FJ33" i="4"/>
  <c r="FH33" i="4"/>
  <c r="FG33" i="4"/>
  <c r="FE33" i="4"/>
  <c r="FC33" i="4"/>
  <c r="FB33" i="4"/>
  <c r="EZ33" i="4"/>
  <c r="EX33" i="4"/>
  <c r="EW33" i="4"/>
  <c r="ET33" i="4"/>
  <c r="ER33" i="4"/>
  <c r="FX33" i="4" s="1"/>
  <c r="EQ33" i="4"/>
  <c r="EP33" i="4"/>
  <c r="EN33" i="4"/>
  <c r="EL33" i="4"/>
  <c r="FV33" i="4" s="1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Q33" i="4"/>
  <c r="GE33" i="4" s="1"/>
  <c r="DP33" i="4"/>
  <c r="DN33" i="4"/>
  <c r="DM33" i="4"/>
  <c r="DL33" i="4"/>
  <c r="DK33" i="4"/>
  <c r="DJ33" i="4"/>
  <c r="DG33" i="4"/>
  <c r="BH33" i="4"/>
  <c r="BG33" i="4"/>
  <c r="BF33" i="4"/>
  <c r="BE33" i="4"/>
  <c r="BD33" i="4"/>
  <c r="BB33" i="4"/>
  <c r="AZ33" i="4"/>
  <c r="AY33" i="4"/>
  <c r="AX33" i="4"/>
  <c r="AV33" i="4"/>
  <c r="AT33" i="4"/>
  <c r="AS33" i="4"/>
  <c r="AR33" i="4"/>
  <c r="AQ33" i="4"/>
  <c r="U33" i="4"/>
  <c r="GM32" i="4"/>
  <c r="GJ32" i="4"/>
  <c r="GI32" i="4"/>
  <c r="GG32" i="4"/>
  <c r="GD32" i="4"/>
  <c r="FU32" i="4"/>
  <c r="FT32" i="4"/>
  <c r="FS32" i="4"/>
  <c r="FR32" i="4"/>
  <c r="FQ32" i="4"/>
  <c r="FO32" i="4"/>
  <c r="FM32" i="4"/>
  <c r="FL32" i="4"/>
  <c r="FJ32" i="4"/>
  <c r="FH32" i="4"/>
  <c r="FG32" i="4"/>
  <c r="FE32" i="4"/>
  <c r="FC32" i="4"/>
  <c r="FB32" i="4"/>
  <c r="EZ32" i="4"/>
  <c r="EX32" i="4"/>
  <c r="EW32" i="4"/>
  <c r="ET32" i="4"/>
  <c r="ER32" i="4"/>
  <c r="EQ32" i="4"/>
  <c r="EP32" i="4"/>
  <c r="EN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Q32" i="4"/>
  <c r="GE32" i="4" s="1"/>
  <c r="DP32" i="4"/>
  <c r="DN32" i="4"/>
  <c r="DM32" i="4"/>
  <c r="DL32" i="4"/>
  <c r="DK32" i="4"/>
  <c r="DJ32" i="4"/>
  <c r="DG32" i="4"/>
  <c r="BH32" i="4"/>
  <c r="BG32" i="4"/>
  <c r="BF32" i="4"/>
  <c r="BE32" i="4"/>
  <c r="BD32" i="4"/>
  <c r="BB32" i="4"/>
  <c r="AZ32" i="4"/>
  <c r="AY32" i="4"/>
  <c r="AX32" i="4"/>
  <c r="AV32" i="4"/>
  <c r="AT32" i="4"/>
  <c r="AS32" i="4"/>
  <c r="AR32" i="4"/>
  <c r="AQ32" i="4"/>
  <c r="U32" i="4"/>
  <c r="GM31" i="4"/>
  <c r="GJ31" i="4"/>
  <c r="GI31" i="4"/>
  <c r="GG31" i="4"/>
  <c r="GD31" i="4"/>
  <c r="FU31" i="4"/>
  <c r="FT31" i="4"/>
  <c r="FS31" i="4"/>
  <c r="FR31" i="4"/>
  <c r="FQ31" i="4"/>
  <c r="FO31" i="4"/>
  <c r="FY31" i="4" s="1"/>
  <c r="FM31" i="4"/>
  <c r="FL31" i="4"/>
  <c r="FJ31" i="4"/>
  <c r="FH31" i="4"/>
  <c r="FG31" i="4"/>
  <c r="FE31" i="4"/>
  <c r="FC31" i="4"/>
  <c r="FB31" i="4"/>
  <c r="EZ31" i="4"/>
  <c r="EX31" i="4"/>
  <c r="EW31" i="4"/>
  <c r="ET31" i="4"/>
  <c r="ER31" i="4"/>
  <c r="EQ31" i="4"/>
  <c r="EP31" i="4"/>
  <c r="EN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Q31" i="4"/>
  <c r="GE31" i="4" s="1"/>
  <c r="DP31" i="4"/>
  <c r="DN31" i="4"/>
  <c r="DM31" i="4"/>
  <c r="DL31" i="4"/>
  <c r="DK31" i="4"/>
  <c r="DJ31" i="4"/>
  <c r="DG31" i="4"/>
  <c r="BH31" i="4"/>
  <c r="BG31" i="4"/>
  <c r="BF31" i="4"/>
  <c r="BE31" i="4"/>
  <c r="BD31" i="4"/>
  <c r="BB31" i="4"/>
  <c r="AZ31" i="4"/>
  <c r="AY31" i="4"/>
  <c r="AX31" i="4"/>
  <c r="AV31" i="4"/>
  <c r="AT31" i="4"/>
  <c r="AS31" i="4"/>
  <c r="AR31" i="4"/>
  <c r="AQ31" i="4"/>
  <c r="U31" i="4"/>
  <c r="GM30" i="4"/>
  <c r="GJ30" i="4"/>
  <c r="GI30" i="4"/>
  <c r="GG30" i="4"/>
  <c r="GD30" i="4"/>
  <c r="FU30" i="4"/>
  <c r="FT30" i="4"/>
  <c r="FS30" i="4"/>
  <c r="FR30" i="4"/>
  <c r="FQ30" i="4"/>
  <c r="FO30" i="4"/>
  <c r="FM30" i="4"/>
  <c r="FZ30" i="4" s="1"/>
  <c r="FL30" i="4"/>
  <c r="FJ30" i="4"/>
  <c r="FH30" i="4"/>
  <c r="FG30" i="4"/>
  <c r="FE30" i="4"/>
  <c r="FC30" i="4"/>
  <c r="FB30" i="4"/>
  <c r="EZ30" i="4"/>
  <c r="EX30" i="4"/>
  <c r="EW30" i="4"/>
  <c r="ET30" i="4"/>
  <c r="ER30" i="4"/>
  <c r="FX30" i="4" s="1"/>
  <c r="EQ30" i="4"/>
  <c r="EP30" i="4"/>
  <c r="EN30" i="4"/>
  <c r="EL30" i="4"/>
  <c r="FV30" i="4" s="1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Q30" i="4"/>
  <c r="GE30" i="4" s="1"/>
  <c r="DP30" i="4"/>
  <c r="DN30" i="4"/>
  <c r="DM30" i="4"/>
  <c r="DL30" i="4"/>
  <c r="DK30" i="4"/>
  <c r="DJ30" i="4"/>
  <c r="DG30" i="4"/>
  <c r="BH30" i="4"/>
  <c r="BG30" i="4"/>
  <c r="BF30" i="4"/>
  <c r="BE30" i="4"/>
  <c r="BD30" i="4"/>
  <c r="BB30" i="4"/>
  <c r="AZ30" i="4"/>
  <c r="AY30" i="4"/>
  <c r="AX30" i="4"/>
  <c r="AV30" i="4"/>
  <c r="AT30" i="4"/>
  <c r="AS30" i="4"/>
  <c r="AR30" i="4"/>
  <c r="AQ30" i="4"/>
  <c r="U30" i="4"/>
  <c r="GM29" i="4"/>
  <c r="GJ29" i="4"/>
  <c r="GI29" i="4"/>
  <c r="GG29" i="4"/>
  <c r="GD29" i="4"/>
  <c r="FU29" i="4"/>
  <c r="FT29" i="4"/>
  <c r="FS29" i="4"/>
  <c r="FR29" i="4"/>
  <c r="FQ29" i="4"/>
  <c r="FO29" i="4"/>
  <c r="FM29" i="4"/>
  <c r="FZ29" i="4" s="1"/>
  <c r="FL29" i="4"/>
  <c r="FJ29" i="4"/>
  <c r="FH29" i="4"/>
  <c r="FG29" i="4"/>
  <c r="FE29" i="4"/>
  <c r="FC29" i="4"/>
  <c r="FB29" i="4"/>
  <c r="EZ29" i="4"/>
  <c r="EX29" i="4"/>
  <c r="EW29" i="4"/>
  <c r="ET29" i="4"/>
  <c r="ER29" i="4"/>
  <c r="FX29" i="4" s="1"/>
  <c r="EQ29" i="4"/>
  <c r="EP29" i="4"/>
  <c r="EN29" i="4"/>
  <c r="EL29" i="4"/>
  <c r="FV29" i="4" s="1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Q29" i="4"/>
  <c r="GE29" i="4" s="1"/>
  <c r="DP29" i="4"/>
  <c r="DN29" i="4"/>
  <c r="DM29" i="4"/>
  <c r="DL29" i="4"/>
  <c r="DK29" i="4"/>
  <c r="DJ29" i="4"/>
  <c r="DG29" i="4"/>
  <c r="BH29" i="4"/>
  <c r="BG29" i="4"/>
  <c r="BF29" i="4"/>
  <c r="BE29" i="4"/>
  <c r="BD29" i="4"/>
  <c r="BB29" i="4"/>
  <c r="AZ29" i="4"/>
  <c r="AY29" i="4"/>
  <c r="AX29" i="4"/>
  <c r="AV29" i="4"/>
  <c r="AT29" i="4"/>
  <c r="AS29" i="4"/>
  <c r="AR29" i="4"/>
  <c r="AQ29" i="4"/>
  <c r="U29" i="4"/>
  <c r="GM28" i="4"/>
  <c r="GJ28" i="4"/>
  <c r="GI28" i="4"/>
  <c r="GG28" i="4"/>
  <c r="GD28" i="4"/>
  <c r="FU28" i="4"/>
  <c r="FT28" i="4"/>
  <c r="FS28" i="4"/>
  <c r="FR28" i="4"/>
  <c r="FQ28" i="4"/>
  <c r="FO28" i="4"/>
  <c r="FM28" i="4"/>
  <c r="FL28" i="4"/>
  <c r="FJ28" i="4"/>
  <c r="FH28" i="4"/>
  <c r="FG28" i="4"/>
  <c r="FE28" i="4"/>
  <c r="FC28" i="4"/>
  <c r="FB28" i="4"/>
  <c r="EZ28" i="4"/>
  <c r="EX28" i="4"/>
  <c r="EW28" i="4"/>
  <c r="ET28" i="4"/>
  <c r="ER28" i="4"/>
  <c r="FX28" i="4" s="1"/>
  <c r="EQ28" i="4"/>
  <c r="EP28" i="4"/>
  <c r="EN28" i="4"/>
  <c r="EL28" i="4"/>
  <c r="FV28" i="4" s="1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Q28" i="4"/>
  <c r="GE28" i="4" s="1"/>
  <c r="GF28" i="4" s="1"/>
  <c r="DP28" i="4"/>
  <c r="DN28" i="4"/>
  <c r="DM28" i="4"/>
  <c r="DL28" i="4"/>
  <c r="DK28" i="4"/>
  <c r="DJ28" i="4"/>
  <c r="DG28" i="4"/>
  <c r="BH28" i="4"/>
  <c r="BG28" i="4"/>
  <c r="BF28" i="4"/>
  <c r="BE28" i="4"/>
  <c r="BD28" i="4"/>
  <c r="BB28" i="4"/>
  <c r="AZ28" i="4"/>
  <c r="AY28" i="4"/>
  <c r="AX28" i="4"/>
  <c r="AV28" i="4"/>
  <c r="AT28" i="4"/>
  <c r="AS28" i="4"/>
  <c r="AR28" i="4"/>
  <c r="AQ28" i="4"/>
  <c r="U28" i="4"/>
  <c r="GM27" i="4"/>
  <c r="GJ27" i="4"/>
  <c r="GI27" i="4"/>
  <c r="GG27" i="4"/>
  <c r="GD27" i="4"/>
  <c r="FU27" i="4"/>
  <c r="FT27" i="4"/>
  <c r="FS27" i="4"/>
  <c r="FR27" i="4"/>
  <c r="FQ27" i="4"/>
  <c r="FO27" i="4"/>
  <c r="FM27" i="4"/>
  <c r="FL27" i="4"/>
  <c r="FJ27" i="4"/>
  <c r="FH27" i="4"/>
  <c r="FG27" i="4"/>
  <c r="FE27" i="4"/>
  <c r="FC27" i="4"/>
  <c r="FB27" i="4"/>
  <c r="EZ27" i="4"/>
  <c r="EX27" i="4"/>
  <c r="EW27" i="4"/>
  <c r="ET27" i="4"/>
  <c r="ER27" i="4"/>
  <c r="FX27" i="4" s="1"/>
  <c r="EQ27" i="4"/>
  <c r="EP27" i="4"/>
  <c r="EN27" i="4"/>
  <c r="EL27" i="4"/>
  <c r="FV27" i="4" s="1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Q27" i="4"/>
  <c r="GE27" i="4" s="1"/>
  <c r="GF27" i="4" s="1"/>
  <c r="DP27" i="4"/>
  <c r="DN27" i="4"/>
  <c r="DM27" i="4"/>
  <c r="DL27" i="4"/>
  <c r="DK27" i="4"/>
  <c r="DJ27" i="4"/>
  <c r="DG27" i="4"/>
  <c r="BH27" i="4"/>
  <c r="BG27" i="4"/>
  <c r="BF27" i="4"/>
  <c r="BE27" i="4"/>
  <c r="BD27" i="4"/>
  <c r="BB27" i="4"/>
  <c r="AZ27" i="4"/>
  <c r="AY27" i="4"/>
  <c r="AX27" i="4"/>
  <c r="AV27" i="4"/>
  <c r="AT27" i="4"/>
  <c r="AS27" i="4"/>
  <c r="AR27" i="4"/>
  <c r="AQ27" i="4"/>
  <c r="U27" i="4"/>
  <c r="GM26" i="4"/>
  <c r="GJ26" i="4"/>
  <c r="GI26" i="4"/>
  <c r="GG26" i="4"/>
  <c r="GD26" i="4"/>
  <c r="FU26" i="4"/>
  <c r="FT26" i="4"/>
  <c r="FS26" i="4"/>
  <c r="FR26" i="4"/>
  <c r="FQ26" i="4"/>
  <c r="FO26" i="4"/>
  <c r="FM26" i="4"/>
  <c r="FL26" i="4"/>
  <c r="FJ26" i="4"/>
  <c r="FH26" i="4"/>
  <c r="FG26" i="4"/>
  <c r="FE26" i="4"/>
  <c r="FC26" i="4"/>
  <c r="FB26" i="4"/>
  <c r="EZ26" i="4"/>
  <c r="EX26" i="4"/>
  <c r="EW26" i="4"/>
  <c r="ET26" i="4"/>
  <c r="ER26" i="4"/>
  <c r="FX26" i="4" s="1"/>
  <c r="EQ26" i="4"/>
  <c r="EP26" i="4"/>
  <c r="EN26" i="4"/>
  <c r="EL26" i="4"/>
  <c r="FV26" i="4" s="1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Q26" i="4"/>
  <c r="GE26" i="4" s="1"/>
  <c r="GF26" i="4" s="1"/>
  <c r="DP26" i="4"/>
  <c r="DN26" i="4"/>
  <c r="DM26" i="4"/>
  <c r="DL26" i="4"/>
  <c r="DK26" i="4"/>
  <c r="DJ26" i="4"/>
  <c r="DG26" i="4"/>
  <c r="BH26" i="4"/>
  <c r="BG26" i="4"/>
  <c r="BF26" i="4"/>
  <c r="BE26" i="4"/>
  <c r="BD26" i="4"/>
  <c r="BB26" i="4"/>
  <c r="AZ26" i="4"/>
  <c r="AY26" i="4"/>
  <c r="AX26" i="4"/>
  <c r="AV26" i="4"/>
  <c r="AT26" i="4"/>
  <c r="AS26" i="4"/>
  <c r="AR26" i="4"/>
  <c r="AQ26" i="4"/>
  <c r="U26" i="4"/>
  <c r="GM25" i="4"/>
  <c r="GJ25" i="4"/>
  <c r="GI25" i="4"/>
  <c r="GG25" i="4"/>
  <c r="GD25" i="4"/>
  <c r="FU25" i="4"/>
  <c r="FT25" i="4"/>
  <c r="FS25" i="4"/>
  <c r="FR25" i="4"/>
  <c r="FQ25" i="4"/>
  <c r="FO25" i="4"/>
  <c r="FM25" i="4"/>
  <c r="FL25" i="4"/>
  <c r="FJ25" i="4"/>
  <c r="FH25" i="4"/>
  <c r="FG25" i="4"/>
  <c r="FE25" i="4"/>
  <c r="FC25" i="4"/>
  <c r="FB25" i="4"/>
  <c r="EZ25" i="4"/>
  <c r="EX25" i="4"/>
  <c r="EW25" i="4"/>
  <c r="ET25" i="4"/>
  <c r="ER25" i="4"/>
  <c r="FX25" i="4" s="1"/>
  <c r="EQ25" i="4"/>
  <c r="EP25" i="4"/>
  <c r="EN25" i="4"/>
  <c r="EL25" i="4"/>
  <c r="FV25" i="4" s="1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Q25" i="4"/>
  <c r="GE25" i="4" s="1"/>
  <c r="GF25" i="4" s="1"/>
  <c r="DP25" i="4"/>
  <c r="DN25" i="4"/>
  <c r="DM25" i="4"/>
  <c r="DL25" i="4"/>
  <c r="DK25" i="4"/>
  <c r="DJ25" i="4"/>
  <c r="DG25" i="4"/>
  <c r="BH25" i="4"/>
  <c r="BG25" i="4"/>
  <c r="BF25" i="4"/>
  <c r="BE25" i="4"/>
  <c r="BD25" i="4"/>
  <c r="BB25" i="4"/>
  <c r="AZ25" i="4"/>
  <c r="AY25" i="4"/>
  <c r="AX25" i="4"/>
  <c r="AV25" i="4"/>
  <c r="AT25" i="4"/>
  <c r="AS25" i="4"/>
  <c r="AR25" i="4"/>
  <c r="AQ25" i="4"/>
  <c r="U25" i="4"/>
  <c r="GM24" i="4"/>
  <c r="GJ24" i="4"/>
  <c r="GI24" i="4"/>
  <c r="GG24" i="4"/>
  <c r="GD24" i="4"/>
  <c r="FU24" i="4"/>
  <c r="FT24" i="4"/>
  <c r="FS24" i="4"/>
  <c r="FR24" i="4"/>
  <c r="FQ24" i="4"/>
  <c r="FO24" i="4"/>
  <c r="FM24" i="4"/>
  <c r="FL24" i="4"/>
  <c r="FJ24" i="4"/>
  <c r="FH24" i="4"/>
  <c r="FG24" i="4"/>
  <c r="FE24" i="4"/>
  <c r="FC24" i="4"/>
  <c r="FB24" i="4"/>
  <c r="EZ24" i="4"/>
  <c r="EX24" i="4"/>
  <c r="EW24" i="4"/>
  <c r="ET24" i="4"/>
  <c r="ER24" i="4"/>
  <c r="FX24" i="4" s="1"/>
  <c r="EQ24" i="4"/>
  <c r="EP24" i="4"/>
  <c r="EN24" i="4"/>
  <c r="EL24" i="4"/>
  <c r="FV24" i="4" s="1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Q24" i="4"/>
  <c r="GE24" i="4" s="1"/>
  <c r="GF24" i="4" s="1"/>
  <c r="DP24" i="4"/>
  <c r="DN24" i="4"/>
  <c r="DM24" i="4"/>
  <c r="DL24" i="4"/>
  <c r="DK24" i="4"/>
  <c r="DJ24" i="4"/>
  <c r="DG24" i="4"/>
  <c r="BH24" i="4"/>
  <c r="BG24" i="4"/>
  <c r="BF24" i="4"/>
  <c r="BE24" i="4"/>
  <c r="BD24" i="4"/>
  <c r="BB24" i="4"/>
  <c r="AZ24" i="4"/>
  <c r="AY24" i="4"/>
  <c r="AX24" i="4"/>
  <c r="AV24" i="4"/>
  <c r="AT24" i="4"/>
  <c r="AS24" i="4"/>
  <c r="AR24" i="4"/>
  <c r="AQ24" i="4"/>
  <c r="U24" i="4"/>
  <c r="GM23" i="4"/>
  <c r="GJ23" i="4"/>
  <c r="GI23" i="4"/>
  <c r="GG23" i="4"/>
  <c r="GD23" i="4"/>
  <c r="FU23" i="4"/>
  <c r="FT23" i="4"/>
  <c r="FS23" i="4"/>
  <c r="FR23" i="4"/>
  <c r="FQ23" i="4"/>
  <c r="FO23" i="4"/>
  <c r="FM23" i="4"/>
  <c r="FL23" i="4"/>
  <c r="FJ23" i="4"/>
  <c r="FH23" i="4"/>
  <c r="FG23" i="4"/>
  <c r="FE23" i="4"/>
  <c r="FC23" i="4"/>
  <c r="FB23" i="4"/>
  <c r="EZ23" i="4"/>
  <c r="EX23" i="4"/>
  <c r="EW23" i="4"/>
  <c r="ET23" i="4"/>
  <c r="ER23" i="4"/>
  <c r="FX23" i="4" s="1"/>
  <c r="EQ23" i="4"/>
  <c r="EP23" i="4"/>
  <c r="EN23" i="4"/>
  <c r="EL23" i="4"/>
  <c r="FV23" i="4" s="1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Q23" i="4"/>
  <c r="GE23" i="4" s="1"/>
  <c r="GF23" i="4" s="1"/>
  <c r="DP23" i="4"/>
  <c r="DN23" i="4"/>
  <c r="DM23" i="4"/>
  <c r="DL23" i="4"/>
  <c r="DK23" i="4"/>
  <c r="DJ23" i="4"/>
  <c r="DG23" i="4"/>
  <c r="BH23" i="4"/>
  <c r="BG23" i="4"/>
  <c r="BF23" i="4"/>
  <c r="BE23" i="4"/>
  <c r="BD23" i="4"/>
  <c r="BB23" i="4"/>
  <c r="AZ23" i="4"/>
  <c r="AY23" i="4"/>
  <c r="AX23" i="4"/>
  <c r="AV23" i="4"/>
  <c r="AT23" i="4"/>
  <c r="AS23" i="4"/>
  <c r="AR23" i="4"/>
  <c r="AQ23" i="4"/>
  <c r="U23" i="4"/>
  <c r="GM22" i="4"/>
  <c r="GJ22" i="4"/>
  <c r="GI22" i="4"/>
  <c r="GG22" i="4"/>
  <c r="GD22" i="4"/>
  <c r="FU22" i="4"/>
  <c r="FT22" i="4"/>
  <c r="FS22" i="4"/>
  <c r="FR22" i="4"/>
  <c r="FQ22" i="4"/>
  <c r="FO22" i="4"/>
  <c r="FM22" i="4"/>
  <c r="FL22" i="4"/>
  <c r="FJ22" i="4"/>
  <c r="FH22" i="4"/>
  <c r="FG22" i="4"/>
  <c r="FE22" i="4"/>
  <c r="FC22" i="4"/>
  <c r="FB22" i="4"/>
  <c r="EZ22" i="4"/>
  <c r="EX22" i="4"/>
  <c r="EW22" i="4"/>
  <c r="ET22" i="4"/>
  <c r="ER22" i="4"/>
  <c r="FX22" i="4" s="1"/>
  <c r="EQ22" i="4"/>
  <c r="EP22" i="4"/>
  <c r="EN22" i="4"/>
  <c r="EL22" i="4"/>
  <c r="FV22" i="4" s="1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Q22" i="4"/>
  <c r="GE22" i="4" s="1"/>
  <c r="GF22" i="4" s="1"/>
  <c r="DP22" i="4"/>
  <c r="DN22" i="4"/>
  <c r="DM22" i="4"/>
  <c r="DL22" i="4"/>
  <c r="DK22" i="4"/>
  <c r="DJ22" i="4"/>
  <c r="DG22" i="4"/>
  <c r="BH22" i="4"/>
  <c r="BG22" i="4"/>
  <c r="BF22" i="4"/>
  <c r="BE22" i="4"/>
  <c r="BD22" i="4"/>
  <c r="BB22" i="4"/>
  <c r="AZ22" i="4"/>
  <c r="AY22" i="4"/>
  <c r="AX22" i="4"/>
  <c r="AV22" i="4"/>
  <c r="AT22" i="4"/>
  <c r="AS22" i="4"/>
  <c r="AR22" i="4"/>
  <c r="AQ22" i="4"/>
  <c r="U22" i="4"/>
  <c r="GM21" i="4"/>
  <c r="GJ21" i="4"/>
  <c r="GI21" i="4"/>
  <c r="GG21" i="4"/>
  <c r="GD21" i="4"/>
  <c r="FU21" i="4"/>
  <c r="FT21" i="4"/>
  <c r="FS21" i="4"/>
  <c r="FR21" i="4"/>
  <c r="FQ21" i="4"/>
  <c r="FO21" i="4"/>
  <c r="FM21" i="4"/>
  <c r="FL21" i="4"/>
  <c r="FJ21" i="4"/>
  <c r="FH21" i="4"/>
  <c r="FG21" i="4"/>
  <c r="FE21" i="4"/>
  <c r="FC21" i="4"/>
  <c r="FB21" i="4"/>
  <c r="EZ21" i="4"/>
  <c r="EX21" i="4"/>
  <c r="EW21" i="4"/>
  <c r="ET21" i="4"/>
  <c r="ER21" i="4"/>
  <c r="FX21" i="4" s="1"/>
  <c r="EQ21" i="4"/>
  <c r="EP21" i="4"/>
  <c r="EN21" i="4"/>
  <c r="EL21" i="4"/>
  <c r="FV21" i="4" s="1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Q21" i="4"/>
  <c r="GE21" i="4" s="1"/>
  <c r="GF21" i="4" s="1"/>
  <c r="DP21" i="4"/>
  <c r="DN21" i="4"/>
  <c r="DM21" i="4"/>
  <c r="DL21" i="4"/>
  <c r="DK21" i="4"/>
  <c r="DJ21" i="4"/>
  <c r="DG21" i="4"/>
  <c r="BH21" i="4"/>
  <c r="BG21" i="4"/>
  <c r="BF21" i="4"/>
  <c r="BE21" i="4"/>
  <c r="BD21" i="4"/>
  <c r="BB21" i="4"/>
  <c r="AZ21" i="4"/>
  <c r="AY21" i="4"/>
  <c r="AX21" i="4"/>
  <c r="AV21" i="4"/>
  <c r="AT21" i="4"/>
  <c r="AS21" i="4"/>
  <c r="AR21" i="4"/>
  <c r="AQ21" i="4"/>
  <c r="U21" i="4"/>
  <c r="GM20" i="4"/>
  <c r="GJ20" i="4"/>
  <c r="GI20" i="4"/>
  <c r="GG20" i="4"/>
  <c r="GD20" i="4"/>
  <c r="FU20" i="4"/>
  <c r="FT20" i="4"/>
  <c r="FS20" i="4"/>
  <c r="FR20" i="4"/>
  <c r="FQ20" i="4"/>
  <c r="FO20" i="4"/>
  <c r="FM20" i="4"/>
  <c r="FL20" i="4"/>
  <c r="FJ20" i="4"/>
  <c r="FH20" i="4"/>
  <c r="FG20" i="4"/>
  <c r="FE20" i="4"/>
  <c r="FC20" i="4"/>
  <c r="FB20" i="4"/>
  <c r="EZ20" i="4"/>
  <c r="EX20" i="4"/>
  <c r="EW20" i="4"/>
  <c r="ET20" i="4"/>
  <c r="ER20" i="4"/>
  <c r="FX20" i="4" s="1"/>
  <c r="EQ20" i="4"/>
  <c r="EP20" i="4"/>
  <c r="EN20" i="4"/>
  <c r="EL20" i="4"/>
  <c r="FV20" i="4" s="1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Q20" i="4"/>
  <c r="GE20" i="4" s="1"/>
  <c r="GF20" i="4" s="1"/>
  <c r="DP20" i="4"/>
  <c r="DN20" i="4"/>
  <c r="DM20" i="4"/>
  <c r="DL20" i="4"/>
  <c r="DK20" i="4"/>
  <c r="DJ20" i="4"/>
  <c r="DG20" i="4"/>
  <c r="BH20" i="4"/>
  <c r="BG20" i="4"/>
  <c r="BF20" i="4"/>
  <c r="BE20" i="4"/>
  <c r="BD20" i="4"/>
  <c r="BB20" i="4"/>
  <c r="AZ20" i="4"/>
  <c r="AY20" i="4"/>
  <c r="AX20" i="4"/>
  <c r="AV20" i="4"/>
  <c r="AT20" i="4"/>
  <c r="AS20" i="4"/>
  <c r="AR20" i="4"/>
  <c r="AQ20" i="4"/>
  <c r="U20" i="4"/>
  <c r="GM19" i="4"/>
  <c r="GJ19" i="4"/>
  <c r="GI19" i="4"/>
  <c r="GG19" i="4"/>
  <c r="GD19" i="4"/>
  <c r="FU19" i="4"/>
  <c r="FT19" i="4"/>
  <c r="FS19" i="4"/>
  <c r="FR19" i="4"/>
  <c r="FQ19" i="4"/>
  <c r="FO19" i="4"/>
  <c r="FM19" i="4"/>
  <c r="FL19" i="4"/>
  <c r="FJ19" i="4"/>
  <c r="FH19" i="4"/>
  <c r="FG19" i="4"/>
  <c r="FE19" i="4"/>
  <c r="FC19" i="4"/>
  <c r="FB19" i="4"/>
  <c r="EZ19" i="4"/>
  <c r="EX19" i="4"/>
  <c r="EW19" i="4"/>
  <c r="ET19" i="4"/>
  <c r="ER19" i="4"/>
  <c r="FX19" i="4" s="1"/>
  <c r="EQ19" i="4"/>
  <c r="EP19" i="4"/>
  <c r="EN19" i="4"/>
  <c r="EL19" i="4"/>
  <c r="FV19" i="4" s="1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Q19" i="4"/>
  <c r="GE19" i="4" s="1"/>
  <c r="GF19" i="4" s="1"/>
  <c r="DP19" i="4"/>
  <c r="DN19" i="4"/>
  <c r="DM19" i="4"/>
  <c r="DL19" i="4"/>
  <c r="DK19" i="4"/>
  <c r="DJ19" i="4"/>
  <c r="DG19" i="4"/>
  <c r="BH19" i="4"/>
  <c r="BG19" i="4"/>
  <c r="BF19" i="4"/>
  <c r="BE19" i="4"/>
  <c r="BD19" i="4"/>
  <c r="BB19" i="4"/>
  <c r="AZ19" i="4"/>
  <c r="AY19" i="4"/>
  <c r="AX19" i="4"/>
  <c r="AV19" i="4"/>
  <c r="AT19" i="4"/>
  <c r="AS19" i="4"/>
  <c r="AR19" i="4"/>
  <c r="AQ19" i="4"/>
  <c r="U19" i="4"/>
  <c r="GM18" i="4"/>
  <c r="GJ18" i="4"/>
  <c r="GI18" i="4"/>
  <c r="GG18" i="4"/>
  <c r="GD18" i="4"/>
  <c r="FU18" i="4"/>
  <c r="FT18" i="4"/>
  <c r="FS18" i="4"/>
  <c r="FR18" i="4"/>
  <c r="FQ18" i="4"/>
  <c r="FO18" i="4"/>
  <c r="FM18" i="4"/>
  <c r="FL18" i="4"/>
  <c r="FJ18" i="4"/>
  <c r="FH18" i="4"/>
  <c r="FG18" i="4"/>
  <c r="FE18" i="4"/>
  <c r="FC18" i="4"/>
  <c r="FB18" i="4"/>
  <c r="EZ18" i="4"/>
  <c r="EX18" i="4"/>
  <c r="EW18" i="4"/>
  <c r="ET18" i="4"/>
  <c r="ER18" i="4"/>
  <c r="FX18" i="4" s="1"/>
  <c r="EQ18" i="4"/>
  <c r="EP18" i="4"/>
  <c r="EN18" i="4"/>
  <c r="EL18" i="4"/>
  <c r="FV18" i="4" s="1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Q18" i="4"/>
  <c r="DP18" i="4"/>
  <c r="DN18" i="4"/>
  <c r="DM18" i="4"/>
  <c r="DL18" i="4"/>
  <c r="DK18" i="4"/>
  <c r="DJ18" i="4"/>
  <c r="DG18" i="4"/>
  <c r="BH18" i="4"/>
  <c r="BG18" i="4"/>
  <c r="BF18" i="4"/>
  <c r="BE18" i="4"/>
  <c r="BD18" i="4"/>
  <c r="BB18" i="4"/>
  <c r="AZ18" i="4"/>
  <c r="AY18" i="4"/>
  <c r="AX18" i="4"/>
  <c r="AV18" i="4"/>
  <c r="AT18" i="4"/>
  <c r="AS18" i="4"/>
  <c r="AR18" i="4"/>
  <c r="AQ18" i="4"/>
  <c r="U18" i="4"/>
  <c r="GM17" i="4"/>
  <c r="GJ17" i="4"/>
  <c r="GI17" i="4"/>
  <c r="GG17" i="4"/>
  <c r="GD17" i="4"/>
  <c r="FU17" i="4"/>
  <c r="FT17" i="4"/>
  <c r="FS17" i="4"/>
  <c r="FR17" i="4"/>
  <c r="FQ17" i="4"/>
  <c r="FO17" i="4"/>
  <c r="FZ17" i="4" s="1"/>
  <c r="FM17" i="4"/>
  <c r="FL17" i="4"/>
  <c r="FJ17" i="4"/>
  <c r="FH17" i="4"/>
  <c r="FG17" i="4"/>
  <c r="FE17" i="4"/>
  <c r="FC17" i="4"/>
  <c r="FB17" i="4"/>
  <c r="EZ17" i="4"/>
  <c r="EX17" i="4"/>
  <c r="EW17" i="4"/>
  <c r="ET17" i="4"/>
  <c r="ER17" i="4"/>
  <c r="EQ17" i="4"/>
  <c r="EP17" i="4"/>
  <c r="EN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Q17" i="4"/>
  <c r="DP17" i="4"/>
  <c r="DN17" i="4"/>
  <c r="DM17" i="4"/>
  <c r="DL17" i="4"/>
  <c r="DK17" i="4"/>
  <c r="DJ17" i="4"/>
  <c r="DG17" i="4"/>
  <c r="BH17" i="4"/>
  <c r="BG17" i="4"/>
  <c r="BF17" i="4"/>
  <c r="BE17" i="4"/>
  <c r="BD17" i="4"/>
  <c r="BB17" i="4"/>
  <c r="AZ17" i="4"/>
  <c r="AY17" i="4"/>
  <c r="AX17" i="4"/>
  <c r="AV17" i="4"/>
  <c r="AT17" i="4"/>
  <c r="AS17" i="4"/>
  <c r="AR17" i="4"/>
  <c r="AQ17" i="4"/>
  <c r="U17" i="4"/>
  <c r="GM16" i="4"/>
  <c r="GJ16" i="4"/>
  <c r="GI16" i="4"/>
  <c r="GG16" i="4"/>
  <c r="GD16" i="4"/>
  <c r="FU16" i="4"/>
  <c r="FT16" i="4"/>
  <c r="FS16" i="4"/>
  <c r="FR16" i="4"/>
  <c r="FQ16" i="4"/>
  <c r="FO16" i="4"/>
  <c r="FZ16" i="4" s="1"/>
  <c r="FM16" i="4"/>
  <c r="FL16" i="4"/>
  <c r="FJ16" i="4"/>
  <c r="FH16" i="4"/>
  <c r="FG16" i="4"/>
  <c r="FE16" i="4"/>
  <c r="FC16" i="4"/>
  <c r="FB16" i="4"/>
  <c r="EZ16" i="4"/>
  <c r="EX16" i="4"/>
  <c r="EW16" i="4"/>
  <c r="ET16" i="4"/>
  <c r="ER16" i="4"/>
  <c r="EQ16" i="4"/>
  <c r="EP16" i="4"/>
  <c r="EN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Q16" i="4"/>
  <c r="DP16" i="4"/>
  <c r="DN16" i="4"/>
  <c r="DM16" i="4"/>
  <c r="DL16" i="4"/>
  <c r="DK16" i="4"/>
  <c r="DJ16" i="4"/>
  <c r="DG16" i="4"/>
  <c r="BH16" i="4"/>
  <c r="BG16" i="4"/>
  <c r="BF16" i="4"/>
  <c r="BE16" i="4"/>
  <c r="BD16" i="4"/>
  <c r="BB16" i="4"/>
  <c r="AZ16" i="4"/>
  <c r="AY16" i="4"/>
  <c r="AX16" i="4"/>
  <c r="AV16" i="4"/>
  <c r="AT16" i="4"/>
  <c r="AS16" i="4"/>
  <c r="AR16" i="4"/>
  <c r="AQ16" i="4"/>
  <c r="U16" i="4"/>
  <c r="GM15" i="4"/>
  <c r="GJ15" i="4"/>
  <c r="GI15" i="4"/>
  <c r="GG15" i="4"/>
  <c r="GD15" i="4"/>
  <c r="FU15" i="4"/>
  <c r="FT15" i="4"/>
  <c r="FS15" i="4"/>
  <c r="FR15" i="4"/>
  <c r="FQ15" i="4"/>
  <c r="FO15" i="4"/>
  <c r="FM15" i="4"/>
  <c r="FZ15" i="4" s="1"/>
  <c r="FL15" i="4"/>
  <c r="FJ15" i="4"/>
  <c r="FH15" i="4"/>
  <c r="FG15" i="4"/>
  <c r="FE15" i="4"/>
  <c r="FC15" i="4"/>
  <c r="FB15" i="4"/>
  <c r="EZ15" i="4"/>
  <c r="EX15" i="4"/>
  <c r="EW15" i="4"/>
  <c r="ET15" i="4"/>
  <c r="ER15" i="4"/>
  <c r="FX15" i="4" s="1"/>
  <c r="EQ15" i="4"/>
  <c r="EP15" i="4"/>
  <c r="EN15" i="4"/>
  <c r="EL15" i="4"/>
  <c r="FV15" i="4" s="1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Q15" i="4"/>
  <c r="DP15" i="4"/>
  <c r="DN15" i="4"/>
  <c r="DM15" i="4"/>
  <c r="DL15" i="4"/>
  <c r="DK15" i="4"/>
  <c r="DJ15" i="4"/>
  <c r="DG15" i="4"/>
  <c r="BH15" i="4"/>
  <c r="BG15" i="4"/>
  <c r="BF15" i="4"/>
  <c r="BE15" i="4"/>
  <c r="BD15" i="4"/>
  <c r="BB15" i="4"/>
  <c r="AZ15" i="4"/>
  <c r="AY15" i="4"/>
  <c r="AX15" i="4"/>
  <c r="AV15" i="4"/>
  <c r="AT15" i="4"/>
  <c r="AS15" i="4"/>
  <c r="AR15" i="4"/>
  <c r="AQ15" i="4"/>
  <c r="U15" i="4"/>
  <c r="GM14" i="4"/>
  <c r="GJ14" i="4"/>
  <c r="GI14" i="4"/>
  <c r="GG14" i="4"/>
  <c r="GD14" i="4"/>
  <c r="FU14" i="4"/>
  <c r="FT14" i="4"/>
  <c r="FS14" i="4"/>
  <c r="FR14" i="4"/>
  <c r="FQ14" i="4"/>
  <c r="FO14" i="4"/>
  <c r="FM14" i="4"/>
  <c r="FL14" i="4"/>
  <c r="FJ14" i="4"/>
  <c r="FH14" i="4"/>
  <c r="FG14" i="4"/>
  <c r="FE14" i="4"/>
  <c r="FC14" i="4"/>
  <c r="FB14" i="4"/>
  <c r="EZ14" i="4"/>
  <c r="EX14" i="4"/>
  <c r="EW14" i="4"/>
  <c r="ET14" i="4"/>
  <c r="ER14" i="4"/>
  <c r="FX14" i="4" s="1"/>
  <c r="EQ14" i="4"/>
  <c r="EP14" i="4"/>
  <c r="EN14" i="4"/>
  <c r="EL14" i="4"/>
  <c r="FV14" i="4" s="1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Q14" i="4"/>
  <c r="DP14" i="4"/>
  <c r="DN14" i="4"/>
  <c r="DM14" i="4"/>
  <c r="DL14" i="4"/>
  <c r="DK14" i="4"/>
  <c r="DJ14" i="4"/>
  <c r="DG14" i="4"/>
  <c r="BH14" i="4"/>
  <c r="BG14" i="4"/>
  <c r="BF14" i="4"/>
  <c r="BE14" i="4"/>
  <c r="BD14" i="4"/>
  <c r="BB14" i="4"/>
  <c r="AZ14" i="4"/>
  <c r="AY14" i="4"/>
  <c r="AX14" i="4"/>
  <c r="AV14" i="4"/>
  <c r="AT14" i="4"/>
  <c r="AS14" i="4"/>
  <c r="AR14" i="4"/>
  <c r="AQ14" i="4"/>
  <c r="U14" i="4"/>
  <c r="GM13" i="4"/>
  <c r="GJ13" i="4"/>
  <c r="GI13" i="4"/>
  <c r="GG13" i="4"/>
  <c r="GD13" i="4"/>
  <c r="FU13" i="4"/>
  <c r="FT13" i="4"/>
  <c r="FS13" i="4"/>
  <c r="FR13" i="4"/>
  <c r="FQ13" i="4"/>
  <c r="FO13" i="4"/>
  <c r="FZ13" i="4" s="1"/>
  <c r="FM13" i="4"/>
  <c r="FL13" i="4"/>
  <c r="FJ13" i="4"/>
  <c r="FH13" i="4"/>
  <c r="FG13" i="4"/>
  <c r="FE13" i="4"/>
  <c r="FC13" i="4"/>
  <c r="FB13" i="4"/>
  <c r="EZ13" i="4"/>
  <c r="EX13" i="4"/>
  <c r="EW13" i="4"/>
  <c r="ET13" i="4"/>
  <c r="ER13" i="4"/>
  <c r="EQ13" i="4"/>
  <c r="EP13" i="4"/>
  <c r="EN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Q13" i="4"/>
  <c r="DP13" i="4"/>
  <c r="DN13" i="4"/>
  <c r="DM13" i="4"/>
  <c r="DL13" i="4"/>
  <c r="DK13" i="4"/>
  <c r="DJ13" i="4"/>
  <c r="DG13" i="4"/>
  <c r="BH13" i="4"/>
  <c r="BG13" i="4"/>
  <c r="BF13" i="4"/>
  <c r="BE13" i="4"/>
  <c r="BD13" i="4"/>
  <c r="BB13" i="4"/>
  <c r="AZ13" i="4"/>
  <c r="AY13" i="4"/>
  <c r="AX13" i="4"/>
  <c r="AV13" i="4"/>
  <c r="AT13" i="4"/>
  <c r="AS13" i="4"/>
  <c r="AR13" i="4"/>
  <c r="AQ13" i="4"/>
  <c r="U13" i="4"/>
  <c r="GM12" i="4"/>
  <c r="GJ12" i="4"/>
  <c r="GI12" i="4"/>
  <c r="GG12" i="4"/>
  <c r="GD12" i="4"/>
  <c r="FU12" i="4"/>
  <c r="FT12" i="4"/>
  <c r="FS12" i="4"/>
  <c r="FR12" i="4"/>
  <c r="FQ12" i="4"/>
  <c r="FO12" i="4"/>
  <c r="FZ12" i="4" s="1"/>
  <c r="FM12" i="4"/>
  <c r="FL12" i="4"/>
  <c r="FJ12" i="4"/>
  <c r="FH12" i="4"/>
  <c r="FG12" i="4"/>
  <c r="FE12" i="4"/>
  <c r="FC12" i="4"/>
  <c r="FB12" i="4"/>
  <c r="EZ12" i="4"/>
  <c r="EX12" i="4"/>
  <c r="EW12" i="4"/>
  <c r="ET12" i="4"/>
  <c r="ER12" i="4"/>
  <c r="EQ12" i="4"/>
  <c r="EP12" i="4"/>
  <c r="EN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Q12" i="4"/>
  <c r="DP12" i="4"/>
  <c r="DN12" i="4"/>
  <c r="DM12" i="4"/>
  <c r="DL12" i="4"/>
  <c r="DK12" i="4"/>
  <c r="DJ12" i="4"/>
  <c r="DG12" i="4"/>
  <c r="BH12" i="4"/>
  <c r="BG12" i="4"/>
  <c r="BF12" i="4"/>
  <c r="BE12" i="4"/>
  <c r="BD12" i="4"/>
  <c r="BB12" i="4"/>
  <c r="AZ12" i="4"/>
  <c r="AY12" i="4"/>
  <c r="AX12" i="4"/>
  <c r="AV12" i="4"/>
  <c r="AT12" i="4"/>
  <c r="AS12" i="4"/>
  <c r="AR12" i="4"/>
  <c r="AQ12" i="4"/>
  <c r="U12" i="4"/>
  <c r="GM11" i="4"/>
  <c r="GJ11" i="4"/>
  <c r="GI11" i="4"/>
  <c r="GG11" i="4"/>
  <c r="GD11" i="4"/>
  <c r="FU11" i="4"/>
  <c r="FT11" i="4"/>
  <c r="FS11" i="4"/>
  <c r="FR11" i="4"/>
  <c r="FQ11" i="4"/>
  <c r="FO11" i="4"/>
  <c r="FZ11" i="4" s="1"/>
  <c r="FM11" i="4"/>
  <c r="FL11" i="4"/>
  <c r="FJ11" i="4"/>
  <c r="FH11" i="4"/>
  <c r="FG11" i="4"/>
  <c r="FE11" i="4"/>
  <c r="FC11" i="4"/>
  <c r="FB11" i="4"/>
  <c r="EZ11" i="4"/>
  <c r="EX11" i="4"/>
  <c r="EW11" i="4"/>
  <c r="ET11" i="4"/>
  <c r="ER11" i="4"/>
  <c r="EQ11" i="4"/>
  <c r="EP11" i="4"/>
  <c r="EN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Q11" i="4"/>
  <c r="DP11" i="4"/>
  <c r="DN11" i="4"/>
  <c r="DM11" i="4"/>
  <c r="DL11" i="4"/>
  <c r="DK11" i="4"/>
  <c r="DJ11" i="4"/>
  <c r="DG11" i="4"/>
  <c r="BH11" i="4"/>
  <c r="BG11" i="4"/>
  <c r="BF11" i="4"/>
  <c r="BE11" i="4"/>
  <c r="BD11" i="4"/>
  <c r="BB11" i="4"/>
  <c r="AZ11" i="4"/>
  <c r="AY11" i="4"/>
  <c r="AX11" i="4"/>
  <c r="AV11" i="4"/>
  <c r="AT11" i="4"/>
  <c r="AS11" i="4"/>
  <c r="AR11" i="4"/>
  <c r="AQ11" i="4"/>
  <c r="U11" i="4"/>
  <c r="GM10" i="4"/>
  <c r="GJ10" i="4"/>
  <c r="GI10" i="4"/>
  <c r="GG10" i="4"/>
  <c r="GD10" i="4"/>
  <c r="FU10" i="4"/>
  <c r="FT10" i="4"/>
  <c r="FS10" i="4"/>
  <c r="FR10" i="4"/>
  <c r="FQ10" i="4"/>
  <c r="FO10" i="4"/>
  <c r="FM10" i="4"/>
  <c r="FZ10" i="4" s="1"/>
  <c r="FL10" i="4"/>
  <c r="FJ10" i="4"/>
  <c r="FH10" i="4"/>
  <c r="FG10" i="4"/>
  <c r="FE10" i="4"/>
  <c r="FC10" i="4"/>
  <c r="FB10" i="4"/>
  <c r="EZ10" i="4"/>
  <c r="EX10" i="4"/>
  <c r="EW10" i="4"/>
  <c r="ET10" i="4"/>
  <c r="ER10" i="4"/>
  <c r="FX10" i="4" s="1"/>
  <c r="EQ10" i="4"/>
  <c r="EP10" i="4"/>
  <c r="EN10" i="4"/>
  <c r="EL10" i="4"/>
  <c r="FV10" i="4" s="1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Q10" i="4"/>
  <c r="DP10" i="4"/>
  <c r="DN10" i="4"/>
  <c r="DM10" i="4"/>
  <c r="DL10" i="4"/>
  <c r="DK10" i="4"/>
  <c r="DJ10" i="4"/>
  <c r="DG10" i="4"/>
  <c r="BH10" i="4"/>
  <c r="BG10" i="4"/>
  <c r="BF10" i="4"/>
  <c r="BE10" i="4"/>
  <c r="BD10" i="4"/>
  <c r="BB10" i="4"/>
  <c r="AZ10" i="4"/>
  <c r="AY10" i="4"/>
  <c r="AX10" i="4"/>
  <c r="AV10" i="4"/>
  <c r="AT10" i="4"/>
  <c r="AS10" i="4"/>
  <c r="AR10" i="4"/>
  <c r="AQ10" i="4"/>
  <c r="U10" i="4"/>
  <c r="GM9" i="4"/>
  <c r="GJ9" i="4"/>
  <c r="GI9" i="4"/>
  <c r="GG9" i="4"/>
  <c r="GD9" i="4"/>
  <c r="FU9" i="4"/>
  <c r="FT9" i="4"/>
  <c r="FS9" i="4"/>
  <c r="FR9" i="4"/>
  <c r="FQ9" i="4"/>
  <c r="FO9" i="4"/>
  <c r="FM9" i="4"/>
  <c r="FL9" i="4"/>
  <c r="FJ9" i="4"/>
  <c r="FH9" i="4"/>
  <c r="FG9" i="4"/>
  <c r="FE9" i="4"/>
  <c r="FC9" i="4"/>
  <c r="FB9" i="4"/>
  <c r="EZ9" i="4"/>
  <c r="EX9" i="4"/>
  <c r="EW9" i="4"/>
  <c r="ET9" i="4"/>
  <c r="ER9" i="4"/>
  <c r="FX9" i="4" s="1"/>
  <c r="EQ9" i="4"/>
  <c r="EP9" i="4"/>
  <c r="EN9" i="4"/>
  <c r="EL9" i="4"/>
  <c r="FV9" i="4" s="1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Q9" i="4"/>
  <c r="DP9" i="4"/>
  <c r="DN9" i="4"/>
  <c r="DM9" i="4"/>
  <c r="DL9" i="4"/>
  <c r="DK9" i="4"/>
  <c r="DJ9" i="4"/>
  <c r="DG9" i="4"/>
  <c r="BH9" i="4"/>
  <c r="BG9" i="4"/>
  <c r="BF9" i="4"/>
  <c r="BE9" i="4"/>
  <c r="BD9" i="4"/>
  <c r="BB9" i="4"/>
  <c r="AZ9" i="4"/>
  <c r="AY9" i="4"/>
  <c r="AX9" i="4"/>
  <c r="AV9" i="4"/>
  <c r="AT9" i="4"/>
  <c r="AS9" i="4"/>
  <c r="AR9" i="4"/>
  <c r="AQ9" i="4"/>
  <c r="U9" i="4"/>
  <c r="GM8" i="4"/>
  <c r="GJ8" i="4"/>
  <c r="GI8" i="4"/>
  <c r="GG8" i="4"/>
  <c r="GD8" i="4"/>
  <c r="FU8" i="4"/>
  <c r="FT8" i="4"/>
  <c r="FS8" i="4"/>
  <c r="FR8" i="4"/>
  <c r="FQ8" i="4"/>
  <c r="FO8" i="4"/>
  <c r="FZ8" i="4" s="1"/>
  <c r="FM8" i="4"/>
  <c r="FL8" i="4"/>
  <c r="FJ8" i="4"/>
  <c r="FH8" i="4"/>
  <c r="FG8" i="4"/>
  <c r="FE8" i="4"/>
  <c r="FC8" i="4"/>
  <c r="FB8" i="4"/>
  <c r="EZ8" i="4"/>
  <c r="EX8" i="4"/>
  <c r="EW8" i="4"/>
  <c r="ET8" i="4"/>
  <c r="ER8" i="4"/>
  <c r="EQ8" i="4"/>
  <c r="EP8" i="4"/>
  <c r="EN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Q8" i="4"/>
  <c r="DP8" i="4"/>
  <c r="DN8" i="4"/>
  <c r="DM8" i="4"/>
  <c r="DL8" i="4"/>
  <c r="DK8" i="4"/>
  <c r="DJ8" i="4"/>
  <c r="DG8" i="4"/>
  <c r="BH8" i="4"/>
  <c r="BG8" i="4"/>
  <c r="BF8" i="4"/>
  <c r="BE8" i="4"/>
  <c r="BD8" i="4"/>
  <c r="BB8" i="4"/>
  <c r="AZ8" i="4"/>
  <c r="AY8" i="4"/>
  <c r="AX8" i="4"/>
  <c r="AV8" i="4"/>
  <c r="AT8" i="4"/>
  <c r="AS8" i="4"/>
  <c r="AR8" i="4"/>
  <c r="AQ8" i="4"/>
  <c r="U8" i="4"/>
  <c r="GM7" i="4"/>
  <c r="GJ7" i="4"/>
  <c r="GI7" i="4"/>
  <c r="GG7" i="4"/>
  <c r="GD7" i="4"/>
  <c r="FU7" i="4"/>
  <c r="FT7" i="4"/>
  <c r="FS7" i="4"/>
  <c r="FR7" i="4"/>
  <c r="FQ7" i="4"/>
  <c r="FO7" i="4"/>
  <c r="FZ7" i="4" s="1"/>
  <c r="FM7" i="4"/>
  <c r="FL7" i="4"/>
  <c r="FJ7" i="4"/>
  <c r="FH7" i="4"/>
  <c r="FG7" i="4"/>
  <c r="FE7" i="4"/>
  <c r="FC7" i="4"/>
  <c r="FB7" i="4"/>
  <c r="EZ7" i="4"/>
  <c r="EX7" i="4"/>
  <c r="EW7" i="4"/>
  <c r="ET7" i="4"/>
  <c r="ER7" i="4"/>
  <c r="EQ7" i="4"/>
  <c r="EP7" i="4"/>
  <c r="EN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Q7" i="4"/>
  <c r="DP7" i="4"/>
  <c r="DN7" i="4"/>
  <c r="DM7" i="4"/>
  <c r="DL7" i="4"/>
  <c r="DK7" i="4"/>
  <c r="DJ7" i="4"/>
  <c r="DG7" i="4"/>
  <c r="BH7" i="4"/>
  <c r="BG7" i="4"/>
  <c r="BF7" i="4"/>
  <c r="BE7" i="4"/>
  <c r="BD7" i="4"/>
  <c r="BB7" i="4"/>
  <c r="AZ7" i="4"/>
  <c r="AY7" i="4"/>
  <c r="AX7" i="4"/>
  <c r="AV7" i="4"/>
  <c r="AT7" i="4"/>
  <c r="AS7" i="4"/>
  <c r="AR7" i="4"/>
  <c r="AQ7" i="4"/>
  <c r="U7" i="4"/>
  <c r="GM6" i="4"/>
  <c r="GJ6" i="4"/>
  <c r="GI6" i="4"/>
  <c r="GG6" i="4"/>
  <c r="GD6" i="4"/>
  <c r="FU6" i="4"/>
  <c r="FT6" i="4"/>
  <c r="FS6" i="4"/>
  <c r="FR6" i="4"/>
  <c r="FQ6" i="4"/>
  <c r="FO6" i="4"/>
  <c r="FM6" i="4"/>
  <c r="FZ6" i="4" s="1"/>
  <c r="FL6" i="4"/>
  <c r="FJ6" i="4"/>
  <c r="FH6" i="4"/>
  <c r="FG6" i="4"/>
  <c r="FE6" i="4"/>
  <c r="FC6" i="4"/>
  <c r="FB6" i="4"/>
  <c r="EZ6" i="4"/>
  <c r="EX6" i="4"/>
  <c r="EW6" i="4"/>
  <c r="ET6" i="4"/>
  <c r="ER6" i="4"/>
  <c r="FX6" i="4" s="1"/>
  <c r="EQ6" i="4"/>
  <c r="EP6" i="4"/>
  <c r="EN6" i="4"/>
  <c r="EL6" i="4"/>
  <c r="FV6" i="4" s="1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Q6" i="4"/>
  <c r="DP6" i="4"/>
  <c r="DN6" i="4"/>
  <c r="DM6" i="4"/>
  <c r="DL6" i="4"/>
  <c r="DK6" i="4"/>
  <c r="DJ6" i="4"/>
  <c r="DG6" i="4"/>
  <c r="BH6" i="4"/>
  <c r="BG6" i="4"/>
  <c r="BF6" i="4"/>
  <c r="BE6" i="4"/>
  <c r="BD6" i="4"/>
  <c r="BB6" i="4"/>
  <c r="AZ6" i="4"/>
  <c r="AY6" i="4"/>
  <c r="AX6" i="4"/>
  <c r="AV6" i="4"/>
  <c r="AT6" i="4"/>
  <c r="AS6" i="4"/>
  <c r="AR6" i="4"/>
  <c r="AQ6" i="4"/>
  <c r="U6" i="4"/>
  <c r="GM5" i="4"/>
  <c r="GJ5" i="4"/>
  <c r="GI5" i="4"/>
  <c r="GG5" i="4"/>
  <c r="GD5" i="4"/>
  <c r="FU5" i="4"/>
  <c r="FT5" i="4"/>
  <c r="FS5" i="4"/>
  <c r="FR5" i="4"/>
  <c r="FQ5" i="4"/>
  <c r="FO5" i="4"/>
  <c r="FM5" i="4"/>
  <c r="FL5" i="4"/>
  <c r="FJ5" i="4"/>
  <c r="FH5" i="4"/>
  <c r="FG5" i="4"/>
  <c r="FE5" i="4"/>
  <c r="FC5" i="4"/>
  <c r="FB5" i="4"/>
  <c r="EZ5" i="4"/>
  <c r="EX5" i="4"/>
  <c r="EW5" i="4"/>
  <c r="ET5" i="4"/>
  <c r="ER5" i="4"/>
  <c r="FX5" i="4" s="1"/>
  <c r="EQ5" i="4"/>
  <c r="EP5" i="4"/>
  <c r="EN5" i="4"/>
  <c r="EL5" i="4"/>
  <c r="FV5" i="4" s="1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Q5" i="4"/>
  <c r="DP5" i="4"/>
  <c r="DN5" i="4"/>
  <c r="DM5" i="4"/>
  <c r="DL5" i="4"/>
  <c r="DK5" i="4"/>
  <c r="DJ5" i="4"/>
  <c r="DG5" i="4"/>
  <c r="BH5" i="4"/>
  <c r="BG5" i="4"/>
  <c r="BF5" i="4"/>
  <c r="BE5" i="4"/>
  <c r="BD5" i="4"/>
  <c r="BB5" i="4"/>
  <c r="AZ5" i="4"/>
  <c r="AY5" i="4"/>
  <c r="AX5" i="4"/>
  <c r="AV5" i="4"/>
  <c r="AT5" i="4"/>
  <c r="AS5" i="4"/>
  <c r="AR5" i="4"/>
  <c r="AQ5" i="4"/>
  <c r="U5" i="4"/>
  <c r="GM4" i="4"/>
  <c r="GJ4" i="4"/>
  <c r="GI4" i="4"/>
  <c r="GG4" i="4"/>
  <c r="GD4" i="4"/>
  <c r="FU4" i="4"/>
  <c r="FT4" i="4"/>
  <c r="FS4" i="4"/>
  <c r="FR4" i="4"/>
  <c r="FQ4" i="4"/>
  <c r="FO4" i="4"/>
  <c r="FZ4" i="4" s="1"/>
  <c r="FM4" i="4"/>
  <c r="FL4" i="4"/>
  <c r="FJ4" i="4"/>
  <c r="FH4" i="4"/>
  <c r="FY4" i="4" s="1"/>
  <c r="FG4" i="4"/>
  <c r="FE4" i="4"/>
  <c r="FC4" i="4"/>
  <c r="FB4" i="4"/>
  <c r="EZ4" i="4"/>
  <c r="EX4" i="4"/>
  <c r="EW4" i="4"/>
  <c r="ET4" i="4"/>
  <c r="ER4" i="4"/>
  <c r="EQ4" i="4"/>
  <c r="EP4" i="4"/>
  <c r="EN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Q4" i="4"/>
  <c r="DP4" i="4"/>
  <c r="DN4" i="4"/>
  <c r="DM4" i="4"/>
  <c r="DL4" i="4"/>
  <c r="DK4" i="4"/>
  <c r="DJ4" i="4"/>
  <c r="DG4" i="4"/>
  <c r="BH4" i="4"/>
  <c r="BG4" i="4"/>
  <c r="BF4" i="4"/>
  <c r="BE4" i="4"/>
  <c r="BD4" i="4"/>
  <c r="BB4" i="4"/>
  <c r="AZ4" i="4"/>
  <c r="AY4" i="4"/>
  <c r="AX4" i="4"/>
  <c r="AV4" i="4"/>
  <c r="AT4" i="4"/>
  <c r="AS4" i="4"/>
  <c r="AR4" i="4"/>
  <c r="AQ4" i="4"/>
  <c r="U4" i="4"/>
  <c r="KG123" i="17"/>
  <c r="KB123" i="17"/>
  <c r="HH123" i="17"/>
  <c r="HG123" i="17"/>
  <c r="HF123" i="17"/>
  <c r="HE123" i="17"/>
  <c r="GV123" i="17"/>
  <c r="GU123" i="17"/>
  <c r="GL123" i="17"/>
  <c r="GK123" i="17"/>
  <c r="GJ123" i="17"/>
  <c r="GH123" i="17"/>
  <c r="GE123" i="17"/>
  <c r="GB123" i="17"/>
  <c r="GA123" i="17"/>
  <c r="FZ123" i="17"/>
  <c r="FY123" i="17"/>
  <c r="FT123" i="17"/>
  <c r="FS123" i="17"/>
  <c r="EJ123" i="17"/>
  <c r="EB123" i="17"/>
  <c r="EA123" i="17"/>
  <c r="DY123" i="17"/>
  <c r="DU123" i="17"/>
  <c r="DS123" i="17"/>
  <c r="DP123" i="17"/>
  <c r="DN123" i="17"/>
  <c r="DM123" i="17"/>
  <c r="DK123" i="17"/>
  <c r="DE123" i="17"/>
  <c r="CD123" i="17"/>
  <c r="KG122" i="17"/>
  <c r="KB122" i="17"/>
  <c r="KA122" i="17"/>
  <c r="JZ122" i="17"/>
  <c r="JY122" i="17"/>
  <c r="JV122" i="17"/>
  <c r="JU122" i="17"/>
  <c r="JS122" i="17"/>
  <c r="JQ122" i="17"/>
  <c r="JP122" i="17"/>
  <c r="JO122" i="17"/>
  <c r="JN122" i="17"/>
  <c r="HF122" i="17"/>
  <c r="HE122" i="17"/>
  <c r="GV122" i="17"/>
  <c r="GU122" i="17"/>
  <c r="GT122" i="17"/>
  <c r="GS122" i="17"/>
  <c r="GL122" i="17"/>
  <c r="GK122" i="17"/>
  <c r="GJ122" i="17"/>
  <c r="GI122" i="17"/>
  <c r="GH122" i="17"/>
  <c r="GG122" i="17"/>
  <c r="GF122" i="17"/>
  <c r="GE122" i="17"/>
  <c r="GD122" i="17"/>
  <c r="GC122" i="17"/>
  <c r="GB122" i="17"/>
  <c r="GA122" i="17"/>
  <c r="FZ122" i="17"/>
  <c r="FY122" i="17"/>
  <c r="FT122" i="17"/>
  <c r="FS122" i="17"/>
  <c r="FP122" i="17"/>
  <c r="FO122" i="17"/>
  <c r="FN122" i="17"/>
  <c r="FK122" i="17"/>
  <c r="FJ122" i="17"/>
  <c r="FI122" i="17"/>
  <c r="FF122" i="17"/>
  <c r="FE122" i="17"/>
  <c r="FC122" i="17"/>
  <c r="EZ122" i="17"/>
  <c r="EY122" i="17"/>
  <c r="EU122" i="17"/>
  <c r="ET122" i="17"/>
  <c r="ES122" i="17"/>
  <c r="ER122" i="17"/>
  <c r="EJ122" i="17"/>
  <c r="EF122" i="17"/>
  <c r="ED122" i="17"/>
  <c r="EH122" i="17" s="1"/>
  <c r="EB122" i="17"/>
  <c r="EA122" i="17"/>
  <c r="DZ122" i="17"/>
  <c r="DY122" i="17"/>
  <c r="DX122" i="17"/>
  <c r="DV122" i="17"/>
  <c r="DU122" i="17"/>
  <c r="DT122" i="17"/>
  <c r="DS122" i="17"/>
  <c r="DR122" i="17"/>
  <c r="DP122" i="17"/>
  <c r="DO122" i="17"/>
  <c r="DN122" i="17"/>
  <c r="DM122" i="17"/>
  <c r="DL122" i="17"/>
  <c r="DK122" i="17"/>
  <c r="DJ122" i="17"/>
  <c r="DI122" i="17"/>
  <c r="DH122" i="17"/>
  <c r="DF122" i="17"/>
  <c r="DE122" i="17"/>
  <c r="DD122" i="17"/>
  <c r="CX122" i="17"/>
  <c r="CW122" i="17"/>
  <c r="CV122" i="17"/>
  <c r="CT122" i="17"/>
  <c r="CQ122" i="17"/>
  <c r="CP122" i="17"/>
  <c r="CO122" i="17"/>
  <c r="CN122" i="17"/>
  <c r="CM122" i="17"/>
  <c r="CL122" i="17"/>
  <c r="CK122" i="17"/>
  <c r="CJ122" i="17"/>
  <c r="CH122" i="17"/>
  <c r="CG122" i="17"/>
  <c r="CF122" i="17"/>
  <c r="CE122" i="17"/>
  <c r="CD122" i="17"/>
  <c r="CC122" i="17"/>
  <c r="CB122" i="17"/>
  <c r="CA122" i="17"/>
  <c r="BZ122" i="17"/>
  <c r="BX122" i="17"/>
  <c r="BW122" i="17"/>
  <c r="BV122" i="17"/>
  <c r="BU122" i="17"/>
  <c r="BS122" i="17"/>
  <c r="BR122" i="17"/>
  <c r="BQ122" i="17"/>
  <c r="BP122" i="17"/>
  <c r="BO122" i="17"/>
  <c r="BN122" i="17"/>
  <c r="BM122" i="17"/>
  <c r="AL122" i="17"/>
  <c r="AJ122" i="17"/>
  <c r="KG121" i="17"/>
  <c r="KB121" i="17"/>
  <c r="KA121" i="17"/>
  <c r="JZ121" i="17"/>
  <c r="JY121" i="17"/>
  <c r="JV121" i="17"/>
  <c r="JU121" i="17"/>
  <c r="JS121" i="17"/>
  <c r="JQ121" i="17"/>
  <c r="JP121" i="17"/>
  <c r="JO121" i="17"/>
  <c r="JN121" i="17"/>
  <c r="HF121" i="17"/>
  <c r="HE121" i="17"/>
  <c r="GV121" i="17"/>
  <c r="GU121" i="17"/>
  <c r="GT121" i="17"/>
  <c r="GS121" i="17"/>
  <c r="GL121" i="17"/>
  <c r="GK121" i="17"/>
  <c r="GJ121" i="17"/>
  <c r="GI121" i="17"/>
  <c r="GH121" i="17"/>
  <c r="GG121" i="17"/>
  <c r="GF121" i="17"/>
  <c r="GE121" i="17"/>
  <c r="GD121" i="17"/>
  <c r="GC121" i="17"/>
  <c r="GB121" i="17"/>
  <c r="GA121" i="17"/>
  <c r="FZ121" i="17"/>
  <c r="FY121" i="17"/>
  <c r="FT121" i="17"/>
  <c r="FS121" i="17"/>
  <c r="FP121" i="17"/>
  <c r="FO121" i="17"/>
  <c r="FQ121" i="17" s="1"/>
  <c r="FN121" i="17"/>
  <c r="FK121" i="17"/>
  <c r="FJ121" i="17"/>
  <c r="FI121" i="17"/>
  <c r="FF121" i="17"/>
  <c r="FE121" i="17"/>
  <c r="FG121" i="17" s="1"/>
  <c r="FH121" i="17" s="1"/>
  <c r="FC121" i="17"/>
  <c r="EZ121" i="17"/>
  <c r="EY121" i="17"/>
  <c r="EU121" i="17"/>
  <c r="ET121" i="17"/>
  <c r="ES121" i="17"/>
  <c r="ER121" i="17"/>
  <c r="EJ121" i="17"/>
  <c r="EF121" i="17"/>
  <c r="ED121" i="17"/>
  <c r="EH121" i="17" s="1"/>
  <c r="EB121" i="17"/>
  <c r="EA121" i="17"/>
  <c r="DZ121" i="17"/>
  <c r="DY121" i="17"/>
  <c r="DX121" i="17"/>
  <c r="DV121" i="17"/>
  <c r="DU121" i="17"/>
  <c r="DT121" i="17"/>
  <c r="DS121" i="17"/>
  <c r="DR121" i="17"/>
  <c r="DP121" i="17"/>
  <c r="DO121" i="17"/>
  <c r="DN121" i="17"/>
  <c r="DM121" i="17"/>
  <c r="DL121" i="17"/>
  <c r="DK121" i="17"/>
  <c r="DJ121" i="17"/>
  <c r="DI121" i="17"/>
  <c r="DH121" i="17"/>
  <c r="DF121" i="17"/>
  <c r="DE121" i="17"/>
  <c r="DD121" i="17"/>
  <c r="CX121" i="17"/>
  <c r="CW121" i="17"/>
  <c r="CV121" i="17"/>
  <c r="CT121" i="17"/>
  <c r="CQ121" i="17"/>
  <c r="CP121" i="17"/>
  <c r="JR121" i="17" s="1"/>
  <c r="CO121" i="17"/>
  <c r="CN121" i="17"/>
  <c r="CR121" i="17" s="1"/>
  <c r="CS121" i="17" s="1"/>
  <c r="CY121" i="17" s="1"/>
  <c r="CM121" i="17"/>
  <c r="CL121" i="17"/>
  <c r="CK121" i="17"/>
  <c r="CJ121" i="17"/>
  <c r="CH121" i="17"/>
  <c r="CG121" i="17"/>
  <c r="CF121" i="17"/>
  <c r="CE121" i="17"/>
  <c r="CD121" i="17"/>
  <c r="CC121" i="17"/>
  <c r="CB121" i="17"/>
  <c r="CA121" i="17"/>
  <c r="BZ121" i="17"/>
  <c r="BX121" i="17"/>
  <c r="BW121" i="17"/>
  <c r="BV121" i="17"/>
  <c r="BU121" i="17"/>
  <c r="BS121" i="17"/>
  <c r="BR121" i="17"/>
  <c r="BQ121" i="17"/>
  <c r="BP121" i="17"/>
  <c r="BO121" i="17"/>
  <c r="BN121" i="17"/>
  <c r="BM121" i="17"/>
  <c r="AL121" i="17"/>
  <c r="AJ121" i="17"/>
  <c r="KG120" i="17"/>
  <c r="KB120" i="17"/>
  <c r="KA120" i="17"/>
  <c r="JZ120" i="17"/>
  <c r="JY120" i="17"/>
  <c r="JV120" i="17"/>
  <c r="JU120" i="17"/>
  <c r="JS120" i="17"/>
  <c r="JQ120" i="17"/>
  <c r="JP120" i="17"/>
  <c r="JO120" i="17"/>
  <c r="JN120" i="17"/>
  <c r="HF120" i="17"/>
  <c r="HE120" i="17"/>
  <c r="GV120" i="17"/>
  <c r="GU120" i="17"/>
  <c r="GT120" i="17"/>
  <c r="GS120" i="17"/>
  <c r="GL120" i="17"/>
  <c r="GK120" i="17"/>
  <c r="GJ120" i="17"/>
  <c r="GI120" i="17"/>
  <c r="GH120" i="17"/>
  <c r="GG120" i="17"/>
  <c r="GF120" i="17"/>
  <c r="GE120" i="17"/>
  <c r="GD120" i="17"/>
  <c r="GC120" i="17"/>
  <c r="GB120" i="17"/>
  <c r="GA120" i="17"/>
  <c r="FZ120" i="17"/>
  <c r="FY120" i="17"/>
  <c r="FT120" i="17"/>
  <c r="FS120" i="17"/>
  <c r="FP120" i="17"/>
  <c r="FO120" i="17"/>
  <c r="FQ120" i="17" s="1"/>
  <c r="FN120" i="17"/>
  <c r="FK120" i="17"/>
  <c r="FJ120" i="17"/>
  <c r="FI120" i="17"/>
  <c r="FF120" i="17"/>
  <c r="FE120" i="17"/>
  <c r="FG120" i="17" s="1"/>
  <c r="FH120" i="17" s="1"/>
  <c r="FC120" i="17"/>
  <c r="EZ120" i="17"/>
  <c r="EY120" i="17"/>
  <c r="EU120" i="17"/>
  <c r="ET120" i="17"/>
  <c r="ES120" i="17"/>
  <c r="ER120" i="17"/>
  <c r="EJ120" i="17"/>
  <c r="EF120" i="17"/>
  <c r="ED120" i="17"/>
  <c r="EH120" i="17" s="1"/>
  <c r="EB120" i="17"/>
  <c r="EA120" i="17"/>
  <c r="DZ120" i="17"/>
  <c r="DY120" i="17"/>
  <c r="DX120" i="17"/>
  <c r="DV120" i="17"/>
  <c r="DU120" i="17"/>
  <c r="DT120" i="17"/>
  <c r="DS120" i="17"/>
  <c r="DR120" i="17"/>
  <c r="DP120" i="17"/>
  <c r="DO120" i="17"/>
  <c r="DN120" i="17"/>
  <c r="DM120" i="17"/>
  <c r="DL120" i="17"/>
  <c r="DK120" i="17"/>
  <c r="DJ120" i="17"/>
  <c r="DI120" i="17"/>
  <c r="DH120" i="17"/>
  <c r="DF120" i="17"/>
  <c r="DE120" i="17"/>
  <c r="DD120" i="17"/>
  <c r="CX120" i="17"/>
  <c r="CW120" i="17"/>
  <c r="CV120" i="17"/>
  <c r="CT120" i="17"/>
  <c r="CQ120" i="17"/>
  <c r="CP120" i="17"/>
  <c r="CO120" i="17"/>
  <c r="CR120" i="17" s="1"/>
  <c r="CS120" i="17" s="1"/>
  <c r="CY120" i="17" s="1"/>
  <c r="CN120" i="17"/>
  <c r="CM120" i="17"/>
  <c r="JR120" i="17" s="1"/>
  <c r="CL120" i="17"/>
  <c r="CK120" i="17"/>
  <c r="CJ120" i="17"/>
  <c r="CH120" i="17"/>
  <c r="CG120" i="17"/>
  <c r="CF120" i="17"/>
  <c r="CE120" i="17"/>
  <c r="CD120" i="17"/>
  <c r="CC120" i="17"/>
  <c r="CB120" i="17"/>
  <c r="CA120" i="17"/>
  <c r="BZ120" i="17"/>
  <c r="BX120" i="17"/>
  <c r="BW120" i="17"/>
  <c r="BV120" i="17"/>
  <c r="BU120" i="17"/>
  <c r="BS120" i="17"/>
  <c r="BR120" i="17"/>
  <c r="BQ120" i="17"/>
  <c r="BP120" i="17"/>
  <c r="BO120" i="17"/>
  <c r="BN120" i="17"/>
  <c r="BM120" i="17"/>
  <c r="AL120" i="17"/>
  <c r="AJ120" i="17"/>
  <c r="KG119" i="17"/>
  <c r="KB119" i="17"/>
  <c r="KA119" i="17"/>
  <c r="JZ119" i="17"/>
  <c r="JY119" i="17"/>
  <c r="JV119" i="17"/>
  <c r="JU119" i="17"/>
  <c r="JS119" i="17"/>
  <c r="JQ119" i="17"/>
  <c r="JP119" i="17"/>
  <c r="JO119" i="17"/>
  <c r="JN119" i="17"/>
  <c r="HF119" i="17"/>
  <c r="HE119" i="17"/>
  <c r="GV119" i="17"/>
  <c r="GU119" i="17"/>
  <c r="GT119" i="17"/>
  <c r="GS119" i="17"/>
  <c r="GL119" i="17"/>
  <c r="GK119" i="17"/>
  <c r="GJ119" i="17"/>
  <c r="GI119" i="17"/>
  <c r="GH119" i="17"/>
  <c r="GG119" i="17"/>
  <c r="GF119" i="17"/>
  <c r="GE119" i="17"/>
  <c r="GD119" i="17"/>
  <c r="GC119" i="17"/>
  <c r="GB119" i="17"/>
  <c r="GA119" i="17"/>
  <c r="FZ119" i="17"/>
  <c r="FY119" i="17"/>
  <c r="FT119" i="17"/>
  <c r="FS119" i="17"/>
  <c r="FP119" i="17"/>
  <c r="FO119" i="17"/>
  <c r="FN119" i="17"/>
  <c r="FK119" i="17"/>
  <c r="FJ119" i="17"/>
  <c r="FI119" i="17"/>
  <c r="FF119" i="17"/>
  <c r="FE119" i="17"/>
  <c r="FC119" i="17"/>
  <c r="EZ119" i="17"/>
  <c r="EY119" i="17"/>
  <c r="EU119" i="17"/>
  <c r="ET119" i="17"/>
  <c r="EV119" i="17" s="1"/>
  <c r="ES119" i="17"/>
  <c r="ER119" i="17"/>
  <c r="EJ119" i="17"/>
  <c r="EF119" i="17"/>
  <c r="ED119" i="17"/>
  <c r="EB119" i="17"/>
  <c r="EA119" i="17"/>
  <c r="DZ119" i="17"/>
  <c r="DY119" i="17"/>
  <c r="DX119" i="17"/>
  <c r="DV119" i="17"/>
  <c r="DU119" i="17"/>
  <c r="DT119" i="17"/>
  <c r="DS119" i="17"/>
  <c r="DR119" i="17"/>
  <c r="DP119" i="17"/>
  <c r="DO119" i="17"/>
  <c r="DN119" i="17"/>
  <c r="DM119" i="17"/>
  <c r="DL119" i="17"/>
  <c r="DK119" i="17"/>
  <c r="DJ119" i="17"/>
  <c r="DI119" i="17"/>
  <c r="DH119" i="17"/>
  <c r="DF119" i="17"/>
  <c r="DE119" i="17"/>
  <c r="DD119" i="17"/>
  <c r="CX119" i="17"/>
  <c r="CW119" i="17"/>
  <c r="CV119" i="17"/>
  <c r="CT119" i="17"/>
  <c r="CQ119" i="17"/>
  <c r="CP119" i="17"/>
  <c r="CO119" i="17"/>
  <c r="CN119" i="17"/>
  <c r="CM119" i="17"/>
  <c r="CL119" i="17"/>
  <c r="CK119" i="17"/>
  <c r="CJ119" i="17"/>
  <c r="CH119" i="17"/>
  <c r="CG119" i="17"/>
  <c r="CF119" i="17"/>
  <c r="CE119" i="17"/>
  <c r="CD119" i="17"/>
  <c r="CC119" i="17"/>
  <c r="CB119" i="17"/>
  <c r="CA119" i="17"/>
  <c r="BZ119" i="17"/>
  <c r="BX119" i="17"/>
  <c r="BW119" i="17"/>
  <c r="BV119" i="17"/>
  <c r="BU119" i="17"/>
  <c r="BS119" i="17"/>
  <c r="BR119" i="17"/>
  <c r="BQ119" i="17"/>
  <c r="BP119" i="17"/>
  <c r="BO119" i="17"/>
  <c r="BN119" i="17"/>
  <c r="BM119" i="17"/>
  <c r="AL119" i="17"/>
  <c r="AJ119" i="17"/>
  <c r="KG118" i="17"/>
  <c r="KB118" i="17"/>
  <c r="KA118" i="17"/>
  <c r="JZ118" i="17"/>
  <c r="JY118" i="17"/>
  <c r="JV118" i="17"/>
  <c r="JU118" i="17"/>
  <c r="JS118" i="17"/>
  <c r="JQ118" i="17"/>
  <c r="JP118" i="17"/>
  <c r="JO118" i="17"/>
  <c r="JN118" i="17"/>
  <c r="HF118" i="17"/>
  <c r="HE118" i="17"/>
  <c r="GV118" i="17"/>
  <c r="GU118" i="17"/>
  <c r="GT118" i="17"/>
  <c r="GS118" i="17"/>
  <c r="GL118" i="17"/>
  <c r="GK118" i="17"/>
  <c r="GJ118" i="17"/>
  <c r="GI118" i="17"/>
  <c r="GH118" i="17"/>
  <c r="GG118" i="17"/>
  <c r="GF118" i="17"/>
  <c r="GE118" i="17"/>
  <c r="GD118" i="17"/>
  <c r="GC118" i="17"/>
  <c r="GB118" i="17"/>
  <c r="GA118" i="17"/>
  <c r="FZ118" i="17"/>
  <c r="FY118" i="17"/>
  <c r="FT118" i="17"/>
  <c r="FS118" i="17"/>
  <c r="FP118" i="17"/>
  <c r="FO118" i="17"/>
  <c r="FN118" i="17"/>
  <c r="FK118" i="17"/>
  <c r="FJ118" i="17"/>
  <c r="FL118" i="17" s="1"/>
  <c r="FI118" i="17"/>
  <c r="FF118" i="17"/>
  <c r="FE118" i="17"/>
  <c r="FC118" i="17"/>
  <c r="EZ118" i="17"/>
  <c r="EY118" i="17"/>
  <c r="FA118" i="17" s="1"/>
  <c r="FB118" i="17" s="1"/>
  <c r="EU118" i="17"/>
  <c r="ET118" i="17"/>
  <c r="EV118" i="17" s="1"/>
  <c r="ES118" i="17"/>
  <c r="ER118" i="17"/>
  <c r="EJ118" i="17"/>
  <c r="EF118" i="17"/>
  <c r="ED118" i="17"/>
  <c r="EB118" i="17"/>
  <c r="EA118" i="17"/>
  <c r="DZ118" i="17"/>
  <c r="DY118" i="17"/>
  <c r="DX118" i="17"/>
  <c r="DV118" i="17"/>
  <c r="DU118" i="17"/>
  <c r="DT118" i="17"/>
  <c r="DS118" i="17"/>
  <c r="DR118" i="17"/>
  <c r="DP118" i="17"/>
  <c r="DO118" i="17"/>
  <c r="DN118" i="17"/>
  <c r="DM118" i="17"/>
  <c r="DL118" i="17"/>
  <c r="DK118" i="17"/>
  <c r="DJ118" i="17"/>
  <c r="DI118" i="17"/>
  <c r="DH118" i="17"/>
  <c r="DF118" i="17"/>
  <c r="DE118" i="17"/>
  <c r="DD118" i="17"/>
  <c r="CX118" i="17"/>
  <c r="CW118" i="17"/>
  <c r="CV118" i="17"/>
  <c r="CT118" i="17"/>
  <c r="CQ118" i="17"/>
  <c r="CP118" i="17"/>
  <c r="CO118" i="17"/>
  <c r="CR118" i="17" s="1"/>
  <c r="CS118" i="17" s="1"/>
  <c r="CY118" i="17" s="1"/>
  <c r="CN118" i="17"/>
  <c r="CM118" i="17"/>
  <c r="JR118" i="17" s="1"/>
  <c r="CL118" i="17"/>
  <c r="CK118" i="17"/>
  <c r="CJ118" i="17"/>
  <c r="CH118" i="17"/>
  <c r="CG118" i="17"/>
  <c r="CF118" i="17"/>
  <c r="CE118" i="17"/>
  <c r="CD118" i="17"/>
  <c r="CC118" i="17"/>
  <c r="CB118" i="17"/>
  <c r="CA118" i="17"/>
  <c r="BZ118" i="17"/>
  <c r="BX118" i="17"/>
  <c r="BW118" i="17"/>
  <c r="BV118" i="17"/>
  <c r="BU118" i="17"/>
  <c r="BS118" i="17"/>
  <c r="BR118" i="17"/>
  <c r="BQ118" i="17"/>
  <c r="BP118" i="17"/>
  <c r="BO118" i="17"/>
  <c r="BN118" i="17"/>
  <c r="BM118" i="17"/>
  <c r="AL118" i="17"/>
  <c r="AJ118" i="17"/>
  <c r="KG117" i="17"/>
  <c r="KB117" i="17"/>
  <c r="KA117" i="17"/>
  <c r="JZ117" i="17"/>
  <c r="JY117" i="17"/>
  <c r="JV117" i="17"/>
  <c r="JU117" i="17"/>
  <c r="JS117" i="17"/>
  <c r="JQ117" i="17"/>
  <c r="JP117" i="17"/>
  <c r="JO117" i="17"/>
  <c r="JN117" i="17"/>
  <c r="HF117" i="17"/>
  <c r="HE117" i="17"/>
  <c r="GV117" i="17"/>
  <c r="GU117" i="17"/>
  <c r="GT117" i="17"/>
  <c r="GS117" i="17"/>
  <c r="GL117" i="17"/>
  <c r="GK117" i="17"/>
  <c r="GJ117" i="17"/>
  <c r="GI117" i="17"/>
  <c r="GH117" i="17"/>
  <c r="GG117" i="17"/>
  <c r="GF117" i="17"/>
  <c r="GE117" i="17"/>
  <c r="GD117" i="17"/>
  <c r="GC117" i="17"/>
  <c r="GB117" i="17"/>
  <c r="GA117" i="17"/>
  <c r="FZ117" i="17"/>
  <c r="FY117" i="17"/>
  <c r="FT117" i="17"/>
  <c r="FS117" i="17"/>
  <c r="FP117" i="17"/>
  <c r="FO117" i="17"/>
  <c r="FN117" i="17"/>
  <c r="FK117" i="17"/>
  <c r="FJ117" i="17"/>
  <c r="FL117" i="17" s="1"/>
  <c r="FI117" i="17"/>
  <c r="FF117" i="17"/>
  <c r="FE117" i="17"/>
  <c r="FC117" i="17"/>
  <c r="EZ117" i="17"/>
  <c r="EY117" i="17"/>
  <c r="FA117" i="17" s="1"/>
  <c r="FB117" i="17" s="1"/>
  <c r="EU117" i="17"/>
  <c r="ET117" i="17"/>
  <c r="ES117" i="17"/>
  <c r="ER117" i="17"/>
  <c r="EJ117" i="17"/>
  <c r="EF117" i="17"/>
  <c r="ED117" i="17"/>
  <c r="EB117" i="17"/>
  <c r="EA117" i="17"/>
  <c r="DZ117" i="17"/>
  <c r="DY117" i="17"/>
  <c r="DX117" i="17"/>
  <c r="DV117" i="17"/>
  <c r="DU117" i="17"/>
  <c r="DT117" i="17"/>
  <c r="DS117" i="17"/>
  <c r="DR117" i="17"/>
  <c r="DP117" i="17"/>
  <c r="DO117" i="17"/>
  <c r="DN117" i="17"/>
  <c r="DM117" i="17"/>
  <c r="DL117" i="17"/>
  <c r="DK117" i="17"/>
  <c r="DJ117" i="17"/>
  <c r="DI117" i="17"/>
  <c r="DH117" i="17"/>
  <c r="DF117" i="17"/>
  <c r="DE117" i="17"/>
  <c r="DD117" i="17"/>
  <c r="CX117" i="17"/>
  <c r="CW117" i="17"/>
  <c r="CV117" i="17"/>
  <c r="CT117" i="17"/>
  <c r="CQ117" i="17"/>
  <c r="CP117" i="17"/>
  <c r="CO117" i="17"/>
  <c r="CN117" i="17"/>
  <c r="CM117" i="17"/>
  <c r="CL117" i="17"/>
  <c r="CK117" i="17"/>
  <c r="CJ117" i="17"/>
  <c r="CH117" i="17"/>
  <c r="CG117" i="17"/>
  <c r="CF117" i="17"/>
  <c r="CE117" i="17"/>
  <c r="CD117" i="17"/>
  <c r="CC117" i="17"/>
  <c r="CB117" i="17"/>
  <c r="CA117" i="17"/>
  <c r="BZ117" i="17"/>
  <c r="BX117" i="17"/>
  <c r="BW117" i="17"/>
  <c r="BV117" i="17"/>
  <c r="BU117" i="17"/>
  <c r="BS117" i="17"/>
  <c r="BR117" i="17"/>
  <c r="BQ117" i="17"/>
  <c r="BP117" i="17"/>
  <c r="BO117" i="17"/>
  <c r="BN117" i="17"/>
  <c r="BM117" i="17"/>
  <c r="AL117" i="17"/>
  <c r="AJ117" i="17"/>
  <c r="KG116" i="17"/>
  <c r="KB116" i="17"/>
  <c r="KA116" i="17"/>
  <c r="JZ116" i="17"/>
  <c r="JY116" i="17"/>
  <c r="JV116" i="17"/>
  <c r="JU116" i="17"/>
  <c r="JS116" i="17"/>
  <c r="JQ116" i="17"/>
  <c r="JP116" i="17"/>
  <c r="JO116" i="17"/>
  <c r="JN116" i="17"/>
  <c r="HF116" i="17"/>
  <c r="HE116" i="17"/>
  <c r="GV116" i="17"/>
  <c r="GU116" i="17"/>
  <c r="GT116" i="17"/>
  <c r="GS116" i="17"/>
  <c r="GL116" i="17"/>
  <c r="GK116" i="17"/>
  <c r="GJ116" i="17"/>
  <c r="GI116" i="17"/>
  <c r="GH116" i="17"/>
  <c r="GG116" i="17"/>
  <c r="GF116" i="17"/>
  <c r="GE116" i="17"/>
  <c r="GD116" i="17"/>
  <c r="GC116" i="17"/>
  <c r="GB116" i="17"/>
  <c r="GA116" i="17"/>
  <c r="FZ116" i="17"/>
  <c r="FY116" i="17"/>
  <c r="FT116" i="17"/>
  <c r="FS116" i="17"/>
  <c r="FP116" i="17"/>
  <c r="FO116" i="17"/>
  <c r="FN116" i="17"/>
  <c r="FK116" i="17"/>
  <c r="FJ116" i="17"/>
  <c r="FL116" i="17" s="1"/>
  <c r="FI116" i="17"/>
  <c r="FF116" i="17"/>
  <c r="FE116" i="17"/>
  <c r="FC116" i="17"/>
  <c r="EZ116" i="17"/>
  <c r="EY116" i="17"/>
  <c r="FA116" i="17" s="1"/>
  <c r="FB116" i="17" s="1"/>
  <c r="EU116" i="17"/>
  <c r="ET116" i="17"/>
  <c r="EV116" i="17" s="1"/>
  <c r="ES116" i="17"/>
  <c r="ER116" i="17"/>
  <c r="EJ116" i="17"/>
  <c r="EF116" i="17"/>
  <c r="ED116" i="17"/>
  <c r="EB116" i="17"/>
  <c r="EA116" i="17"/>
  <c r="DZ116" i="17"/>
  <c r="DY116" i="17"/>
  <c r="DX116" i="17"/>
  <c r="DV116" i="17"/>
  <c r="DU116" i="17"/>
  <c r="DT116" i="17"/>
  <c r="DS116" i="17"/>
  <c r="DR116" i="17"/>
  <c r="DP116" i="17"/>
  <c r="DO116" i="17"/>
  <c r="DN116" i="17"/>
  <c r="DM116" i="17"/>
  <c r="DL116" i="17"/>
  <c r="DK116" i="17"/>
  <c r="DJ116" i="17"/>
  <c r="DI116" i="17"/>
  <c r="DH116" i="17"/>
  <c r="DF116" i="17"/>
  <c r="DE116" i="17"/>
  <c r="DD116" i="17"/>
  <c r="CX116" i="17"/>
  <c r="CW116" i="17"/>
  <c r="CV116" i="17"/>
  <c r="CT116" i="17"/>
  <c r="CQ116" i="17"/>
  <c r="CP116" i="17"/>
  <c r="CO116" i="17"/>
  <c r="CN116" i="17"/>
  <c r="CM116" i="17"/>
  <c r="CL116" i="17"/>
  <c r="CK116" i="17"/>
  <c r="CJ116" i="17"/>
  <c r="CH116" i="17"/>
  <c r="CG116" i="17"/>
  <c r="CF116" i="17"/>
  <c r="CE116" i="17"/>
  <c r="CD116" i="17"/>
  <c r="CC116" i="17"/>
  <c r="CB116" i="17"/>
  <c r="CA116" i="17"/>
  <c r="BZ116" i="17"/>
  <c r="BX116" i="17"/>
  <c r="BW116" i="17"/>
  <c r="BV116" i="17"/>
  <c r="BU116" i="17"/>
  <c r="BS116" i="17"/>
  <c r="BR116" i="17"/>
  <c r="BQ116" i="17"/>
  <c r="BP116" i="17"/>
  <c r="BO116" i="17"/>
  <c r="BN116" i="17"/>
  <c r="BM116" i="17"/>
  <c r="AL116" i="17"/>
  <c r="AJ116" i="17"/>
  <c r="KG115" i="17"/>
  <c r="KB115" i="17"/>
  <c r="KA115" i="17"/>
  <c r="JZ115" i="17"/>
  <c r="JY115" i="17"/>
  <c r="JV115" i="17"/>
  <c r="JU115" i="17"/>
  <c r="JS115" i="17"/>
  <c r="JQ115" i="17"/>
  <c r="JP115" i="17"/>
  <c r="JO115" i="17"/>
  <c r="JN115" i="17"/>
  <c r="HF115" i="17"/>
  <c r="HE115" i="17"/>
  <c r="GV115" i="17"/>
  <c r="GU115" i="17"/>
  <c r="GT115" i="17"/>
  <c r="GS115" i="17"/>
  <c r="GL115" i="17"/>
  <c r="GK115" i="17"/>
  <c r="GJ115" i="17"/>
  <c r="GI115" i="17"/>
  <c r="GH115" i="17"/>
  <c r="GG115" i="17"/>
  <c r="GF115" i="17"/>
  <c r="GE115" i="17"/>
  <c r="GD115" i="17"/>
  <c r="GC115" i="17"/>
  <c r="GB115" i="17"/>
  <c r="GA115" i="17"/>
  <c r="FZ115" i="17"/>
  <c r="FY115" i="17"/>
  <c r="FT115" i="17"/>
  <c r="FS115" i="17"/>
  <c r="FP115" i="17"/>
  <c r="FO115" i="17"/>
  <c r="FQ115" i="17" s="1"/>
  <c r="FN115" i="17"/>
  <c r="FK115" i="17"/>
  <c r="FJ115" i="17"/>
  <c r="FI115" i="17"/>
  <c r="FF115" i="17"/>
  <c r="FE115" i="17"/>
  <c r="FG115" i="17" s="1"/>
  <c r="FH115" i="17" s="1"/>
  <c r="FC115" i="17"/>
  <c r="EZ115" i="17"/>
  <c r="EY115" i="17"/>
  <c r="EU115" i="17"/>
  <c r="ET115" i="17"/>
  <c r="ES115" i="17"/>
  <c r="ER115" i="17"/>
  <c r="EJ115" i="17"/>
  <c r="EF115" i="17"/>
  <c r="ED115" i="17"/>
  <c r="EB115" i="17"/>
  <c r="EA115" i="17"/>
  <c r="DZ115" i="17"/>
  <c r="DY115" i="17"/>
  <c r="DX115" i="17"/>
  <c r="DV115" i="17"/>
  <c r="DU115" i="17"/>
  <c r="DT115" i="17"/>
  <c r="DS115" i="17"/>
  <c r="DR115" i="17"/>
  <c r="DP115" i="17"/>
  <c r="DO115" i="17"/>
  <c r="DN115" i="17"/>
  <c r="DM115" i="17"/>
  <c r="DL115" i="17"/>
  <c r="DK115" i="17"/>
  <c r="DJ115" i="17"/>
  <c r="DI115" i="17"/>
  <c r="DH115" i="17"/>
  <c r="DF115" i="17"/>
  <c r="DE115" i="17"/>
  <c r="DD115" i="17"/>
  <c r="CX115" i="17"/>
  <c r="CW115" i="17"/>
  <c r="CV115" i="17"/>
  <c r="CT115" i="17"/>
  <c r="CQ115" i="17"/>
  <c r="CP115" i="17"/>
  <c r="JR115" i="17" s="1"/>
  <c r="CO115" i="17"/>
  <c r="CN115" i="17"/>
  <c r="CR115" i="17" s="1"/>
  <c r="CS115" i="17" s="1"/>
  <c r="CY115" i="17" s="1"/>
  <c r="CM115" i="17"/>
  <c r="CL115" i="17"/>
  <c r="CK115" i="17"/>
  <c r="CJ115" i="17"/>
  <c r="CH115" i="17"/>
  <c r="CG115" i="17"/>
  <c r="CF115" i="17"/>
  <c r="CE115" i="17"/>
  <c r="CD115" i="17"/>
  <c r="CC115" i="17"/>
  <c r="CB115" i="17"/>
  <c r="CA115" i="17"/>
  <c r="BZ115" i="17"/>
  <c r="BX115" i="17"/>
  <c r="BW115" i="17"/>
  <c r="BV115" i="17"/>
  <c r="BU115" i="17"/>
  <c r="BS115" i="17"/>
  <c r="BR115" i="17"/>
  <c r="BQ115" i="17"/>
  <c r="BP115" i="17"/>
  <c r="BO115" i="17"/>
  <c r="BN115" i="17"/>
  <c r="BM115" i="17"/>
  <c r="AL115" i="17"/>
  <c r="AJ115" i="17"/>
  <c r="KG114" i="17"/>
  <c r="KB114" i="17"/>
  <c r="KA114" i="17"/>
  <c r="JZ114" i="17"/>
  <c r="JY114" i="17"/>
  <c r="JV114" i="17"/>
  <c r="JU114" i="17"/>
  <c r="JS114" i="17"/>
  <c r="JQ114" i="17"/>
  <c r="JP114" i="17"/>
  <c r="JO114" i="17"/>
  <c r="JN114" i="17"/>
  <c r="HF114" i="17"/>
  <c r="HE114" i="17"/>
  <c r="GV114" i="17"/>
  <c r="GU114" i="17"/>
  <c r="GT114" i="17"/>
  <c r="GS114" i="17"/>
  <c r="GL114" i="17"/>
  <c r="GK114" i="17"/>
  <c r="GJ114" i="17"/>
  <c r="GI114" i="17"/>
  <c r="GH114" i="17"/>
  <c r="GG114" i="17"/>
  <c r="GF114" i="17"/>
  <c r="GE114" i="17"/>
  <c r="GD114" i="17"/>
  <c r="GC114" i="17"/>
  <c r="GB114" i="17"/>
  <c r="GA114" i="17"/>
  <c r="FZ114" i="17"/>
  <c r="FY114" i="17"/>
  <c r="FT114" i="17"/>
  <c r="FS114" i="17"/>
  <c r="FP114" i="17"/>
  <c r="FO114" i="17"/>
  <c r="FN114" i="17"/>
  <c r="FK114" i="17"/>
  <c r="FJ114" i="17"/>
  <c r="FI114" i="17"/>
  <c r="FF114" i="17"/>
  <c r="FE114" i="17"/>
  <c r="FC114" i="17"/>
  <c r="EZ114" i="17"/>
  <c r="EY114" i="17"/>
  <c r="EU114" i="17"/>
  <c r="ET114" i="17"/>
  <c r="ES114" i="17"/>
  <c r="ER114" i="17"/>
  <c r="EJ114" i="17"/>
  <c r="EF114" i="17"/>
  <c r="ED114" i="17"/>
  <c r="EH114" i="17" s="1"/>
  <c r="EB114" i="17"/>
  <c r="EA114" i="17"/>
  <c r="DZ114" i="17"/>
  <c r="DY114" i="17"/>
  <c r="DX114" i="17"/>
  <c r="DV114" i="17"/>
  <c r="DU114" i="17"/>
  <c r="DT114" i="17"/>
  <c r="DS114" i="17"/>
  <c r="DR114" i="17"/>
  <c r="DP114" i="17"/>
  <c r="DO114" i="17"/>
  <c r="DN114" i="17"/>
  <c r="DM114" i="17"/>
  <c r="DL114" i="17"/>
  <c r="DK114" i="17"/>
  <c r="DJ114" i="17"/>
  <c r="DI114" i="17"/>
  <c r="DH114" i="17"/>
  <c r="DF114" i="17"/>
  <c r="DE114" i="17"/>
  <c r="DD114" i="17"/>
  <c r="CX114" i="17"/>
  <c r="CW114" i="17"/>
  <c r="CV114" i="17"/>
  <c r="CT114" i="17"/>
  <c r="CQ114" i="17"/>
  <c r="CP114" i="17"/>
  <c r="CO114" i="17"/>
  <c r="CN114" i="17"/>
  <c r="CM114" i="17"/>
  <c r="CL114" i="17"/>
  <c r="CK114" i="17"/>
  <c r="CJ114" i="17"/>
  <c r="CH114" i="17"/>
  <c r="CG114" i="17"/>
  <c r="CF114" i="17"/>
  <c r="CE114" i="17"/>
  <c r="CD114" i="17"/>
  <c r="CC114" i="17"/>
  <c r="CB114" i="17"/>
  <c r="CA114" i="17"/>
  <c r="BZ114" i="17"/>
  <c r="BX114" i="17"/>
  <c r="BW114" i="17"/>
  <c r="BV114" i="17"/>
  <c r="BU114" i="17"/>
  <c r="BS114" i="17"/>
  <c r="BR114" i="17"/>
  <c r="BQ114" i="17"/>
  <c r="BP114" i="17"/>
  <c r="BO114" i="17"/>
  <c r="BN114" i="17"/>
  <c r="BM114" i="17"/>
  <c r="AL114" i="17"/>
  <c r="AJ114" i="17"/>
  <c r="KG113" i="17"/>
  <c r="KB113" i="17"/>
  <c r="KA113" i="17"/>
  <c r="JZ113" i="17"/>
  <c r="JY113" i="17"/>
  <c r="JV113" i="17"/>
  <c r="JU113" i="17"/>
  <c r="JS113" i="17"/>
  <c r="JQ113" i="17"/>
  <c r="JP113" i="17"/>
  <c r="JO113" i="17"/>
  <c r="JN113" i="17"/>
  <c r="HF113" i="17"/>
  <c r="HE113" i="17"/>
  <c r="GV113" i="17"/>
  <c r="GU113" i="17"/>
  <c r="GT113" i="17"/>
  <c r="GS113" i="17"/>
  <c r="GL113" i="17"/>
  <c r="GK113" i="17"/>
  <c r="GJ113" i="17"/>
  <c r="GI113" i="17"/>
  <c r="GH113" i="17"/>
  <c r="GG113" i="17"/>
  <c r="GF113" i="17"/>
  <c r="GE113" i="17"/>
  <c r="GD113" i="17"/>
  <c r="GC113" i="17"/>
  <c r="GB113" i="17"/>
  <c r="GA113" i="17"/>
  <c r="FZ113" i="17"/>
  <c r="FY113" i="17"/>
  <c r="FT113" i="17"/>
  <c r="FS113" i="17"/>
  <c r="FP113" i="17"/>
  <c r="FO113" i="17"/>
  <c r="FQ113" i="17" s="1"/>
  <c r="FN113" i="17"/>
  <c r="FK113" i="17"/>
  <c r="FJ113" i="17"/>
  <c r="FI113" i="17"/>
  <c r="FF113" i="17"/>
  <c r="FE113" i="17"/>
  <c r="FG113" i="17" s="1"/>
  <c r="FH113" i="17" s="1"/>
  <c r="FC113" i="17"/>
  <c r="EZ113" i="17"/>
  <c r="EY113" i="17"/>
  <c r="EU113" i="17"/>
  <c r="ET113" i="17"/>
  <c r="ES113" i="17"/>
  <c r="ER113" i="17"/>
  <c r="EJ113" i="17"/>
  <c r="EF113" i="17"/>
  <c r="ED113" i="17"/>
  <c r="EH113" i="17" s="1"/>
  <c r="EB113" i="17"/>
  <c r="EA113" i="17"/>
  <c r="DZ113" i="17"/>
  <c r="DY113" i="17"/>
  <c r="DX113" i="17"/>
  <c r="DV113" i="17"/>
  <c r="DU113" i="17"/>
  <c r="DT113" i="17"/>
  <c r="DS113" i="17"/>
  <c r="DR113" i="17"/>
  <c r="DP113" i="17"/>
  <c r="DO113" i="17"/>
  <c r="DN113" i="17"/>
  <c r="DM113" i="17"/>
  <c r="DL113" i="17"/>
  <c r="DK113" i="17"/>
  <c r="DJ113" i="17"/>
  <c r="DI113" i="17"/>
  <c r="DH113" i="17"/>
  <c r="DF113" i="17"/>
  <c r="DE113" i="17"/>
  <c r="DD113" i="17"/>
  <c r="CX113" i="17"/>
  <c r="CW113" i="17"/>
  <c r="CV113" i="17"/>
  <c r="CT113" i="17"/>
  <c r="CQ113" i="17"/>
  <c r="CP113" i="17"/>
  <c r="CO113" i="17"/>
  <c r="CN113" i="17"/>
  <c r="CR113" i="17" s="1"/>
  <c r="CS113" i="17" s="1"/>
  <c r="CY113" i="17" s="1"/>
  <c r="CM113" i="17"/>
  <c r="CL113" i="17"/>
  <c r="CK113" i="17"/>
  <c r="CJ113" i="17"/>
  <c r="CH113" i="17"/>
  <c r="CG113" i="17"/>
  <c r="CF113" i="17"/>
  <c r="CE113" i="17"/>
  <c r="CD113" i="17"/>
  <c r="CC113" i="17"/>
  <c r="CB113" i="17"/>
  <c r="CA113" i="17"/>
  <c r="BZ113" i="17"/>
  <c r="BX113" i="17"/>
  <c r="BW113" i="17"/>
  <c r="BV113" i="17"/>
  <c r="BU113" i="17"/>
  <c r="BS113" i="17"/>
  <c r="BR113" i="17"/>
  <c r="BQ113" i="17"/>
  <c r="BP113" i="17"/>
  <c r="BO113" i="17"/>
  <c r="BN113" i="17"/>
  <c r="BM113" i="17"/>
  <c r="AL113" i="17"/>
  <c r="AJ113" i="17"/>
  <c r="KG112" i="17"/>
  <c r="KB112" i="17"/>
  <c r="KA112" i="17"/>
  <c r="JZ112" i="17"/>
  <c r="JY112" i="17"/>
  <c r="JV112" i="17"/>
  <c r="JU112" i="17"/>
  <c r="JS112" i="17"/>
  <c r="JQ112" i="17"/>
  <c r="JP112" i="17"/>
  <c r="JO112" i="17"/>
  <c r="JN112" i="17"/>
  <c r="HF112" i="17"/>
  <c r="HE112" i="17"/>
  <c r="GV112" i="17"/>
  <c r="GU112" i="17"/>
  <c r="GT112" i="17"/>
  <c r="GS112" i="17"/>
  <c r="GL112" i="17"/>
  <c r="GK112" i="17"/>
  <c r="GJ112" i="17"/>
  <c r="GI112" i="17"/>
  <c r="GH112" i="17"/>
  <c r="GG112" i="17"/>
  <c r="GF112" i="17"/>
  <c r="GE112" i="17"/>
  <c r="GD112" i="17"/>
  <c r="GC112" i="17"/>
  <c r="GB112" i="17"/>
  <c r="GA112" i="17"/>
  <c r="FZ112" i="17"/>
  <c r="FY112" i="17"/>
  <c r="FT112" i="17"/>
  <c r="FS112" i="17"/>
  <c r="FP112" i="17"/>
  <c r="FO112" i="17"/>
  <c r="FQ112" i="17" s="1"/>
  <c r="FN112" i="17"/>
  <c r="FK112" i="17"/>
  <c r="FJ112" i="17"/>
  <c r="FI112" i="17"/>
  <c r="FF112" i="17"/>
  <c r="FE112" i="17"/>
  <c r="FG112" i="17" s="1"/>
  <c r="FH112" i="17" s="1"/>
  <c r="FC112" i="17"/>
  <c r="EZ112" i="17"/>
  <c r="EY112" i="17"/>
  <c r="EU112" i="17"/>
  <c r="ET112" i="17"/>
  <c r="ES112" i="17"/>
  <c r="ER112" i="17"/>
  <c r="EJ112" i="17"/>
  <c r="EF112" i="17"/>
  <c r="ED112" i="17"/>
  <c r="EH112" i="17" s="1"/>
  <c r="EB112" i="17"/>
  <c r="EA112" i="17"/>
  <c r="DZ112" i="17"/>
  <c r="DY112" i="17"/>
  <c r="DX112" i="17"/>
  <c r="DV112" i="17"/>
  <c r="DU112" i="17"/>
  <c r="DT112" i="17"/>
  <c r="DS112" i="17"/>
  <c r="DR112" i="17"/>
  <c r="DP112" i="17"/>
  <c r="DO112" i="17"/>
  <c r="DN112" i="17"/>
  <c r="DM112" i="17"/>
  <c r="DL112" i="17"/>
  <c r="DK112" i="17"/>
  <c r="DJ112" i="17"/>
  <c r="DI112" i="17"/>
  <c r="DH112" i="17"/>
  <c r="DF112" i="17"/>
  <c r="DE112" i="17"/>
  <c r="DD112" i="17"/>
  <c r="CX112" i="17"/>
  <c r="CW112" i="17"/>
  <c r="CV112" i="17"/>
  <c r="CT112" i="17"/>
  <c r="CQ112" i="17"/>
  <c r="CP112" i="17"/>
  <c r="CO112" i="17"/>
  <c r="CN112" i="17"/>
  <c r="CM112" i="17"/>
  <c r="CL112" i="17"/>
  <c r="CK112" i="17"/>
  <c r="CJ112" i="17"/>
  <c r="CH112" i="17"/>
  <c r="CG112" i="17"/>
  <c r="CF112" i="17"/>
  <c r="CE112" i="17"/>
  <c r="CD112" i="17"/>
  <c r="CC112" i="17"/>
  <c r="CB112" i="17"/>
  <c r="CA112" i="17"/>
  <c r="BZ112" i="17"/>
  <c r="BX112" i="17"/>
  <c r="BW112" i="17"/>
  <c r="BV112" i="17"/>
  <c r="BU112" i="17"/>
  <c r="BS112" i="17"/>
  <c r="BR112" i="17"/>
  <c r="BQ112" i="17"/>
  <c r="BP112" i="17"/>
  <c r="BO112" i="17"/>
  <c r="BN112" i="17"/>
  <c r="BM112" i="17"/>
  <c r="AL112" i="17"/>
  <c r="AJ112" i="17"/>
  <c r="KG111" i="17"/>
  <c r="KB111" i="17"/>
  <c r="KA111" i="17"/>
  <c r="JZ111" i="17"/>
  <c r="JY111" i="17"/>
  <c r="JV111" i="17"/>
  <c r="JU111" i="17"/>
  <c r="JS111" i="17"/>
  <c r="JQ111" i="17"/>
  <c r="JP111" i="17"/>
  <c r="JO111" i="17"/>
  <c r="JN111" i="17"/>
  <c r="HF111" i="17"/>
  <c r="HE111" i="17"/>
  <c r="GV111" i="17"/>
  <c r="GU111" i="17"/>
  <c r="GT111" i="17"/>
  <c r="GS111" i="17"/>
  <c r="GL111" i="17"/>
  <c r="GK111" i="17"/>
  <c r="GJ111" i="17"/>
  <c r="GI111" i="17"/>
  <c r="GH111" i="17"/>
  <c r="GG111" i="17"/>
  <c r="GF111" i="17"/>
  <c r="GE111" i="17"/>
  <c r="GD111" i="17"/>
  <c r="GC111" i="17"/>
  <c r="GB111" i="17"/>
  <c r="GA111" i="17"/>
  <c r="FZ111" i="17"/>
  <c r="FY111" i="17"/>
  <c r="FT111" i="17"/>
  <c r="FS111" i="17"/>
  <c r="FP111" i="17"/>
  <c r="FO111" i="17"/>
  <c r="FQ111" i="17" s="1"/>
  <c r="FN111" i="17"/>
  <c r="FK111" i="17"/>
  <c r="FJ111" i="17"/>
  <c r="FI111" i="17"/>
  <c r="FF111" i="17"/>
  <c r="FE111" i="17"/>
  <c r="FG111" i="17" s="1"/>
  <c r="FH111" i="17" s="1"/>
  <c r="FC111" i="17"/>
  <c r="EZ111" i="17"/>
  <c r="EY111" i="17"/>
  <c r="EU111" i="17"/>
  <c r="ET111" i="17"/>
  <c r="ES111" i="17"/>
  <c r="ER111" i="17"/>
  <c r="EJ111" i="17"/>
  <c r="EF111" i="17"/>
  <c r="ED111" i="17"/>
  <c r="EH111" i="17" s="1"/>
  <c r="EB111" i="17"/>
  <c r="EA111" i="17"/>
  <c r="DZ111" i="17"/>
  <c r="DY111" i="17"/>
  <c r="DX111" i="17"/>
  <c r="DV111" i="17"/>
  <c r="DU111" i="17"/>
  <c r="DT111" i="17"/>
  <c r="DS111" i="17"/>
  <c r="DR111" i="17"/>
  <c r="DP111" i="17"/>
  <c r="DO111" i="17"/>
  <c r="DN111" i="17"/>
  <c r="DM111" i="17"/>
  <c r="DL111" i="17"/>
  <c r="DK111" i="17"/>
  <c r="DJ111" i="17"/>
  <c r="DI111" i="17"/>
  <c r="DH111" i="17"/>
  <c r="DF111" i="17"/>
  <c r="DE111" i="17"/>
  <c r="DD111" i="17"/>
  <c r="CX111" i="17"/>
  <c r="CW111" i="17"/>
  <c r="CV111" i="17"/>
  <c r="CT111" i="17"/>
  <c r="CQ111" i="17"/>
  <c r="CP111" i="17"/>
  <c r="CO111" i="17"/>
  <c r="CN111" i="17"/>
  <c r="CR111" i="17" s="1"/>
  <c r="CS111" i="17" s="1"/>
  <c r="CY111" i="17" s="1"/>
  <c r="CM111" i="17"/>
  <c r="CL111" i="17"/>
  <c r="CK111" i="17"/>
  <c r="CJ111" i="17"/>
  <c r="CH111" i="17"/>
  <c r="CG111" i="17"/>
  <c r="CF111" i="17"/>
  <c r="CE111" i="17"/>
  <c r="CD111" i="17"/>
  <c r="CC111" i="17"/>
  <c r="CB111" i="17"/>
  <c r="CA111" i="17"/>
  <c r="BZ111" i="17"/>
  <c r="BX111" i="17"/>
  <c r="BW111" i="17"/>
  <c r="BV111" i="17"/>
  <c r="BU111" i="17"/>
  <c r="BS111" i="17"/>
  <c r="BR111" i="17"/>
  <c r="BQ111" i="17"/>
  <c r="BP111" i="17"/>
  <c r="BO111" i="17"/>
  <c r="BN111" i="17"/>
  <c r="BM111" i="17"/>
  <c r="AL111" i="17"/>
  <c r="AJ111" i="17"/>
  <c r="KG110" i="17"/>
  <c r="KB110" i="17"/>
  <c r="KA110" i="17"/>
  <c r="JZ110" i="17"/>
  <c r="JY110" i="17"/>
  <c r="JV110" i="17"/>
  <c r="JU110" i="17"/>
  <c r="JS110" i="17"/>
  <c r="JQ110" i="17"/>
  <c r="JP110" i="17"/>
  <c r="JO110" i="17"/>
  <c r="JN110" i="17"/>
  <c r="HF110" i="17"/>
  <c r="HE110" i="17"/>
  <c r="GV110" i="17"/>
  <c r="GU110" i="17"/>
  <c r="GT110" i="17"/>
  <c r="GS110" i="17"/>
  <c r="GL110" i="17"/>
  <c r="GK110" i="17"/>
  <c r="GJ110" i="17"/>
  <c r="GI110" i="17"/>
  <c r="GH110" i="17"/>
  <c r="GG110" i="17"/>
  <c r="GF110" i="17"/>
  <c r="GE110" i="17"/>
  <c r="GD110" i="17"/>
  <c r="GC110" i="17"/>
  <c r="GB110" i="17"/>
  <c r="GA110" i="17"/>
  <c r="FZ110" i="17"/>
  <c r="FY110" i="17"/>
  <c r="FT110" i="17"/>
  <c r="FS110" i="17"/>
  <c r="FP110" i="17"/>
  <c r="FO110" i="17"/>
  <c r="FQ110" i="17" s="1"/>
  <c r="FN110" i="17"/>
  <c r="FK110" i="17"/>
  <c r="FJ110" i="17"/>
  <c r="FI110" i="17"/>
  <c r="FF110" i="17"/>
  <c r="FE110" i="17"/>
  <c r="FG110" i="17" s="1"/>
  <c r="FH110" i="17" s="1"/>
  <c r="FC110" i="17"/>
  <c r="EZ110" i="17"/>
  <c r="EY110" i="17"/>
  <c r="EU110" i="17"/>
  <c r="ET110" i="17"/>
  <c r="ES110" i="17"/>
  <c r="ER110" i="17"/>
  <c r="EJ110" i="17"/>
  <c r="EF110" i="17"/>
  <c r="ED110" i="17"/>
  <c r="EH110" i="17" s="1"/>
  <c r="EB110" i="17"/>
  <c r="EA110" i="17"/>
  <c r="DZ110" i="17"/>
  <c r="DY110" i="17"/>
  <c r="DX110" i="17"/>
  <c r="DV110" i="17"/>
  <c r="DU110" i="17"/>
  <c r="DT110" i="17"/>
  <c r="DS110" i="17"/>
  <c r="DR110" i="17"/>
  <c r="DP110" i="17"/>
  <c r="DO110" i="17"/>
  <c r="DN110" i="17"/>
  <c r="DM110" i="17"/>
  <c r="DL110" i="17"/>
  <c r="DK110" i="17"/>
  <c r="DJ110" i="17"/>
  <c r="DI110" i="17"/>
  <c r="DH110" i="17"/>
  <c r="DF110" i="17"/>
  <c r="DE110" i="17"/>
  <c r="DD110" i="17"/>
  <c r="CX110" i="17"/>
  <c r="CW110" i="17"/>
  <c r="CV110" i="17"/>
  <c r="CT110" i="17"/>
  <c r="CQ110" i="17"/>
  <c r="CP110" i="17"/>
  <c r="CO110" i="17"/>
  <c r="CN110" i="17"/>
  <c r="CM110" i="17"/>
  <c r="CL110" i="17"/>
  <c r="CK110" i="17"/>
  <c r="CJ110" i="17"/>
  <c r="CH110" i="17"/>
  <c r="CG110" i="17"/>
  <c r="CF110" i="17"/>
  <c r="CE110" i="17"/>
  <c r="CD110" i="17"/>
  <c r="CC110" i="17"/>
  <c r="CB110" i="17"/>
  <c r="CA110" i="17"/>
  <c r="BZ110" i="17"/>
  <c r="BX110" i="17"/>
  <c r="BW110" i="17"/>
  <c r="BV110" i="17"/>
  <c r="BU110" i="17"/>
  <c r="BS110" i="17"/>
  <c r="BR110" i="17"/>
  <c r="BQ110" i="17"/>
  <c r="BP110" i="17"/>
  <c r="BO110" i="17"/>
  <c r="BN110" i="17"/>
  <c r="BM110" i="17"/>
  <c r="AL110" i="17"/>
  <c r="AJ110" i="17"/>
  <c r="KG109" i="17"/>
  <c r="KB109" i="17"/>
  <c r="KA109" i="17"/>
  <c r="JZ109" i="17"/>
  <c r="JY109" i="17"/>
  <c r="JV109" i="17"/>
  <c r="JU109" i="17"/>
  <c r="JS109" i="17"/>
  <c r="JQ109" i="17"/>
  <c r="JP109" i="17"/>
  <c r="JO109" i="17"/>
  <c r="JN109" i="17"/>
  <c r="HF109" i="17"/>
  <c r="HE109" i="17"/>
  <c r="GV109" i="17"/>
  <c r="GU109" i="17"/>
  <c r="GT109" i="17"/>
  <c r="GS109" i="17"/>
  <c r="GL109" i="17"/>
  <c r="GK109" i="17"/>
  <c r="GJ109" i="17"/>
  <c r="GI109" i="17"/>
  <c r="GH109" i="17"/>
  <c r="GG109" i="17"/>
  <c r="GF109" i="17"/>
  <c r="GE109" i="17"/>
  <c r="GD109" i="17"/>
  <c r="GC109" i="17"/>
  <c r="GB109" i="17"/>
  <c r="GA109" i="17"/>
  <c r="FZ109" i="17"/>
  <c r="FY109" i="17"/>
  <c r="FT109" i="17"/>
  <c r="FS109" i="17"/>
  <c r="FP109" i="17"/>
  <c r="FO109" i="17"/>
  <c r="FQ109" i="17" s="1"/>
  <c r="FN109" i="17"/>
  <c r="FK109" i="17"/>
  <c r="FJ109" i="17"/>
  <c r="FI109" i="17"/>
  <c r="FF109" i="17"/>
  <c r="FE109" i="17"/>
  <c r="FG109" i="17" s="1"/>
  <c r="FH109" i="17" s="1"/>
  <c r="FC109" i="17"/>
  <c r="EZ109" i="17"/>
  <c r="EY109" i="17"/>
  <c r="EU109" i="17"/>
  <c r="ET109" i="17"/>
  <c r="ES109" i="17"/>
  <c r="ER109" i="17"/>
  <c r="EJ109" i="17"/>
  <c r="EF109" i="17"/>
  <c r="ED109" i="17"/>
  <c r="EH109" i="17" s="1"/>
  <c r="EB109" i="17"/>
  <c r="EA109" i="17"/>
  <c r="DZ109" i="17"/>
  <c r="DY109" i="17"/>
  <c r="DX109" i="17"/>
  <c r="DV109" i="17"/>
  <c r="DU109" i="17"/>
  <c r="DT109" i="17"/>
  <c r="DS109" i="17"/>
  <c r="DR109" i="17"/>
  <c r="DP109" i="17"/>
  <c r="DO109" i="17"/>
  <c r="DN109" i="17"/>
  <c r="DM109" i="17"/>
  <c r="DL109" i="17"/>
  <c r="DK109" i="17"/>
  <c r="DJ109" i="17"/>
  <c r="DI109" i="17"/>
  <c r="DH109" i="17"/>
  <c r="DF109" i="17"/>
  <c r="DE109" i="17"/>
  <c r="DD109" i="17"/>
  <c r="CX109" i="17"/>
  <c r="CW109" i="17"/>
  <c r="CV109" i="17"/>
  <c r="CT109" i="17"/>
  <c r="CQ109" i="17"/>
  <c r="CP109" i="17"/>
  <c r="CO109" i="17"/>
  <c r="CN109" i="17"/>
  <c r="CR109" i="17" s="1"/>
  <c r="CS109" i="17" s="1"/>
  <c r="CY109" i="17" s="1"/>
  <c r="CM109" i="17"/>
  <c r="CL109" i="17"/>
  <c r="CK109" i="17"/>
  <c r="CJ109" i="17"/>
  <c r="CH109" i="17"/>
  <c r="CG109" i="17"/>
  <c r="CF109" i="17"/>
  <c r="CE109" i="17"/>
  <c r="CD109" i="17"/>
  <c r="CC109" i="17"/>
  <c r="CB109" i="17"/>
  <c r="CA109" i="17"/>
  <c r="BZ109" i="17"/>
  <c r="BX109" i="17"/>
  <c r="BW109" i="17"/>
  <c r="BV109" i="17"/>
  <c r="BU109" i="17"/>
  <c r="BS109" i="17"/>
  <c r="BR109" i="17"/>
  <c r="BQ109" i="17"/>
  <c r="BP109" i="17"/>
  <c r="BO109" i="17"/>
  <c r="BN109" i="17"/>
  <c r="BM109" i="17"/>
  <c r="AL109" i="17"/>
  <c r="AJ109" i="17"/>
  <c r="KG108" i="17"/>
  <c r="KB108" i="17"/>
  <c r="KA108" i="17"/>
  <c r="JZ108" i="17"/>
  <c r="JY108" i="17"/>
  <c r="JV108" i="17"/>
  <c r="JU108" i="17"/>
  <c r="JS108" i="17"/>
  <c r="JQ108" i="17"/>
  <c r="JP108" i="17"/>
  <c r="JO108" i="17"/>
  <c r="JN108" i="17"/>
  <c r="HF108" i="17"/>
  <c r="HE108" i="17"/>
  <c r="GV108" i="17"/>
  <c r="GU108" i="17"/>
  <c r="GT108" i="17"/>
  <c r="GS108" i="17"/>
  <c r="GL108" i="17"/>
  <c r="GK108" i="17"/>
  <c r="GJ108" i="17"/>
  <c r="GI108" i="17"/>
  <c r="GH108" i="17"/>
  <c r="GG108" i="17"/>
  <c r="GF108" i="17"/>
  <c r="GE108" i="17"/>
  <c r="GD108" i="17"/>
  <c r="GC108" i="17"/>
  <c r="GB108" i="17"/>
  <c r="GA108" i="17"/>
  <c r="FZ108" i="17"/>
  <c r="FY108" i="17"/>
  <c r="FT108" i="17"/>
  <c r="FS108" i="17"/>
  <c r="FP108" i="17"/>
  <c r="FO108" i="17"/>
  <c r="FQ108" i="17" s="1"/>
  <c r="FN108" i="17"/>
  <c r="FK108" i="17"/>
  <c r="FJ108" i="17"/>
  <c r="FI108" i="17"/>
  <c r="FF108" i="17"/>
  <c r="FE108" i="17"/>
  <c r="FG108" i="17" s="1"/>
  <c r="FH108" i="17" s="1"/>
  <c r="FC108" i="17"/>
  <c r="EZ108" i="17"/>
  <c r="EY108" i="17"/>
  <c r="EU108" i="17"/>
  <c r="ET108" i="17"/>
  <c r="ES108" i="17"/>
  <c r="ER108" i="17"/>
  <c r="EJ108" i="17"/>
  <c r="EF108" i="17"/>
  <c r="ED108" i="17"/>
  <c r="EH108" i="17" s="1"/>
  <c r="EB108" i="17"/>
  <c r="EA108" i="17"/>
  <c r="DZ108" i="17"/>
  <c r="DY108" i="17"/>
  <c r="DX108" i="17"/>
  <c r="DV108" i="17"/>
  <c r="DU108" i="17"/>
  <c r="DT108" i="17"/>
  <c r="DS108" i="17"/>
  <c r="DR108" i="17"/>
  <c r="DP108" i="17"/>
  <c r="DO108" i="17"/>
  <c r="DN108" i="17"/>
  <c r="DM108" i="17"/>
  <c r="DL108" i="17"/>
  <c r="DK108" i="17"/>
  <c r="DJ108" i="17"/>
  <c r="DI108" i="17"/>
  <c r="DH108" i="17"/>
  <c r="DF108" i="17"/>
  <c r="DE108" i="17"/>
  <c r="DD108" i="17"/>
  <c r="CX108" i="17"/>
  <c r="CW108" i="17"/>
  <c r="CV108" i="17"/>
  <c r="CT108" i="17"/>
  <c r="CQ108" i="17"/>
  <c r="CP108" i="17"/>
  <c r="CO108" i="17"/>
  <c r="CN108" i="17"/>
  <c r="CM108" i="17"/>
  <c r="CL108" i="17"/>
  <c r="CK108" i="17"/>
  <c r="CJ108" i="17"/>
  <c r="CH108" i="17"/>
  <c r="CG108" i="17"/>
  <c r="CF108" i="17"/>
  <c r="CE108" i="17"/>
  <c r="CD108" i="17"/>
  <c r="CC108" i="17"/>
  <c r="CB108" i="17"/>
  <c r="CA108" i="17"/>
  <c r="BZ108" i="17"/>
  <c r="BX108" i="17"/>
  <c r="BW108" i="17"/>
  <c r="BV108" i="17"/>
  <c r="BU108" i="17"/>
  <c r="BS108" i="17"/>
  <c r="BR108" i="17"/>
  <c r="BQ108" i="17"/>
  <c r="BP108" i="17"/>
  <c r="BO108" i="17"/>
  <c r="BN108" i="17"/>
  <c r="BM108" i="17"/>
  <c r="AL108" i="17"/>
  <c r="AJ108" i="17"/>
  <c r="KG107" i="17"/>
  <c r="KB107" i="17"/>
  <c r="KA107" i="17"/>
  <c r="JZ107" i="17"/>
  <c r="JY107" i="17"/>
  <c r="JV107" i="17"/>
  <c r="JU107" i="17"/>
  <c r="JS107" i="17"/>
  <c r="JQ107" i="17"/>
  <c r="JP107" i="17"/>
  <c r="JO107" i="17"/>
  <c r="JN107" i="17"/>
  <c r="HF107" i="17"/>
  <c r="HE107" i="17"/>
  <c r="GV107" i="17"/>
  <c r="GU107" i="17"/>
  <c r="GT107" i="17"/>
  <c r="GS107" i="17"/>
  <c r="GL107" i="17"/>
  <c r="GK107" i="17"/>
  <c r="GJ107" i="17"/>
  <c r="GI107" i="17"/>
  <c r="GH107" i="17"/>
  <c r="GG107" i="17"/>
  <c r="GF107" i="17"/>
  <c r="GE107" i="17"/>
  <c r="GD107" i="17"/>
  <c r="GC107" i="17"/>
  <c r="GB107" i="17"/>
  <c r="GA107" i="17"/>
  <c r="FZ107" i="17"/>
  <c r="FY107" i="17"/>
  <c r="FT107" i="17"/>
  <c r="FS107" i="17"/>
  <c r="FP107" i="17"/>
  <c r="FO107" i="17"/>
  <c r="FQ107" i="17" s="1"/>
  <c r="FN107" i="17"/>
  <c r="FK107" i="17"/>
  <c r="FJ107" i="17"/>
  <c r="FI107" i="17"/>
  <c r="FF107" i="17"/>
  <c r="FE107" i="17"/>
  <c r="FG107" i="17" s="1"/>
  <c r="FH107" i="17" s="1"/>
  <c r="FC107" i="17"/>
  <c r="EZ107" i="17"/>
  <c r="EY107" i="17"/>
  <c r="EU107" i="17"/>
  <c r="ET107" i="17"/>
  <c r="ES107" i="17"/>
  <c r="ER107" i="17"/>
  <c r="EJ107" i="17"/>
  <c r="EF107" i="17"/>
  <c r="ED107" i="17"/>
  <c r="EH107" i="17" s="1"/>
  <c r="EB107" i="17"/>
  <c r="EA107" i="17"/>
  <c r="DZ107" i="17"/>
  <c r="DY107" i="17"/>
  <c r="DX107" i="17"/>
  <c r="DV107" i="17"/>
  <c r="DU107" i="17"/>
  <c r="DT107" i="17"/>
  <c r="DS107" i="17"/>
  <c r="DR107" i="17"/>
  <c r="DP107" i="17"/>
  <c r="DO107" i="17"/>
  <c r="DN107" i="17"/>
  <c r="DM107" i="17"/>
  <c r="DL107" i="17"/>
  <c r="DK107" i="17"/>
  <c r="DJ107" i="17"/>
  <c r="DI107" i="17"/>
  <c r="DH107" i="17"/>
  <c r="DF107" i="17"/>
  <c r="DE107" i="17"/>
  <c r="DD107" i="17"/>
  <c r="CX107" i="17"/>
  <c r="CW107" i="17"/>
  <c r="CV107" i="17"/>
  <c r="CT107" i="17"/>
  <c r="CQ107" i="17"/>
  <c r="CP107" i="17"/>
  <c r="CO107" i="17"/>
  <c r="CN107" i="17"/>
  <c r="CR107" i="17" s="1"/>
  <c r="CS107" i="17" s="1"/>
  <c r="CY107" i="17" s="1"/>
  <c r="CM107" i="17"/>
  <c r="CL107" i="17"/>
  <c r="CK107" i="17"/>
  <c r="CJ107" i="17"/>
  <c r="CH107" i="17"/>
  <c r="CG107" i="17"/>
  <c r="CF107" i="17"/>
  <c r="CE107" i="17"/>
  <c r="CD107" i="17"/>
  <c r="CC107" i="17"/>
  <c r="CB107" i="17"/>
  <c r="CA107" i="17"/>
  <c r="BZ107" i="17"/>
  <c r="BX107" i="17"/>
  <c r="BW107" i="17"/>
  <c r="BV107" i="17"/>
  <c r="BU107" i="17"/>
  <c r="BS107" i="17"/>
  <c r="BR107" i="17"/>
  <c r="BQ107" i="17"/>
  <c r="BP107" i="17"/>
  <c r="BO107" i="17"/>
  <c r="BN107" i="17"/>
  <c r="BM107" i="17"/>
  <c r="AL107" i="17"/>
  <c r="AJ107" i="17"/>
  <c r="KG106" i="17"/>
  <c r="KB106" i="17"/>
  <c r="KA106" i="17"/>
  <c r="JZ106" i="17"/>
  <c r="JY106" i="17"/>
  <c r="JV106" i="17"/>
  <c r="JU106" i="17"/>
  <c r="JS106" i="17"/>
  <c r="JQ106" i="17"/>
  <c r="JP106" i="17"/>
  <c r="JO106" i="17"/>
  <c r="JN106" i="17"/>
  <c r="HF106" i="17"/>
  <c r="HE106" i="17"/>
  <c r="GV106" i="17"/>
  <c r="GU106" i="17"/>
  <c r="GT106" i="17"/>
  <c r="GS106" i="17"/>
  <c r="GL106" i="17"/>
  <c r="GK106" i="17"/>
  <c r="GJ106" i="17"/>
  <c r="GI106" i="17"/>
  <c r="GH106" i="17"/>
  <c r="GG106" i="17"/>
  <c r="GF106" i="17"/>
  <c r="GE106" i="17"/>
  <c r="GD106" i="17"/>
  <c r="GC106" i="17"/>
  <c r="GB106" i="17"/>
  <c r="GA106" i="17"/>
  <c r="FZ106" i="17"/>
  <c r="FY106" i="17"/>
  <c r="FT106" i="17"/>
  <c r="FS106" i="17"/>
  <c r="FP106" i="17"/>
  <c r="FO106" i="17"/>
  <c r="FQ106" i="17" s="1"/>
  <c r="FN106" i="17"/>
  <c r="FK106" i="17"/>
  <c r="FJ106" i="17"/>
  <c r="FI106" i="17"/>
  <c r="FF106" i="17"/>
  <c r="FE106" i="17"/>
  <c r="FG106" i="17" s="1"/>
  <c r="FH106" i="17" s="1"/>
  <c r="FC106" i="17"/>
  <c r="EZ106" i="17"/>
  <c r="EY106" i="17"/>
  <c r="EU106" i="17"/>
  <c r="ET106" i="17"/>
  <c r="ES106" i="17"/>
  <c r="ER106" i="17"/>
  <c r="EJ106" i="17"/>
  <c r="EF106" i="17"/>
  <c r="ED106" i="17"/>
  <c r="EH106" i="17" s="1"/>
  <c r="EB106" i="17"/>
  <c r="EA106" i="17"/>
  <c r="DZ106" i="17"/>
  <c r="DY106" i="17"/>
  <c r="DX106" i="17"/>
  <c r="DV106" i="17"/>
  <c r="DU106" i="17"/>
  <c r="DT106" i="17"/>
  <c r="DS106" i="17"/>
  <c r="DR106" i="17"/>
  <c r="DP106" i="17"/>
  <c r="DO106" i="17"/>
  <c r="DN106" i="17"/>
  <c r="DM106" i="17"/>
  <c r="DL106" i="17"/>
  <c r="DK106" i="17"/>
  <c r="DJ106" i="17"/>
  <c r="DI106" i="17"/>
  <c r="DH106" i="17"/>
  <c r="DF106" i="17"/>
  <c r="DE106" i="17"/>
  <c r="DD106" i="17"/>
  <c r="CX106" i="17"/>
  <c r="CW106" i="17"/>
  <c r="CV106" i="17"/>
  <c r="CT106" i="17"/>
  <c r="CQ106" i="17"/>
  <c r="CP106" i="17"/>
  <c r="CO106" i="17"/>
  <c r="CN106" i="17"/>
  <c r="CM106" i="17"/>
  <c r="CL106" i="17"/>
  <c r="CK106" i="17"/>
  <c r="CJ106" i="17"/>
  <c r="CH106" i="17"/>
  <c r="CG106" i="17"/>
  <c r="CF106" i="17"/>
  <c r="CE106" i="17"/>
  <c r="CD106" i="17"/>
  <c r="CC106" i="17"/>
  <c r="CB106" i="17"/>
  <c r="CA106" i="17"/>
  <c r="BZ106" i="17"/>
  <c r="BX106" i="17"/>
  <c r="BW106" i="17"/>
  <c r="BV106" i="17"/>
  <c r="BU106" i="17"/>
  <c r="BS106" i="17"/>
  <c r="BR106" i="17"/>
  <c r="BQ106" i="17"/>
  <c r="BP106" i="17"/>
  <c r="BO106" i="17"/>
  <c r="BN106" i="17"/>
  <c r="BM106" i="17"/>
  <c r="AL106" i="17"/>
  <c r="AJ106" i="17"/>
  <c r="KG105" i="17"/>
  <c r="KB105" i="17"/>
  <c r="KA105" i="17"/>
  <c r="JZ105" i="17"/>
  <c r="JY105" i="17"/>
  <c r="JV105" i="17"/>
  <c r="JU105" i="17"/>
  <c r="JS105" i="17"/>
  <c r="JQ105" i="17"/>
  <c r="JP105" i="17"/>
  <c r="JO105" i="17"/>
  <c r="JN105" i="17"/>
  <c r="HF105" i="17"/>
  <c r="HE105" i="17"/>
  <c r="GV105" i="17"/>
  <c r="GU105" i="17"/>
  <c r="GT105" i="17"/>
  <c r="GS105" i="17"/>
  <c r="GL105" i="17"/>
  <c r="GK105" i="17"/>
  <c r="GJ105" i="17"/>
  <c r="GI105" i="17"/>
  <c r="GH105" i="17"/>
  <c r="GG105" i="17"/>
  <c r="GF105" i="17"/>
  <c r="GE105" i="17"/>
  <c r="GD105" i="17"/>
  <c r="GC105" i="17"/>
  <c r="GB105" i="17"/>
  <c r="GA105" i="17"/>
  <c r="FZ105" i="17"/>
  <c r="FY105" i="17"/>
  <c r="FT105" i="17"/>
  <c r="FS105" i="17"/>
  <c r="FP105" i="17"/>
  <c r="FO105" i="17"/>
  <c r="FQ105" i="17" s="1"/>
  <c r="FN105" i="17"/>
  <c r="FK105" i="17"/>
  <c r="FJ105" i="17"/>
  <c r="FI105" i="17"/>
  <c r="FF105" i="17"/>
  <c r="FE105" i="17"/>
  <c r="FG105" i="17" s="1"/>
  <c r="FH105" i="17" s="1"/>
  <c r="FC105" i="17"/>
  <c r="EZ105" i="17"/>
  <c r="EY105" i="17"/>
  <c r="EU105" i="17"/>
  <c r="ET105" i="17"/>
  <c r="ES105" i="17"/>
  <c r="ER105" i="17"/>
  <c r="EJ105" i="17"/>
  <c r="EF105" i="17"/>
  <c r="ED105" i="17"/>
  <c r="EH105" i="17" s="1"/>
  <c r="EB105" i="17"/>
  <c r="EA105" i="17"/>
  <c r="DZ105" i="17"/>
  <c r="DY105" i="17"/>
  <c r="DX105" i="17"/>
  <c r="DV105" i="17"/>
  <c r="DU105" i="17"/>
  <c r="DT105" i="17"/>
  <c r="DS105" i="17"/>
  <c r="DR105" i="17"/>
  <c r="DP105" i="17"/>
  <c r="DO105" i="17"/>
  <c r="DN105" i="17"/>
  <c r="DM105" i="17"/>
  <c r="DL105" i="17"/>
  <c r="DK105" i="17"/>
  <c r="DJ105" i="17"/>
  <c r="DI105" i="17"/>
  <c r="DH105" i="17"/>
  <c r="DF105" i="17"/>
  <c r="DE105" i="17"/>
  <c r="DD105" i="17"/>
  <c r="CX105" i="17"/>
  <c r="CW105" i="17"/>
  <c r="CV105" i="17"/>
  <c r="CT105" i="17"/>
  <c r="CQ105" i="17"/>
  <c r="CP105" i="17"/>
  <c r="CO105" i="17"/>
  <c r="CN105" i="17"/>
  <c r="CR105" i="17" s="1"/>
  <c r="CS105" i="17" s="1"/>
  <c r="CY105" i="17" s="1"/>
  <c r="CM105" i="17"/>
  <c r="CL105" i="17"/>
  <c r="CK105" i="17"/>
  <c r="CJ105" i="17"/>
  <c r="CH105" i="17"/>
  <c r="CG105" i="17"/>
  <c r="CF105" i="17"/>
  <c r="CE105" i="17"/>
  <c r="CD105" i="17"/>
  <c r="CC105" i="17"/>
  <c r="CB105" i="17"/>
  <c r="CA105" i="17"/>
  <c r="BZ105" i="17"/>
  <c r="BX105" i="17"/>
  <c r="BW105" i="17"/>
  <c r="BV105" i="17"/>
  <c r="BU105" i="17"/>
  <c r="BS105" i="17"/>
  <c r="BR105" i="17"/>
  <c r="BQ105" i="17"/>
  <c r="BP105" i="17"/>
  <c r="BO105" i="17"/>
  <c r="BN105" i="17"/>
  <c r="BM105" i="17"/>
  <c r="AL105" i="17"/>
  <c r="AJ105" i="17"/>
  <c r="KG104" i="17"/>
  <c r="KB104" i="17"/>
  <c r="KA104" i="17"/>
  <c r="JZ104" i="17"/>
  <c r="JY104" i="17"/>
  <c r="JV104" i="17"/>
  <c r="JU104" i="17"/>
  <c r="JS104" i="17"/>
  <c r="JQ104" i="17"/>
  <c r="JP104" i="17"/>
  <c r="JO104" i="17"/>
  <c r="JN104" i="17"/>
  <c r="HF104" i="17"/>
  <c r="HE104" i="17"/>
  <c r="GV104" i="17"/>
  <c r="GU104" i="17"/>
  <c r="GT104" i="17"/>
  <c r="GS104" i="17"/>
  <c r="GL104" i="17"/>
  <c r="GK104" i="17"/>
  <c r="GJ104" i="17"/>
  <c r="GI104" i="17"/>
  <c r="GH104" i="17"/>
  <c r="GG104" i="17"/>
  <c r="GF104" i="17"/>
  <c r="GE104" i="17"/>
  <c r="GD104" i="17"/>
  <c r="GC104" i="17"/>
  <c r="GB104" i="17"/>
  <c r="GA104" i="17"/>
  <c r="FZ104" i="17"/>
  <c r="FY104" i="17"/>
  <c r="FT104" i="17"/>
  <c r="FS104" i="17"/>
  <c r="FP104" i="17"/>
  <c r="FO104" i="17"/>
  <c r="FQ104" i="17" s="1"/>
  <c r="FN104" i="17"/>
  <c r="FK104" i="17"/>
  <c r="FJ104" i="17"/>
  <c r="FI104" i="17"/>
  <c r="FF104" i="17"/>
  <c r="FE104" i="17"/>
  <c r="FG104" i="17" s="1"/>
  <c r="FH104" i="17" s="1"/>
  <c r="FC104" i="17"/>
  <c r="EZ104" i="17"/>
  <c r="EY104" i="17"/>
  <c r="EU104" i="17"/>
  <c r="ET104" i="17"/>
  <c r="ES104" i="17"/>
  <c r="ER104" i="17"/>
  <c r="EJ104" i="17"/>
  <c r="EF104" i="17"/>
  <c r="ED104" i="17"/>
  <c r="EH104" i="17" s="1"/>
  <c r="EB104" i="17"/>
  <c r="EA104" i="17"/>
  <c r="DZ104" i="17"/>
  <c r="DY104" i="17"/>
  <c r="DX104" i="17"/>
  <c r="DV104" i="17"/>
  <c r="DU104" i="17"/>
  <c r="DT104" i="17"/>
  <c r="DS104" i="17"/>
  <c r="DR104" i="17"/>
  <c r="DP104" i="17"/>
  <c r="DO104" i="17"/>
  <c r="DN104" i="17"/>
  <c r="DM104" i="17"/>
  <c r="DL104" i="17"/>
  <c r="DK104" i="17"/>
  <c r="DJ104" i="17"/>
  <c r="DI104" i="17"/>
  <c r="DH104" i="17"/>
  <c r="DF104" i="17"/>
  <c r="DE104" i="17"/>
  <c r="DD104" i="17"/>
  <c r="CX104" i="17"/>
  <c r="CW104" i="17"/>
  <c r="CV104" i="17"/>
  <c r="CT104" i="17"/>
  <c r="CQ104" i="17"/>
  <c r="CP104" i="17"/>
  <c r="CO104" i="17"/>
  <c r="CN104" i="17"/>
  <c r="CM104" i="17"/>
  <c r="CL104" i="17"/>
  <c r="CK104" i="17"/>
  <c r="CJ104" i="17"/>
  <c r="CH104" i="17"/>
  <c r="CG104" i="17"/>
  <c r="CF104" i="17"/>
  <c r="CE104" i="17"/>
  <c r="CD104" i="17"/>
  <c r="CC104" i="17"/>
  <c r="CB104" i="17"/>
  <c r="CA104" i="17"/>
  <c r="BZ104" i="17"/>
  <c r="BX104" i="17"/>
  <c r="BW104" i="17"/>
  <c r="BV104" i="17"/>
  <c r="BU104" i="17"/>
  <c r="BS104" i="17"/>
  <c r="BR104" i="17"/>
  <c r="BQ104" i="17"/>
  <c r="BP104" i="17"/>
  <c r="BO104" i="17"/>
  <c r="BN104" i="17"/>
  <c r="BM104" i="17"/>
  <c r="AL104" i="17"/>
  <c r="AJ104" i="17"/>
  <c r="KG103" i="17"/>
  <c r="KB103" i="17"/>
  <c r="KA103" i="17"/>
  <c r="JZ103" i="17"/>
  <c r="JY103" i="17"/>
  <c r="JV103" i="17"/>
  <c r="JU103" i="17"/>
  <c r="JS103" i="17"/>
  <c r="JQ103" i="17"/>
  <c r="JP103" i="17"/>
  <c r="JO103" i="17"/>
  <c r="JN103" i="17"/>
  <c r="HF103" i="17"/>
  <c r="HE103" i="17"/>
  <c r="GV103" i="17"/>
  <c r="GU103" i="17"/>
  <c r="GT103" i="17"/>
  <c r="GS103" i="17"/>
  <c r="GL103" i="17"/>
  <c r="GK103" i="17"/>
  <c r="GJ103" i="17"/>
  <c r="GI103" i="17"/>
  <c r="GH103" i="17"/>
  <c r="GG103" i="17"/>
  <c r="GF103" i="17"/>
  <c r="GE103" i="17"/>
  <c r="GD103" i="17"/>
  <c r="GC103" i="17"/>
  <c r="GB103" i="17"/>
  <c r="GA103" i="17"/>
  <c r="FZ103" i="17"/>
  <c r="FY103" i="17"/>
  <c r="FT103" i="17"/>
  <c r="FS103" i="17"/>
  <c r="FP103" i="17"/>
  <c r="FO103" i="17"/>
  <c r="FQ103" i="17" s="1"/>
  <c r="FN103" i="17"/>
  <c r="FK103" i="17"/>
  <c r="FJ103" i="17"/>
  <c r="FI103" i="17"/>
  <c r="FF103" i="17"/>
  <c r="FE103" i="17"/>
  <c r="FG103" i="17" s="1"/>
  <c r="FH103" i="17" s="1"/>
  <c r="FC103" i="17"/>
  <c r="EZ103" i="17"/>
  <c r="EY103" i="17"/>
  <c r="EU103" i="17"/>
  <c r="ET103" i="17"/>
  <c r="ES103" i="17"/>
  <c r="ER103" i="17"/>
  <c r="EJ103" i="17"/>
  <c r="EF103" i="17"/>
  <c r="ED103" i="17"/>
  <c r="EH103" i="17" s="1"/>
  <c r="EB103" i="17"/>
  <c r="EA103" i="17"/>
  <c r="DZ103" i="17"/>
  <c r="DY103" i="17"/>
  <c r="DX103" i="17"/>
  <c r="DV103" i="17"/>
  <c r="DU103" i="17"/>
  <c r="DT103" i="17"/>
  <c r="DS103" i="17"/>
  <c r="DR103" i="17"/>
  <c r="DP103" i="17"/>
  <c r="DO103" i="17"/>
  <c r="DN103" i="17"/>
  <c r="DM103" i="17"/>
  <c r="DL103" i="17"/>
  <c r="DK103" i="17"/>
  <c r="DJ103" i="17"/>
  <c r="DI103" i="17"/>
  <c r="DH103" i="17"/>
  <c r="DF103" i="17"/>
  <c r="DE103" i="17"/>
  <c r="DD103" i="17"/>
  <c r="CX103" i="17"/>
  <c r="CW103" i="17"/>
  <c r="CV103" i="17"/>
  <c r="CT103" i="17"/>
  <c r="CQ103" i="17"/>
  <c r="CP103" i="17"/>
  <c r="CO103" i="17"/>
  <c r="CN103" i="17"/>
  <c r="CM103" i="17"/>
  <c r="CL103" i="17"/>
  <c r="CK103" i="17"/>
  <c r="CJ103" i="17"/>
  <c r="CH103" i="17"/>
  <c r="CG103" i="17"/>
  <c r="CF103" i="17"/>
  <c r="CE103" i="17"/>
  <c r="CD103" i="17"/>
  <c r="CC103" i="17"/>
  <c r="CB103" i="17"/>
  <c r="CA103" i="17"/>
  <c r="BZ103" i="17"/>
  <c r="BX103" i="17"/>
  <c r="BW103" i="17"/>
  <c r="BV103" i="17"/>
  <c r="BU103" i="17"/>
  <c r="BS103" i="17"/>
  <c r="BR103" i="17"/>
  <c r="BQ103" i="17"/>
  <c r="BP103" i="17"/>
  <c r="BO103" i="17"/>
  <c r="BN103" i="17"/>
  <c r="BM103" i="17"/>
  <c r="AL103" i="17"/>
  <c r="AJ103" i="17"/>
  <c r="KG102" i="17"/>
  <c r="KB102" i="17"/>
  <c r="KA102" i="17"/>
  <c r="JZ102" i="17"/>
  <c r="JY102" i="17"/>
  <c r="JV102" i="17"/>
  <c r="JU102" i="17"/>
  <c r="JS102" i="17"/>
  <c r="JQ102" i="17"/>
  <c r="JP102" i="17"/>
  <c r="JO102" i="17"/>
  <c r="JN102" i="17"/>
  <c r="HF102" i="17"/>
  <c r="HE102" i="17"/>
  <c r="GV102" i="17"/>
  <c r="GU102" i="17"/>
  <c r="GT102" i="17"/>
  <c r="GS102" i="17"/>
  <c r="GL102" i="17"/>
  <c r="GK102" i="17"/>
  <c r="GJ102" i="17"/>
  <c r="GI102" i="17"/>
  <c r="GH102" i="17"/>
  <c r="GG102" i="17"/>
  <c r="GF102" i="17"/>
  <c r="GE102" i="17"/>
  <c r="GD102" i="17"/>
  <c r="GC102" i="17"/>
  <c r="GB102" i="17"/>
  <c r="GA102" i="17"/>
  <c r="FZ102" i="17"/>
  <c r="FY102" i="17"/>
  <c r="FT102" i="17"/>
  <c r="FS102" i="17"/>
  <c r="FP102" i="17"/>
  <c r="FO102" i="17"/>
  <c r="FQ102" i="17" s="1"/>
  <c r="FN102" i="17"/>
  <c r="FK102" i="17"/>
  <c r="FJ102" i="17"/>
  <c r="FI102" i="17"/>
  <c r="FF102" i="17"/>
  <c r="FE102" i="17"/>
  <c r="FG102" i="17" s="1"/>
  <c r="FH102" i="17" s="1"/>
  <c r="FC102" i="17"/>
  <c r="EZ102" i="17"/>
  <c r="EY102" i="17"/>
  <c r="EU102" i="17"/>
  <c r="ET102" i="17"/>
  <c r="ES102" i="17"/>
  <c r="ER102" i="17"/>
  <c r="EJ102" i="17"/>
  <c r="EF102" i="17"/>
  <c r="ED102" i="17"/>
  <c r="EH102" i="17" s="1"/>
  <c r="EB102" i="17"/>
  <c r="EA102" i="17"/>
  <c r="DZ102" i="17"/>
  <c r="DY102" i="17"/>
  <c r="DX102" i="17"/>
  <c r="DV102" i="17"/>
  <c r="DU102" i="17"/>
  <c r="DT102" i="17"/>
  <c r="DS102" i="17"/>
  <c r="DR102" i="17"/>
  <c r="DP102" i="17"/>
  <c r="DO102" i="17"/>
  <c r="DN102" i="17"/>
  <c r="DM102" i="17"/>
  <c r="DL102" i="17"/>
  <c r="DK102" i="17"/>
  <c r="DJ102" i="17"/>
  <c r="DI102" i="17"/>
  <c r="DH102" i="17"/>
  <c r="DF102" i="17"/>
  <c r="DE102" i="17"/>
  <c r="DD102" i="17"/>
  <c r="CX102" i="17"/>
  <c r="CW102" i="17"/>
  <c r="CV102" i="17"/>
  <c r="CT102" i="17"/>
  <c r="CQ102" i="17"/>
  <c r="CP102" i="17"/>
  <c r="CO102" i="17"/>
  <c r="CN102" i="17"/>
  <c r="CR102" i="17" s="1"/>
  <c r="CS102" i="17" s="1"/>
  <c r="CY102" i="17" s="1"/>
  <c r="CM102" i="17"/>
  <c r="CL102" i="17"/>
  <c r="CK102" i="17"/>
  <c r="CJ102" i="17"/>
  <c r="CH102" i="17"/>
  <c r="CG102" i="17"/>
  <c r="CF102" i="17"/>
  <c r="CE102" i="17"/>
  <c r="CD102" i="17"/>
  <c r="CC102" i="17"/>
  <c r="CB102" i="17"/>
  <c r="CA102" i="17"/>
  <c r="BZ102" i="17"/>
  <c r="BX102" i="17"/>
  <c r="BW102" i="17"/>
  <c r="BV102" i="17"/>
  <c r="BU102" i="17"/>
  <c r="BS102" i="17"/>
  <c r="BR102" i="17"/>
  <c r="BQ102" i="17"/>
  <c r="BP102" i="17"/>
  <c r="BO102" i="17"/>
  <c r="BN102" i="17"/>
  <c r="BM102" i="17"/>
  <c r="AL102" i="17"/>
  <c r="AJ102" i="17"/>
  <c r="KG101" i="17"/>
  <c r="KB101" i="17"/>
  <c r="KA101" i="17"/>
  <c r="JZ101" i="17"/>
  <c r="JY101" i="17"/>
  <c r="JV101" i="17"/>
  <c r="JU101" i="17"/>
  <c r="JS101" i="17"/>
  <c r="JQ101" i="17"/>
  <c r="JP101" i="17"/>
  <c r="JO101" i="17"/>
  <c r="JN101" i="17"/>
  <c r="HF101" i="17"/>
  <c r="HE101" i="17"/>
  <c r="GV101" i="17"/>
  <c r="GU101" i="17"/>
  <c r="GT101" i="17"/>
  <c r="GS101" i="17"/>
  <c r="GL101" i="17"/>
  <c r="GK101" i="17"/>
  <c r="GJ101" i="17"/>
  <c r="GI101" i="17"/>
  <c r="GH101" i="17"/>
  <c r="GG101" i="17"/>
  <c r="GF101" i="17"/>
  <c r="GE101" i="17"/>
  <c r="GD101" i="17"/>
  <c r="GC101" i="17"/>
  <c r="GB101" i="17"/>
  <c r="GA101" i="17"/>
  <c r="FZ101" i="17"/>
  <c r="FY101" i="17"/>
  <c r="FT101" i="17"/>
  <c r="FS101" i="17"/>
  <c r="FP101" i="17"/>
  <c r="FO101" i="17"/>
  <c r="FQ101" i="17" s="1"/>
  <c r="FN101" i="17"/>
  <c r="FK101" i="17"/>
  <c r="FJ101" i="17"/>
  <c r="FI101" i="17"/>
  <c r="FF101" i="17"/>
  <c r="FE101" i="17"/>
  <c r="FG101" i="17" s="1"/>
  <c r="FH101" i="17" s="1"/>
  <c r="FC101" i="17"/>
  <c r="EZ101" i="17"/>
  <c r="EY101" i="17"/>
  <c r="EU101" i="17"/>
  <c r="ET101" i="17"/>
  <c r="ES101" i="17"/>
  <c r="ER101" i="17"/>
  <c r="EJ101" i="17"/>
  <c r="EF101" i="17"/>
  <c r="ED101" i="17"/>
  <c r="EH101" i="17" s="1"/>
  <c r="EB101" i="17"/>
  <c r="EA101" i="17"/>
  <c r="DZ101" i="17"/>
  <c r="DY101" i="17"/>
  <c r="DX101" i="17"/>
  <c r="DV101" i="17"/>
  <c r="DU101" i="17"/>
  <c r="DT101" i="17"/>
  <c r="DS101" i="17"/>
  <c r="DR101" i="17"/>
  <c r="DP101" i="17"/>
  <c r="DO101" i="17"/>
  <c r="DN101" i="17"/>
  <c r="DM101" i="17"/>
  <c r="DL101" i="17"/>
  <c r="DK101" i="17"/>
  <c r="DJ101" i="17"/>
  <c r="DI101" i="17"/>
  <c r="DH101" i="17"/>
  <c r="DF101" i="17"/>
  <c r="DE101" i="17"/>
  <c r="DD101" i="17"/>
  <c r="CX101" i="17"/>
  <c r="CW101" i="17"/>
  <c r="CV101" i="17"/>
  <c r="CT101" i="17"/>
  <c r="CQ101" i="17"/>
  <c r="CP101" i="17"/>
  <c r="CO101" i="17"/>
  <c r="CN101" i="17"/>
  <c r="CM101" i="17"/>
  <c r="CL101" i="17"/>
  <c r="CK101" i="17"/>
  <c r="CJ101" i="17"/>
  <c r="CH101" i="17"/>
  <c r="CG101" i="17"/>
  <c r="CF101" i="17"/>
  <c r="CE101" i="17"/>
  <c r="CD101" i="17"/>
  <c r="CC101" i="17"/>
  <c r="CB101" i="17"/>
  <c r="CA101" i="17"/>
  <c r="BZ101" i="17"/>
  <c r="BX101" i="17"/>
  <c r="BW101" i="17"/>
  <c r="BV101" i="17"/>
  <c r="BU101" i="17"/>
  <c r="BS101" i="17"/>
  <c r="BR101" i="17"/>
  <c r="BQ101" i="17"/>
  <c r="BP101" i="17"/>
  <c r="BO101" i="17"/>
  <c r="BN101" i="17"/>
  <c r="BM101" i="17"/>
  <c r="AL101" i="17"/>
  <c r="AJ101" i="17"/>
  <c r="KG100" i="17"/>
  <c r="KB100" i="17"/>
  <c r="KA100" i="17"/>
  <c r="JZ100" i="17"/>
  <c r="JY100" i="17"/>
  <c r="JV100" i="17"/>
  <c r="JU100" i="17"/>
  <c r="JS100" i="17"/>
  <c r="JQ100" i="17"/>
  <c r="JP100" i="17"/>
  <c r="JO100" i="17"/>
  <c r="JN100" i="17"/>
  <c r="HF100" i="17"/>
  <c r="HE100" i="17"/>
  <c r="GV100" i="17"/>
  <c r="GU100" i="17"/>
  <c r="GT100" i="17"/>
  <c r="GS100" i="17"/>
  <c r="GL100" i="17"/>
  <c r="GK100" i="17"/>
  <c r="GJ100" i="17"/>
  <c r="GI100" i="17"/>
  <c r="GH100" i="17"/>
  <c r="GG100" i="17"/>
  <c r="GF100" i="17"/>
  <c r="GE100" i="17"/>
  <c r="GD100" i="17"/>
  <c r="GC100" i="17"/>
  <c r="GB100" i="17"/>
  <c r="GA100" i="17"/>
  <c r="FZ100" i="17"/>
  <c r="FY100" i="17"/>
  <c r="FT100" i="17"/>
  <c r="FS100" i="17"/>
  <c r="FP100" i="17"/>
  <c r="FO100" i="17"/>
  <c r="FQ100" i="17" s="1"/>
  <c r="FN100" i="17"/>
  <c r="FK100" i="17"/>
  <c r="FJ100" i="17"/>
  <c r="FI100" i="17"/>
  <c r="FF100" i="17"/>
  <c r="FE100" i="17"/>
  <c r="FG100" i="17" s="1"/>
  <c r="FH100" i="17" s="1"/>
  <c r="FC100" i="17"/>
  <c r="EZ100" i="17"/>
  <c r="EY100" i="17"/>
  <c r="EU100" i="17"/>
  <c r="ET100" i="17"/>
  <c r="ES100" i="17"/>
  <c r="ER100" i="17"/>
  <c r="EJ100" i="17"/>
  <c r="EF100" i="17"/>
  <c r="ED100" i="17"/>
  <c r="EH100" i="17" s="1"/>
  <c r="EB100" i="17"/>
  <c r="EA100" i="17"/>
  <c r="DZ100" i="17"/>
  <c r="DY100" i="17"/>
  <c r="DX100" i="17"/>
  <c r="DV100" i="17"/>
  <c r="DU100" i="17"/>
  <c r="DT100" i="17"/>
  <c r="DS100" i="17"/>
  <c r="DR100" i="17"/>
  <c r="DP100" i="17"/>
  <c r="DO100" i="17"/>
  <c r="DN100" i="17"/>
  <c r="DM100" i="17"/>
  <c r="DL100" i="17"/>
  <c r="DK100" i="17"/>
  <c r="DJ100" i="17"/>
  <c r="DI100" i="17"/>
  <c r="DH100" i="17"/>
  <c r="DF100" i="17"/>
  <c r="DE100" i="17"/>
  <c r="DD100" i="17"/>
  <c r="CX100" i="17"/>
  <c r="CW100" i="17"/>
  <c r="CV100" i="17"/>
  <c r="CT100" i="17"/>
  <c r="CQ100" i="17"/>
  <c r="CP100" i="17"/>
  <c r="CO100" i="17"/>
  <c r="CN100" i="17"/>
  <c r="CR100" i="17" s="1"/>
  <c r="CS100" i="17" s="1"/>
  <c r="CY100" i="17" s="1"/>
  <c r="CM100" i="17"/>
  <c r="CL100" i="17"/>
  <c r="CK100" i="17"/>
  <c r="CJ100" i="17"/>
  <c r="CH100" i="17"/>
  <c r="CG100" i="17"/>
  <c r="CF100" i="17"/>
  <c r="CE100" i="17"/>
  <c r="CD100" i="17"/>
  <c r="CC100" i="17"/>
  <c r="CB100" i="17"/>
  <c r="CA100" i="17"/>
  <c r="BZ100" i="17"/>
  <c r="BX100" i="17"/>
  <c r="BW100" i="17"/>
  <c r="BV100" i="17"/>
  <c r="BU100" i="17"/>
  <c r="BS100" i="17"/>
  <c r="BR100" i="17"/>
  <c r="BQ100" i="17"/>
  <c r="BP100" i="17"/>
  <c r="BO100" i="17"/>
  <c r="BN100" i="17"/>
  <c r="BM100" i="17"/>
  <c r="AL100" i="17"/>
  <c r="AJ100" i="17"/>
  <c r="KG99" i="17"/>
  <c r="KB99" i="17"/>
  <c r="KA99" i="17"/>
  <c r="JZ99" i="17"/>
  <c r="JY99" i="17"/>
  <c r="JV99" i="17"/>
  <c r="JU99" i="17"/>
  <c r="JS99" i="17"/>
  <c r="JQ99" i="17"/>
  <c r="JP99" i="17"/>
  <c r="JO99" i="17"/>
  <c r="JN99" i="17"/>
  <c r="HF99" i="17"/>
  <c r="HE99" i="17"/>
  <c r="GV99" i="17"/>
  <c r="GU99" i="17"/>
  <c r="GT99" i="17"/>
  <c r="GS99" i="17"/>
  <c r="GL99" i="17"/>
  <c r="GK99" i="17"/>
  <c r="GJ99" i="17"/>
  <c r="GI99" i="17"/>
  <c r="GH99" i="17"/>
  <c r="GG99" i="17"/>
  <c r="GF99" i="17"/>
  <c r="GE99" i="17"/>
  <c r="GD99" i="17"/>
  <c r="GC99" i="17"/>
  <c r="GB99" i="17"/>
  <c r="GA99" i="17"/>
  <c r="FZ99" i="17"/>
  <c r="FY99" i="17"/>
  <c r="FT99" i="17"/>
  <c r="FS99" i="17"/>
  <c r="FP99" i="17"/>
  <c r="FO99" i="17"/>
  <c r="FQ99" i="17" s="1"/>
  <c r="FN99" i="17"/>
  <c r="FK99" i="17"/>
  <c r="FJ99" i="17"/>
  <c r="FI99" i="17"/>
  <c r="FF99" i="17"/>
  <c r="FE99" i="17"/>
  <c r="FG99" i="17" s="1"/>
  <c r="FH99" i="17" s="1"/>
  <c r="FC99" i="17"/>
  <c r="EZ99" i="17"/>
  <c r="EY99" i="17"/>
  <c r="EU99" i="17"/>
  <c r="ET99" i="17"/>
  <c r="ES99" i="17"/>
  <c r="ER99" i="17"/>
  <c r="EJ99" i="17"/>
  <c r="EF99" i="17"/>
  <c r="ED99" i="17"/>
  <c r="EH99" i="17" s="1"/>
  <c r="EB99" i="17"/>
  <c r="EA99" i="17"/>
  <c r="DZ99" i="17"/>
  <c r="DY99" i="17"/>
  <c r="DX99" i="17"/>
  <c r="DV99" i="17"/>
  <c r="DU99" i="17"/>
  <c r="DT99" i="17"/>
  <c r="DS99" i="17"/>
  <c r="DR99" i="17"/>
  <c r="DP99" i="17"/>
  <c r="DO99" i="17"/>
  <c r="DN99" i="17"/>
  <c r="DM99" i="17"/>
  <c r="DL99" i="17"/>
  <c r="DK99" i="17"/>
  <c r="DJ99" i="17"/>
  <c r="DI99" i="17"/>
  <c r="DH99" i="17"/>
  <c r="DF99" i="17"/>
  <c r="DE99" i="17"/>
  <c r="DD99" i="17"/>
  <c r="CX99" i="17"/>
  <c r="CW99" i="17"/>
  <c r="CV99" i="17"/>
  <c r="CT99" i="17"/>
  <c r="CQ99" i="17"/>
  <c r="CP99" i="17"/>
  <c r="CO99" i="17"/>
  <c r="CN99" i="17"/>
  <c r="CM99" i="17"/>
  <c r="CL99" i="17"/>
  <c r="CK99" i="17"/>
  <c r="CJ99" i="17"/>
  <c r="CH99" i="17"/>
  <c r="CG99" i="17"/>
  <c r="CF99" i="17"/>
  <c r="CE99" i="17"/>
  <c r="CD99" i="17"/>
  <c r="CC99" i="17"/>
  <c r="CB99" i="17"/>
  <c r="CA99" i="17"/>
  <c r="BZ99" i="17"/>
  <c r="BX99" i="17"/>
  <c r="BW99" i="17"/>
  <c r="BV99" i="17"/>
  <c r="BU99" i="17"/>
  <c r="BS99" i="17"/>
  <c r="BR99" i="17"/>
  <c r="BQ99" i="17"/>
  <c r="BP99" i="17"/>
  <c r="BO99" i="17"/>
  <c r="BN99" i="17"/>
  <c r="BM99" i="17"/>
  <c r="AL99" i="17"/>
  <c r="AJ99" i="17"/>
  <c r="KG98" i="17"/>
  <c r="KB98" i="17"/>
  <c r="KA98" i="17"/>
  <c r="JZ98" i="17"/>
  <c r="JY98" i="17"/>
  <c r="JV98" i="17"/>
  <c r="JU98" i="17"/>
  <c r="JS98" i="17"/>
  <c r="JQ98" i="17"/>
  <c r="JP98" i="17"/>
  <c r="JO98" i="17"/>
  <c r="JN98" i="17"/>
  <c r="HF98" i="17"/>
  <c r="HE98" i="17"/>
  <c r="GV98" i="17"/>
  <c r="GU98" i="17"/>
  <c r="GT98" i="17"/>
  <c r="GS98" i="17"/>
  <c r="GL98" i="17"/>
  <c r="GK98" i="17"/>
  <c r="GJ98" i="17"/>
  <c r="GI98" i="17"/>
  <c r="GH98" i="17"/>
  <c r="GG98" i="17"/>
  <c r="GF98" i="17"/>
  <c r="GE98" i="17"/>
  <c r="GD98" i="17"/>
  <c r="GC98" i="17"/>
  <c r="GB98" i="17"/>
  <c r="GA98" i="17"/>
  <c r="FZ98" i="17"/>
  <c r="FY98" i="17"/>
  <c r="FT98" i="17"/>
  <c r="FS98" i="17"/>
  <c r="FP98" i="17"/>
  <c r="FO98" i="17"/>
  <c r="FQ98" i="17" s="1"/>
  <c r="FN98" i="17"/>
  <c r="FK98" i="17"/>
  <c r="FJ98" i="17"/>
  <c r="FI98" i="17"/>
  <c r="FF98" i="17"/>
  <c r="FE98" i="17"/>
  <c r="FG98" i="17" s="1"/>
  <c r="FH98" i="17" s="1"/>
  <c r="FC98" i="17"/>
  <c r="EZ98" i="17"/>
  <c r="EY98" i="17"/>
  <c r="EU98" i="17"/>
  <c r="ET98" i="17"/>
  <c r="ES98" i="17"/>
  <c r="ER98" i="17"/>
  <c r="EJ98" i="17"/>
  <c r="EF98" i="17"/>
  <c r="ED98" i="17"/>
  <c r="EH98" i="17" s="1"/>
  <c r="EB98" i="17"/>
  <c r="EA98" i="17"/>
  <c r="DZ98" i="17"/>
  <c r="DY98" i="17"/>
  <c r="DX98" i="17"/>
  <c r="DV98" i="17"/>
  <c r="DU98" i="17"/>
  <c r="DT98" i="17"/>
  <c r="DS98" i="17"/>
  <c r="DR98" i="17"/>
  <c r="DP98" i="17"/>
  <c r="DO98" i="17"/>
  <c r="DN98" i="17"/>
  <c r="DM98" i="17"/>
  <c r="DL98" i="17"/>
  <c r="DK98" i="17"/>
  <c r="DJ98" i="17"/>
  <c r="DI98" i="17"/>
  <c r="DH98" i="17"/>
  <c r="DF98" i="17"/>
  <c r="DE98" i="17"/>
  <c r="DD98" i="17"/>
  <c r="CX98" i="17"/>
  <c r="CW98" i="17"/>
  <c r="CV98" i="17"/>
  <c r="CT98" i="17"/>
  <c r="CQ98" i="17"/>
  <c r="CP98" i="17"/>
  <c r="CO98" i="17"/>
  <c r="CN98" i="17"/>
  <c r="CR98" i="17" s="1"/>
  <c r="CS98" i="17" s="1"/>
  <c r="CY98" i="17" s="1"/>
  <c r="CM98" i="17"/>
  <c r="CL98" i="17"/>
  <c r="CK98" i="17"/>
  <c r="CJ98" i="17"/>
  <c r="CH98" i="17"/>
  <c r="CG98" i="17"/>
  <c r="CF98" i="17"/>
  <c r="CE98" i="17"/>
  <c r="CD98" i="17"/>
  <c r="CC98" i="17"/>
  <c r="CB98" i="17"/>
  <c r="CA98" i="17"/>
  <c r="BZ98" i="17"/>
  <c r="BX98" i="17"/>
  <c r="BW98" i="17"/>
  <c r="BV98" i="17"/>
  <c r="BU98" i="17"/>
  <c r="BS98" i="17"/>
  <c r="BR98" i="17"/>
  <c r="BQ98" i="17"/>
  <c r="BP98" i="17"/>
  <c r="BO98" i="17"/>
  <c r="BN98" i="17"/>
  <c r="BM98" i="17"/>
  <c r="AL98" i="17"/>
  <c r="AJ98" i="17"/>
  <c r="KG97" i="17"/>
  <c r="KB97" i="17"/>
  <c r="KA97" i="17"/>
  <c r="JZ97" i="17"/>
  <c r="JY97" i="17"/>
  <c r="JV97" i="17"/>
  <c r="JU97" i="17"/>
  <c r="JS97" i="17"/>
  <c r="JQ97" i="17"/>
  <c r="JP97" i="17"/>
  <c r="JO97" i="17"/>
  <c r="JN97" i="17"/>
  <c r="HF97" i="17"/>
  <c r="HE97" i="17"/>
  <c r="GV97" i="17"/>
  <c r="GU97" i="17"/>
  <c r="GT97" i="17"/>
  <c r="GS97" i="17"/>
  <c r="GL97" i="17"/>
  <c r="GK97" i="17"/>
  <c r="GJ97" i="17"/>
  <c r="GI97" i="17"/>
  <c r="GH97" i="17"/>
  <c r="GG97" i="17"/>
  <c r="GF97" i="17"/>
  <c r="GE97" i="17"/>
  <c r="GD97" i="17"/>
  <c r="GC97" i="17"/>
  <c r="GB97" i="17"/>
  <c r="GA97" i="17"/>
  <c r="FZ97" i="17"/>
  <c r="FY97" i="17"/>
  <c r="FT97" i="17"/>
  <c r="FS97" i="17"/>
  <c r="FP97" i="17"/>
  <c r="FO97" i="17"/>
  <c r="FQ97" i="17" s="1"/>
  <c r="FN97" i="17"/>
  <c r="FK97" i="17"/>
  <c r="FJ97" i="17"/>
  <c r="FI97" i="17"/>
  <c r="FF97" i="17"/>
  <c r="FE97" i="17"/>
  <c r="FG97" i="17" s="1"/>
  <c r="FH97" i="17" s="1"/>
  <c r="FC97" i="17"/>
  <c r="EZ97" i="17"/>
  <c r="EY97" i="17"/>
  <c r="EU97" i="17"/>
  <c r="ET97" i="17"/>
  <c r="ES97" i="17"/>
  <c r="ER97" i="17"/>
  <c r="EJ97" i="17"/>
  <c r="EF97" i="17"/>
  <c r="ED97" i="17"/>
  <c r="EH97" i="17" s="1"/>
  <c r="EB97" i="17"/>
  <c r="EA97" i="17"/>
  <c r="DZ97" i="17"/>
  <c r="DY97" i="17"/>
  <c r="DX97" i="17"/>
  <c r="DV97" i="17"/>
  <c r="DU97" i="17"/>
  <c r="DT97" i="17"/>
  <c r="DS97" i="17"/>
  <c r="DR97" i="17"/>
  <c r="DP97" i="17"/>
  <c r="DO97" i="17"/>
  <c r="DN97" i="17"/>
  <c r="DM97" i="17"/>
  <c r="DL97" i="17"/>
  <c r="DK97" i="17"/>
  <c r="DJ97" i="17"/>
  <c r="DI97" i="17"/>
  <c r="DH97" i="17"/>
  <c r="DF97" i="17"/>
  <c r="DE97" i="17"/>
  <c r="DD97" i="17"/>
  <c r="CX97" i="17"/>
  <c r="CW97" i="17"/>
  <c r="CV97" i="17"/>
  <c r="CT97" i="17"/>
  <c r="CQ97" i="17"/>
  <c r="CP97" i="17"/>
  <c r="CO97" i="17"/>
  <c r="CN97" i="17"/>
  <c r="CM97" i="17"/>
  <c r="CL97" i="17"/>
  <c r="CK97" i="17"/>
  <c r="CJ97" i="17"/>
  <c r="CH97" i="17"/>
  <c r="CG97" i="17"/>
  <c r="CF97" i="17"/>
  <c r="CE97" i="17"/>
  <c r="CD97" i="17"/>
  <c r="CC97" i="17"/>
  <c r="CB97" i="17"/>
  <c r="CA97" i="17"/>
  <c r="BZ97" i="17"/>
  <c r="BX97" i="17"/>
  <c r="BW97" i="17"/>
  <c r="BV97" i="17"/>
  <c r="BU97" i="17"/>
  <c r="BS97" i="17"/>
  <c r="BR97" i="17"/>
  <c r="BQ97" i="17"/>
  <c r="BP97" i="17"/>
  <c r="BO97" i="17"/>
  <c r="BN97" i="17"/>
  <c r="BM97" i="17"/>
  <c r="AL97" i="17"/>
  <c r="AJ97" i="17"/>
  <c r="KG96" i="17"/>
  <c r="KB96" i="17"/>
  <c r="KA96" i="17"/>
  <c r="JZ96" i="17"/>
  <c r="JY96" i="17"/>
  <c r="JV96" i="17"/>
  <c r="JU96" i="17"/>
  <c r="JS96" i="17"/>
  <c r="JQ96" i="17"/>
  <c r="JP96" i="17"/>
  <c r="JO96" i="17"/>
  <c r="JN96" i="17"/>
  <c r="HF96" i="17"/>
  <c r="HE96" i="17"/>
  <c r="GV96" i="17"/>
  <c r="GU96" i="17"/>
  <c r="GT96" i="17"/>
  <c r="GS96" i="17"/>
  <c r="GL96" i="17"/>
  <c r="GK96" i="17"/>
  <c r="GJ96" i="17"/>
  <c r="GI96" i="17"/>
  <c r="GH96" i="17"/>
  <c r="GG96" i="17"/>
  <c r="GF96" i="17"/>
  <c r="GE96" i="17"/>
  <c r="GD96" i="17"/>
  <c r="GC96" i="17"/>
  <c r="GB96" i="17"/>
  <c r="GA96" i="17"/>
  <c r="FZ96" i="17"/>
  <c r="FY96" i="17"/>
  <c r="FT96" i="17"/>
  <c r="FS96" i="17"/>
  <c r="FP96" i="17"/>
  <c r="FO96" i="17"/>
  <c r="FQ96" i="17" s="1"/>
  <c r="FN96" i="17"/>
  <c r="FK96" i="17"/>
  <c r="FJ96" i="17"/>
  <c r="FI96" i="17"/>
  <c r="FF96" i="17"/>
  <c r="FE96" i="17"/>
  <c r="FG96" i="17" s="1"/>
  <c r="FH96" i="17" s="1"/>
  <c r="FC96" i="17"/>
  <c r="EZ96" i="17"/>
  <c r="EY96" i="17"/>
  <c r="EU96" i="17"/>
  <c r="ET96" i="17"/>
  <c r="ES96" i="17"/>
  <c r="ER96" i="17"/>
  <c r="EJ96" i="17"/>
  <c r="EF96" i="17"/>
  <c r="ED96" i="17"/>
  <c r="EH96" i="17" s="1"/>
  <c r="EB96" i="17"/>
  <c r="EA96" i="17"/>
  <c r="DZ96" i="17"/>
  <c r="DY96" i="17"/>
  <c r="DX96" i="17"/>
  <c r="DV96" i="17"/>
  <c r="DU96" i="17"/>
  <c r="DT96" i="17"/>
  <c r="DS96" i="17"/>
  <c r="DR96" i="17"/>
  <c r="DP96" i="17"/>
  <c r="DO96" i="17"/>
  <c r="DN96" i="17"/>
  <c r="DM96" i="17"/>
  <c r="DL96" i="17"/>
  <c r="DK96" i="17"/>
  <c r="DJ96" i="17"/>
  <c r="DI96" i="17"/>
  <c r="DH96" i="17"/>
  <c r="DF96" i="17"/>
  <c r="DE96" i="17"/>
  <c r="DD96" i="17"/>
  <c r="CX96" i="17"/>
  <c r="CW96" i="17"/>
  <c r="CV96" i="17"/>
  <c r="CT96" i="17"/>
  <c r="CQ96" i="17"/>
  <c r="CP96" i="17"/>
  <c r="CO96" i="17"/>
  <c r="CN96" i="17"/>
  <c r="CR96" i="17" s="1"/>
  <c r="CS96" i="17" s="1"/>
  <c r="CY96" i="17" s="1"/>
  <c r="CM96" i="17"/>
  <c r="CL96" i="17"/>
  <c r="CK96" i="17"/>
  <c r="CJ96" i="17"/>
  <c r="CH96" i="17"/>
  <c r="CG96" i="17"/>
  <c r="CF96" i="17"/>
  <c r="CE96" i="17"/>
  <c r="CD96" i="17"/>
  <c r="CC96" i="17"/>
  <c r="CB96" i="17"/>
  <c r="CA96" i="17"/>
  <c r="BZ96" i="17"/>
  <c r="BX96" i="17"/>
  <c r="BW96" i="17"/>
  <c r="BV96" i="17"/>
  <c r="BU96" i="17"/>
  <c r="BS96" i="17"/>
  <c r="BR96" i="17"/>
  <c r="BQ96" i="17"/>
  <c r="BP96" i="17"/>
  <c r="BO96" i="17"/>
  <c r="BN96" i="17"/>
  <c r="BM96" i="17"/>
  <c r="AL96" i="17"/>
  <c r="AJ96" i="17"/>
  <c r="KG95" i="17"/>
  <c r="KB95" i="17"/>
  <c r="KA95" i="17"/>
  <c r="JZ95" i="17"/>
  <c r="JY95" i="17"/>
  <c r="JV95" i="17"/>
  <c r="JU95" i="17"/>
  <c r="JS95" i="17"/>
  <c r="JQ95" i="17"/>
  <c r="JP95" i="17"/>
  <c r="JO95" i="17"/>
  <c r="JN95" i="17"/>
  <c r="HF95" i="17"/>
  <c r="HE95" i="17"/>
  <c r="GV95" i="17"/>
  <c r="GU95" i="17"/>
  <c r="GT95" i="17"/>
  <c r="GS95" i="17"/>
  <c r="GL95" i="17"/>
  <c r="GK95" i="17"/>
  <c r="GJ95" i="17"/>
  <c r="GI95" i="17"/>
  <c r="GH95" i="17"/>
  <c r="GG95" i="17"/>
  <c r="GF95" i="17"/>
  <c r="GE95" i="17"/>
  <c r="GD95" i="17"/>
  <c r="GC95" i="17"/>
  <c r="GB95" i="17"/>
  <c r="GA95" i="17"/>
  <c r="FZ95" i="17"/>
  <c r="FY95" i="17"/>
  <c r="FT95" i="17"/>
  <c r="FS95" i="17"/>
  <c r="FP95" i="17"/>
  <c r="FO95" i="17"/>
  <c r="FQ95" i="17" s="1"/>
  <c r="FN95" i="17"/>
  <c r="FK95" i="17"/>
  <c r="FJ95" i="17"/>
  <c r="FI95" i="17"/>
  <c r="FF95" i="17"/>
  <c r="FE95" i="17"/>
  <c r="FG95" i="17" s="1"/>
  <c r="FH95" i="17" s="1"/>
  <c r="FC95" i="17"/>
  <c r="EZ95" i="17"/>
  <c r="EY95" i="17"/>
  <c r="EU95" i="17"/>
  <c r="ET95" i="17"/>
  <c r="ES95" i="17"/>
  <c r="ER95" i="17"/>
  <c r="EJ95" i="17"/>
  <c r="EF95" i="17"/>
  <c r="ED95" i="17"/>
  <c r="EH95" i="17" s="1"/>
  <c r="EB95" i="17"/>
  <c r="EA95" i="17"/>
  <c r="DZ95" i="17"/>
  <c r="DY95" i="17"/>
  <c r="DX95" i="17"/>
  <c r="DV95" i="17"/>
  <c r="DU95" i="17"/>
  <c r="DT95" i="17"/>
  <c r="DS95" i="17"/>
  <c r="DR95" i="17"/>
  <c r="DP95" i="17"/>
  <c r="DO95" i="17"/>
  <c r="DN95" i="17"/>
  <c r="DM95" i="17"/>
  <c r="DL95" i="17"/>
  <c r="DK95" i="17"/>
  <c r="DJ95" i="17"/>
  <c r="DI95" i="17"/>
  <c r="DH95" i="17"/>
  <c r="DF95" i="17"/>
  <c r="DE95" i="17"/>
  <c r="DD95" i="17"/>
  <c r="CX95" i="17"/>
  <c r="CW95" i="17"/>
  <c r="CV95" i="17"/>
  <c r="CT95" i="17"/>
  <c r="CQ95" i="17"/>
  <c r="CP95" i="17"/>
  <c r="CO95" i="17"/>
  <c r="CN95" i="17"/>
  <c r="CM95" i="17"/>
  <c r="CL95" i="17"/>
  <c r="CK95" i="17"/>
  <c r="CJ95" i="17"/>
  <c r="CH95" i="17"/>
  <c r="CG95" i="17"/>
  <c r="CF95" i="17"/>
  <c r="CE95" i="17"/>
  <c r="CD95" i="17"/>
  <c r="CC95" i="17"/>
  <c r="CB95" i="17"/>
  <c r="CA95" i="17"/>
  <c r="BZ95" i="17"/>
  <c r="BX95" i="17"/>
  <c r="BW95" i="17"/>
  <c r="BV95" i="17"/>
  <c r="BU95" i="17"/>
  <c r="BS95" i="17"/>
  <c r="BR95" i="17"/>
  <c r="BQ95" i="17"/>
  <c r="BP95" i="17"/>
  <c r="BO95" i="17"/>
  <c r="BN95" i="17"/>
  <c r="BM95" i="17"/>
  <c r="AL95" i="17"/>
  <c r="AJ95" i="17"/>
  <c r="KG94" i="17"/>
  <c r="KB94" i="17"/>
  <c r="KA94" i="17"/>
  <c r="JZ94" i="17"/>
  <c r="JY94" i="17"/>
  <c r="JV94" i="17"/>
  <c r="JU94" i="17"/>
  <c r="JS94" i="17"/>
  <c r="JQ94" i="17"/>
  <c r="JP94" i="17"/>
  <c r="JO94" i="17"/>
  <c r="JN94" i="17"/>
  <c r="HF94" i="17"/>
  <c r="HE94" i="17"/>
  <c r="GV94" i="17"/>
  <c r="GU94" i="17"/>
  <c r="GT94" i="17"/>
  <c r="GS94" i="17"/>
  <c r="GL94" i="17"/>
  <c r="GK94" i="17"/>
  <c r="GJ94" i="17"/>
  <c r="GI94" i="17"/>
  <c r="GH94" i="17"/>
  <c r="GG94" i="17"/>
  <c r="GF94" i="17"/>
  <c r="GE94" i="17"/>
  <c r="GD94" i="17"/>
  <c r="GC94" i="17"/>
  <c r="GB94" i="17"/>
  <c r="GA94" i="17"/>
  <c r="FZ94" i="17"/>
  <c r="FY94" i="17"/>
  <c r="FT94" i="17"/>
  <c r="FS94" i="17"/>
  <c r="FP94" i="17"/>
  <c r="FO94" i="17"/>
  <c r="FQ94" i="17" s="1"/>
  <c r="FN94" i="17"/>
  <c r="FK94" i="17"/>
  <c r="FJ94" i="17"/>
  <c r="FI94" i="17"/>
  <c r="FF94" i="17"/>
  <c r="FE94" i="17"/>
  <c r="FG94" i="17" s="1"/>
  <c r="FH94" i="17" s="1"/>
  <c r="FC94" i="17"/>
  <c r="EZ94" i="17"/>
  <c r="EY94" i="17"/>
  <c r="EU94" i="17"/>
  <c r="ET94" i="17"/>
  <c r="ES94" i="17"/>
  <c r="ER94" i="17"/>
  <c r="EJ94" i="17"/>
  <c r="EF94" i="17"/>
  <c r="ED94" i="17"/>
  <c r="EH94" i="17" s="1"/>
  <c r="EB94" i="17"/>
  <c r="EA94" i="17"/>
  <c r="DZ94" i="17"/>
  <c r="DY94" i="17"/>
  <c r="DX94" i="17"/>
  <c r="DV94" i="17"/>
  <c r="DU94" i="17"/>
  <c r="DT94" i="17"/>
  <c r="DS94" i="17"/>
  <c r="DR94" i="17"/>
  <c r="DP94" i="17"/>
  <c r="DO94" i="17"/>
  <c r="DN94" i="17"/>
  <c r="DM94" i="17"/>
  <c r="DL94" i="17"/>
  <c r="DK94" i="17"/>
  <c r="DJ94" i="17"/>
  <c r="DI94" i="17"/>
  <c r="DH94" i="17"/>
  <c r="DF94" i="17"/>
  <c r="DE94" i="17"/>
  <c r="DD94" i="17"/>
  <c r="CX94" i="17"/>
  <c r="CW94" i="17"/>
  <c r="CV94" i="17"/>
  <c r="CT94" i="17"/>
  <c r="CQ94" i="17"/>
  <c r="CP94" i="17"/>
  <c r="CO94" i="17"/>
  <c r="CN94" i="17"/>
  <c r="CR94" i="17" s="1"/>
  <c r="CS94" i="17" s="1"/>
  <c r="CY94" i="17" s="1"/>
  <c r="CM94" i="17"/>
  <c r="CL94" i="17"/>
  <c r="CK94" i="17"/>
  <c r="CJ94" i="17"/>
  <c r="CH94" i="17"/>
  <c r="CG94" i="17"/>
  <c r="CF94" i="17"/>
  <c r="CE94" i="17"/>
  <c r="CD94" i="17"/>
  <c r="CC94" i="17"/>
  <c r="CB94" i="17"/>
  <c r="CA94" i="17"/>
  <c r="BZ94" i="17"/>
  <c r="BX94" i="17"/>
  <c r="BW94" i="17"/>
  <c r="BV94" i="17"/>
  <c r="BU94" i="17"/>
  <c r="BS94" i="17"/>
  <c r="BR94" i="17"/>
  <c r="BQ94" i="17"/>
  <c r="BP94" i="17"/>
  <c r="BO94" i="17"/>
  <c r="BN94" i="17"/>
  <c r="BM94" i="17"/>
  <c r="AL94" i="17"/>
  <c r="AJ94" i="17"/>
  <c r="KG93" i="17"/>
  <c r="KB93" i="17"/>
  <c r="KA93" i="17"/>
  <c r="JZ93" i="17"/>
  <c r="JY93" i="17"/>
  <c r="JV93" i="17"/>
  <c r="JU93" i="17"/>
  <c r="JS93" i="17"/>
  <c r="JQ93" i="17"/>
  <c r="JP93" i="17"/>
  <c r="JO93" i="17"/>
  <c r="JN93" i="17"/>
  <c r="HF93" i="17"/>
  <c r="HE93" i="17"/>
  <c r="GV93" i="17"/>
  <c r="GU93" i="17"/>
  <c r="GT93" i="17"/>
  <c r="GS93" i="17"/>
  <c r="GL93" i="17"/>
  <c r="GK93" i="17"/>
  <c r="GJ93" i="17"/>
  <c r="GI93" i="17"/>
  <c r="GH93" i="17"/>
  <c r="GG93" i="17"/>
  <c r="GF93" i="17"/>
  <c r="GE93" i="17"/>
  <c r="GD93" i="17"/>
  <c r="GC93" i="17"/>
  <c r="GB93" i="17"/>
  <c r="GA93" i="17"/>
  <c r="FZ93" i="17"/>
  <c r="FY93" i="17"/>
  <c r="FT93" i="17"/>
  <c r="FS93" i="17"/>
  <c r="FP93" i="17"/>
  <c r="FO93" i="17"/>
  <c r="FQ93" i="17" s="1"/>
  <c r="FN93" i="17"/>
  <c r="FK93" i="17"/>
  <c r="FJ93" i="17"/>
  <c r="FI93" i="17"/>
  <c r="FF93" i="17"/>
  <c r="FE93" i="17"/>
  <c r="FG93" i="17" s="1"/>
  <c r="FH93" i="17" s="1"/>
  <c r="FC93" i="17"/>
  <c r="EZ93" i="17"/>
  <c r="EY93" i="17"/>
  <c r="EU93" i="17"/>
  <c r="ET93" i="17"/>
  <c r="ES93" i="17"/>
  <c r="ER93" i="17"/>
  <c r="EJ93" i="17"/>
  <c r="EF93" i="17"/>
  <c r="ED93" i="17"/>
  <c r="EH93" i="17" s="1"/>
  <c r="EB93" i="17"/>
  <c r="EA93" i="17"/>
  <c r="DZ93" i="17"/>
  <c r="DY93" i="17"/>
  <c r="DX93" i="17"/>
  <c r="DV93" i="17"/>
  <c r="DU93" i="17"/>
  <c r="DT93" i="17"/>
  <c r="DS93" i="17"/>
  <c r="DR93" i="17"/>
  <c r="DP93" i="17"/>
  <c r="DO93" i="17"/>
  <c r="DN93" i="17"/>
  <c r="DM93" i="17"/>
  <c r="DL93" i="17"/>
  <c r="DK93" i="17"/>
  <c r="DJ93" i="17"/>
  <c r="DI93" i="17"/>
  <c r="DH93" i="17"/>
  <c r="DF93" i="17"/>
  <c r="DE93" i="17"/>
  <c r="DD93" i="17"/>
  <c r="CX93" i="17"/>
  <c r="CW93" i="17"/>
  <c r="CV93" i="17"/>
  <c r="CT93" i="17"/>
  <c r="CQ93" i="17"/>
  <c r="CP93" i="17"/>
  <c r="CO93" i="17"/>
  <c r="CN93" i="17"/>
  <c r="CM93" i="17"/>
  <c r="CL93" i="17"/>
  <c r="CK93" i="17"/>
  <c r="CJ93" i="17"/>
  <c r="CH93" i="17"/>
  <c r="CG93" i="17"/>
  <c r="CF93" i="17"/>
  <c r="CE93" i="17"/>
  <c r="CD93" i="17"/>
  <c r="CC93" i="17"/>
  <c r="CB93" i="17"/>
  <c r="CA93" i="17"/>
  <c r="BZ93" i="17"/>
  <c r="BX93" i="17"/>
  <c r="BW93" i="17"/>
  <c r="BV93" i="17"/>
  <c r="BU93" i="17"/>
  <c r="BS93" i="17"/>
  <c r="BR93" i="17"/>
  <c r="BQ93" i="17"/>
  <c r="BP93" i="17"/>
  <c r="BO93" i="17"/>
  <c r="BN93" i="17"/>
  <c r="BM93" i="17"/>
  <c r="AL93" i="17"/>
  <c r="AJ93" i="17"/>
  <c r="KG92" i="17"/>
  <c r="KB92" i="17"/>
  <c r="KA92" i="17"/>
  <c r="JZ92" i="17"/>
  <c r="JY92" i="17"/>
  <c r="JV92" i="17"/>
  <c r="JU92" i="17"/>
  <c r="JS92" i="17"/>
  <c r="JQ92" i="17"/>
  <c r="JP92" i="17"/>
  <c r="JO92" i="17"/>
  <c r="JN92" i="17"/>
  <c r="HF92" i="17"/>
  <c r="HE92" i="17"/>
  <c r="GV92" i="17"/>
  <c r="GU92" i="17"/>
  <c r="GT92" i="17"/>
  <c r="GS92" i="17"/>
  <c r="GL92" i="17"/>
  <c r="GK92" i="17"/>
  <c r="GJ92" i="17"/>
  <c r="GI92" i="17"/>
  <c r="GH92" i="17"/>
  <c r="GG92" i="17"/>
  <c r="GF92" i="17"/>
  <c r="GE92" i="17"/>
  <c r="GD92" i="17"/>
  <c r="GC92" i="17"/>
  <c r="GB92" i="17"/>
  <c r="GA92" i="17"/>
  <c r="FZ92" i="17"/>
  <c r="FY92" i="17"/>
  <c r="FT92" i="17"/>
  <c r="FS92" i="17"/>
  <c r="FP92" i="17"/>
  <c r="FO92" i="17"/>
  <c r="FQ92" i="17" s="1"/>
  <c r="FN92" i="17"/>
  <c r="FK92" i="17"/>
  <c r="FJ92" i="17"/>
  <c r="FI92" i="17"/>
  <c r="FF92" i="17"/>
  <c r="FE92" i="17"/>
  <c r="FG92" i="17" s="1"/>
  <c r="FH92" i="17" s="1"/>
  <c r="FC92" i="17"/>
  <c r="EZ92" i="17"/>
  <c r="EY92" i="17"/>
  <c r="EU92" i="17"/>
  <c r="ET92" i="17"/>
  <c r="ES92" i="17"/>
  <c r="ER92" i="17"/>
  <c r="EJ92" i="17"/>
  <c r="EF92" i="17"/>
  <c r="ED92" i="17"/>
  <c r="EH92" i="17" s="1"/>
  <c r="EB92" i="17"/>
  <c r="EA92" i="17"/>
  <c r="DZ92" i="17"/>
  <c r="DY92" i="17"/>
  <c r="DX92" i="17"/>
  <c r="DV92" i="17"/>
  <c r="DU92" i="17"/>
  <c r="DT92" i="17"/>
  <c r="DS92" i="17"/>
  <c r="DR92" i="17"/>
  <c r="DP92" i="17"/>
  <c r="DO92" i="17"/>
  <c r="DN92" i="17"/>
  <c r="DM92" i="17"/>
  <c r="DL92" i="17"/>
  <c r="DK92" i="17"/>
  <c r="DJ92" i="17"/>
  <c r="DI92" i="17"/>
  <c r="DH92" i="17"/>
  <c r="DF92" i="17"/>
  <c r="DE92" i="17"/>
  <c r="DD92" i="17"/>
  <c r="CX92" i="17"/>
  <c r="CW92" i="17"/>
  <c r="CV92" i="17"/>
  <c r="CT92" i="17"/>
  <c r="CQ92" i="17"/>
  <c r="CP92" i="17"/>
  <c r="CO92" i="17"/>
  <c r="CN92" i="17"/>
  <c r="CR92" i="17" s="1"/>
  <c r="CS92" i="17" s="1"/>
  <c r="CY92" i="17" s="1"/>
  <c r="CM92" i="17"/>
  <c r="CL92" i="17"/>
  <c r="CK92" i="17"/>
  <c r="CJ92" i="17"/>
  <c r="CH92" i="17"/>
  <c r="CG92" i="17"/>
  <c r="CF92" i="17"/>
  <c r="CE92" i="17"/>
  <c r="CD92" i="17"/>
  <c r="CC92" i="17"/>
  <c r="CB92" i="17"/>
  <c r="CA92" i="17"/>
  <c r="BZ92" i="17"/>
  <c r="BX92" i="17"/>
  <c r="BW92" i="17"/>
  <c r="BV92" i="17"/>
  <c r="BU92" i="17"/>
  <c r="BS92" i="17"/>
  <c r="BR92" i="17"/>
  <c r="BQ92" i="17"/>
  <c r="BP92" i="17"/>
  <c r="BO92" i="17"/>
  <c r="BN92" i="17"/>
  <c r="BM92" i="17"/>
  <c r="AL92" i="17"/>
  <c r="AJ92" i="17"/>
  <c r="KG91" i="17"/>
  <c r="KB91" i="17"/>
  <c r="KA91" i="17"/>
  <c r="JZ91" i="17"/>
  <c r="JY91" i="17"/>
  <c r="JV91" i="17"/>
  <c r="JU91" i="17"/>
  <c r="JS91" i="17"/>
  <c r="JQ91" i="17"/>
  <c r="JP91" i="17"/>
  <c r="JO91" i="17"/>
  <c r="JN91" i="17"/>
  <c r="HF91" i="17"/>
  <c r="HE91" i="17"/>
  <c r="GV91" i="17"/>
  <c r="GU91" i="17"/>
  <c r="GT91" i="17"/>
  <c r="GS91" i="17"/>
  <c r="GL91" i="17"/>
  <c r="GK91" i="17"/>
  <c r="GJ91" i="17"/>
  <c r="GI91" i="17"/>
  <c r="GH91" i="17"/>
  <c r="GG91" i="17"/>
  <c r="GF91" i="17"/>
  <c r="GE91" i="17"/>
  <c r="GD91" i="17"/>
  <c r="GC91" i="17"/>
  <c r="GB91" i="17"/>
  <c r="GA91" i="17"/>
  <c r="FZ91" i="17"/>
  <c r="FY91" i="17"/>
  <c r="FT91" i="17"/>
  <c r="FS91" i="17"/>
  <c r="FP91" i="17"/>
  <c r="FO91" i="17"/>
  <c r="FQ91" i="17" s="1"/>
  <c r="FN91" i="17"/>
  <c r="FK91" i="17"/>
  <c r="FJ91" i="17"/>
  <c r="FI91" i="17"/>
  <c r="FF91" i="17"/>
  <c r="FE91" i="17"/>
  <c r="FG91" i="17" s="1"/>
  <c r="FH91" i="17" s="1"/>
  <c r="FC91" i="17"/>
  <c r="EZ91" i="17"/>
  <c r="EY91" i="17"/>
  <c r="EU91" i="17"/>
  <c r="ET91" i="17"/>
  <c r="ES91" i="17"/>
  <c r="ER91" i="17"/>
  <c r="EJ91" i="17"/>
  <c r="EF91" i="17"/>
  <c r="ED91" i="17"/>
  <c r="EH91" i="17" s="1"/>
  <c r="EB91" i="17"/>
  <c r="EA91" i="17"/>
  <c r="DZ91" i="17"/>
  <c r="DY91" i="17"/>
  <c r="DX91" i="17"/>
  <c r="DV91" i="17"/>
  <c r="DU91" i="17"/>
  <c r="DT91" i="17"/>
  <c r="DS91" i="17"/>
  <c r="DR91" i="17"/>
  <c r="DP91" i="17"/>
  <c r="DO91" i="17"/>
  <c r="DN91" i="17"/>
  <c r="DM91" i="17"/>
  <c r="DL91" i="17"/>
  <c r="DK91" i="17"/>
  <c r="DJ91" i="17"/>
  <c r="DI91" i="17"/>
  <c r="DH91" i="17"/>
  <c r="DF91" i="17"/>
  <c r="DE91" i="17"/>
  <c r="DD91" i="17"/>
  <c r="CX91" i="17"/>
  <c r="CW91" i="17"/>
  <c r="CV91" i="17"/>
  <c r="CT91" i="17"/>
  <c r="CQ91" i="17"/>
  <c r="CP91" i="17"/>
  <c r="CO91" i="17"/>
  <c r="CN91" i="17"/>
  <c r="CM91" i="17"/>
  <c r="CL91" i="17"/>
  <c r="CK91" i="17"/>
  <c r="CJ91" i="17"/>
  <c r="CH91" i="17"/>
  <c r="CG91" i="17"/>
  <c r="CF91" i="17"/>
  <c r="CE91" i="17"/>
  <c r="CD91" i="17"/>
  <c r="CC91" i="17"/>
  <c r="CB91" i="17"/>
  <c r="CA91" i="17"/>
  <c r="BZ91" i="17"/>
  <c r="BX91" i="17"/>
  <c r="BW91" i="17"/>
  <c r="BV91" i="17"/>
  <c r="BU91" i="17"/>
  <c r="BS91" i="17"/>
  <c r="BR91" i="17"/>
  <c r="BQ91" i="17"/>
  <c r="BP91" i="17"/>
  <c r="BO91" i="17"/>
  <c r="BN91" i="17"/>
  <c r="BM91" i="17"/>
  <c r="AL91" i="17"/>
  <c r="AJ91" i="17"/>
  <c r="KG90" i="17"/>
  <c r="KB90" i="17"/>
  <c r="KA90" i="17"/>
  <c r="JZ90" i="17"/>
  <c r="JY90" i="17"/>
  <c r="JV90" i="17"/>
  <c r="JU90" i="17"/>
  <c r="JS90" i="17"/>
  <c r="JQ90" i="17"/>
  <c r="JP90" i="17"/>
  <c r="JO90" i="17"/>
  <c r="JN90" i="17"/>
  <c r="HF90" i="17"/>
  <c r="HE90" i="17"/>
  <c r="GV90" i="17"/>
  <c r="GU90" i="17"/>
  <c r="GT90" i="17"/>
  <c r="GS90" i="17"/>
  <c r="GL90" i="17"/>
  <c r="GK90" i="17"/>
  <c r="GJ90" i="17"/>
  <c r="GI90" i="17"/>
  <c r="GH90" i="17"/>
  <c r="GG90" i="17"/>
  <c r="GF90" i="17"/>
  <c r="GE90" i="17"/>
  <c r="GD90" i="17"/>
  <c r="GC90" i="17"/>
  <c r="GB90" i="17"/>
  <c r="GA90" i="17"/>
  <c r="FZ90" i="17"/>
  <c r="FY90" i="17"/>
  <c r="FT90" i="17"/>
  <c r="FS90" i="17"/>
  <c r="FP90" i="17"/>
  <c r="FO90" i="17"/>
  <c r="FQ90" i="17" s="1"/>
  <c r="FN90" i="17"/>
  <c r="FK90" i="17"/>
  <c r="FJ90" i="17"/>
  <c r="FI90" i="17"/>
  <c r="FF90" i="17"/>
  <c r="FE90" i="17"/>
  <c r="FG90" i="17" s="1"/>
  <c r="FH90" i="17" s="1"/>
  <c r="FC90" i="17"/>
  <c r="EZ90" i="17"/>
  <c r="EY90" i="17"/>
  <c r="EU90" i="17"/>
  <c r="ET90" i="17"/>
  <c r="ES90" i="17"/>
  <c r="ER90" i="17"/>
  <c r="EJ90" i="17"/>
  <c r="EF90" i="17"/>
  <c r="ED90" i="17"/>
  <c r="EH90" i="17" s="1"/>
  <c r="EB90" i="17"/>
  <c r="EA90" i="17"/>
  <c r="DZ90" i="17"/>
  <c r="DY90" i="17"/>
  <c r="DX90" i="17"/>
  <c r="DV90" i="17"/>
  <c r="DU90" i="17"/>
  <c r="DT90" i="17"/>
  <c r="DS90" i="17"/>
  <c r="DR90" i="17"/>
  <c r="DP90" i="17"/>
  <c r="DO90" i="17"/>
  <c r="DN90" i="17"/>
  <c r="DM90" i="17"/>
  <c r="DL90" i="17"/>
  <c r="DK90" i="17"/>
  <c r="DJ90" i="17"/>
  <c r="DI90" i="17"/>
  <c r="DH90" i="17"/>
  <c r="DF90" i="17"/>
  <c r="DE90" i="17"/>
  <c r="DD90" i="17"/>
  <c r="CX90" i="17"/>
  <c r="CW90" i="17"/>
  <c r="CV90" i="17"/>
  <c r="CT90" i="17"/>
  <c r="CQ90" i="17"/>
  <c r="CP90" i="17"/>
  <c r="CO90" i="17"/>
  <c r="CN90" i="17"/>
  <c r="CR90" i="17" s="1"/>
  <c r="CS90" i="17" s="1"/>
  <c r="CY90" i="17" s="1"/>
  <c r="CM90" i="17"/>
  <c r="CL90" i="17"/>
  <c r="CK90" i="17"/>
  <c r="CJ90" i="17"/>
  <c r="CH90" i="17"/>
  <c r="CG90" i="17"/>
  <c r="CF90" i="17"/>
  <c r="CE90" i="17"/>
  <c r="CD90" i="17"/>
  <c r="CC90" i="17"/>
  <c r="CB90" i="17"/>
  <c r="CA90" i="17"/>
  <c r="BZ90" i="17"/>
  <c r="BX90" i="17"/>
  <c r="BW90" i="17"/>
  <c r="BV90" i="17"/>
  <c r="BU90" i="17"/>
  <c r="BS90" i="17"/>
  <c r="BR90" i="17"/>
  <c r="BQ90" i="17"/>
  <c r="BP90" i="17"/>
  <c r="BO90" i="17"/>
  <c r="BN90" i="17"/>
  <c r="BM90" i="17"/>
  <c r="AL90" i="17"/>
  <c r="AJ90" i="17"/>
  <c r="KG89" i="17"/>
  <c r="KB89" i="17"/>
  <c r="KA89" i="17"/>
  <c r="JZ89" i="17"/>
  <c r="JY89" i="17"/>
  <c r="JV89" i="17"/>
  <c r="JU89" i="17"/>
  <c r="JS89" i="17"/>
  <c r="JQ89" i="17"/>
  <c r="JP89" i="17"/>
  <c r="JO89" i="17"/>
  <c r="JN89" i="17"/>
  <c r="HF89" i="17"/>
  <c r="HE89" i="17"/>
  <c r="GV89" i="17"/>
  <c r="GU89" i="17"/>
  <c r="GT89" i="17"/>
  <c r="GS89" i="17"/>
  <c r="GL89" i="17"/>
  <c r="GK89" i="17"/>
  <c r="GJ89" i="17"/>
  <c r="GI89" i="17"/>
  <c r="GH89" i="17"/>
  <c r="GG89" i="17"/>
  <c r="GF89" i="17"/>
  <c r="GE89" i="17"/>
  <c r="GD89" i="17"/>
  <c r="GC89" i="17"/>
  <c r="GB89" i="17"/>
  <c r="GA89" i="17"/>
  <c r="FZ89" i="17"/>
  <c r="FY89" i="17"/>
  <c r="FT89" i="17"/>
  <c r="FS89" i="17"/>
  <c r="FP89" i="17"/>
  <c r="FO89" i="17"/>
  <c r="FQ89" i="17" s="1"/>
  <c r="FN89" i="17"/>
  <c r="FK89" i="17"/>
  <c r="FJ89" i="17"/>
  <c r="FI89" i="17"/>
  <c r="FF89" i="17"/>
  <c r="FE89" i="17"/>
  <c r="FG89" i="17" s="1"/>
  <c r="FH89" i="17" s="1"/>
  <c r="FC89" i="17"/>
  <c r="EZ89" i="17"/>
  <c r="EY89" i="17"/>
  <c r="EU89" i="17"/>
  <c r="ET89" i="17"/>
  <c r="ES89" i="17"/>
  <c r="ER89" i="17"/>
  <c r="EJ89" i="17"/>
  <c r="EF89" i="17"/>
  <c r="ED89" i="17"/>
  <c r="EH89" i="17" s="1"/>
  <c r="EB89" i="17"/>
  <c r="EA89" i="17"/>
  <c r="DZ89" i="17"/>
  <c r="DY89" i="17"/>
  <c r="DX89" i="17"/>
  <c r="DV89" i="17"/>
  <c r="DU89" i="17"/>
  <c r="DT89" i="17"/>
  <c r="DS89" i="17"/>
  <c r="DR89" i="17"/>
  <c r="DP89" i="17"/>
  <c r="DO89" i="17"/>
  <c r="DN89" i="17"/>
  <c r="DM89" i="17"/>
  <c r="DL89" i="17"/>
  <c r="DK89" i="17"/>
  <c r="DJ89" i="17"/>
  <c r="DI89" i="17"/>
  <c r="DH89" i="17"/>
  <c r="DF89" i="17"/>
  <c r="DE89" i="17"/>
  <c r="DD89" i="17"/>
  <c r="CX89" i="17"/>
  <c r="CW89" i="17"/>
  <c r="CV89" i="17"/>
  <c r="CT89" i="17"/>
  <c r="CQ89" i="17"/>
  <c r="CP89" i="17"/>
  <c r="CO89" i="17"/>
  <c r="CN89" i="17"/>
  <c r="CM89" i="17"/>
  <c r="CL89" i="17"/>
  <c r="CK89" i="17"/>
  <c r="CJ89" i="17"/>
  <c r="CH89" i="17"/>
  <c r="CG89" i="17"/>
  <c r="CF89" i="17"/>
  <c r="CE89" i="17"/>
  <c r="CD89" i="17"/>
  <c r="CC89" i="17"/>
  <c r="CB89" i="17"/>
  <c r="CA89" i="17"/>
  <c r="BZ89" i="17"/>
  <c r="BX89" i="17"/>
  <c r="BW89" i="17"/>
  <c r="BV89" i="17"/>
  <c r="BU89" i="17"/>
  <c r="BS89" i="17"/>
  <c r="BR89" i="17"/>
  <c r="BQ89" i="17"/>
  <c r="BP89" i="17"/>
  <c r="BO89" i="17"/>
  <c r="BN89" i="17"/>
  <c r="BM89" i="17"/>
  <c r="AL89" i="17"/>
  <c r="AJ89" i="17"/>
  <c r="KG88" i="17"/>
  <c r="KB88" i="17"/>
  <c r="KA88" i="17"/>
  <c r="JZ88" i="17"/>
  <c r="JY88" i="17"/>
  <c r="JV88" i="17"/>
  <c r="JU88" i="17"/>
  <c r="JS88" i="17"/>
  <c r="JQ88" i="17"/>
  <c r="JP88" i="17"/>
  <c r="JO88" i="17"/>
  <c r="JN88" i="17"/>
  <c r="HF88" i="17"/>
  <c r="HE88" i="17"/>
  <c r="GV88" i="17"/>
  <c r="GU88" i="17"/>
  <c r="GT88" i="17"/>
  <c r="GS88" i="17"/>
  <c r="GL88" i="17"/>
  <c r="GK88" i="17"/>
  <c r="GJ88" i="17"/>
  <c r="GI88" i="17"/>
  <c r="GH88" i="17"/>
  <c r="GG88" i="17"/>
  <c r="GF88" i="17"/>
  <c r="GE88" i="17"/>
  <c r="GD88" i="17"/>
  <c r="GC88" i="17"/>
  <c r="GB88" i="17"/>
  <c r="GA88" i="17"/>
  <c r="FZ88" i="17"/>
  <c r="FY88" i="17"/>
  <c r="FT88" i="17"/>
  <c r="FS88" i="17"/>
  <c r="FP88" i="17"/>
  <c r="FO88" i="17"/>
  <c r="FQ88" i="17" s="1"/>
  <c r="FN88" i="17"/>
  <c r="FK88" i="17"/>
  <c r="FJ88" i="17"/>
  <c r="FI88" i="17"/>
  <c r="FF88" i="17"/>
  <c r="FE88" i="17"/>
  <c r="FG88" i="17" s="1"/>
  <c r="FH88" i="17" s="1"/>
  <c r="FC88" i="17"/>
  <c r="EZ88" i="17"/>
  <c r="EY88" i="17"/>
  <c r="EU88" i="17"/>
  <c r="ET88" i="17"/>
  <c r="ES88" i="17"/>
  <c r="ER88" i="17"/>
  <c r="EJ88" i="17"/>
  <c r="EF88" i="17"/>
  <c r="ED88" i="17"/>
  <c r="EH88" i="17" s="1"/>
  <c r="EB88" i="17"/>
  <c r="EA88" i="17"/>
  <c r="DZ88" i="17"/>
  <c r="DY88" i="17"/>
  <c r="DX88" i="17"/>
  <c r="DV88" i="17"/>
  <c r="DU88" i="17"/>
  <c r="DT88" i="17"/>
  <c r="DS88" i="17"/>
  <c r="DR88" i="17"/>
  <c r="DP88" i="17"/>
  <c r="DO88" i="17"/>
  <c r="DN88" i="17"/>
  <c r="DM88" i="17"/>
  <c r="DL88" i="17"/>
  <c r="DK88" i="17"/>
  <c r="DJ88" i="17"/>
  <c r="DI88" i="17"/>
  <c r="DH88" i="17"/>
  <c r="DF88" i="17"/>
  <c r="DE88" i="17"/>
  <c r="DD88" i="17"/>
  <c r="CX88" i="17"/>
  <c r="CW88" i="17"/>
  <c r="CV88" i="17"/>
  <c r="CT88" i="17"/>
  <c r="CQ88" i="17"/>
  <c r="CP88" i="17"/>
  <c r="CO88" i="17"/>
  <c r="CN88" i="17"/>
  <c r="CR88" i="17" s="1"/>
  <c r="CS88" i="17" s="1"/>
  <c r="CY88" i="17" s="1"/>
  <c r="CM88" i="17"/>
  <c r="CL88" i="17"/>
  <c r="CK88" i="17"/>
  <c r="CJ88" i="17"/>
  <c r="CH88" i="17"/>
  <c r="CG88" i="17"/>
  <c r="CF88" i="17"/>
  <c r="CE88" i="17"/>
  <c r="CD88" i="17"/>
  <c r="CC88" i="17"/>
  <c r="CB88" i="17"/>
  <c r="CA88" i="17"/>
  <c r="BZ88" i="17"/>
  <c r="BX88" i="17"/>
  <c r="BW88" i="17"/>
  <c r="BV88" i="17"/>
  <c r="BU88" i="17"/>
  <c r="BS88" i="17"/>
  <c r="BR88" i="17"/>
  <c r="BQ88" i="17"/>
  <c r="BP88" i="17"/>
  <c r="BO88" i="17"/>
  <c r="BN88" i="17"/>
  <c r="BM88" i="17"/>
  <c r="AL88" i="17"/>
  <c r="AJ88" i="17"/>
  <c r="KG87" i="17"/>
  <c r="KB87" i="17"/>
  <c r="KA87" i="17"/>
  <c r="JZ87" i="17"/>
  <c r="JY87" i="17"/>
  <c r="JV87" i="17"/>
  <c r="JU87" i="17"/>
  <c r="JS87" i="17"/>
  <c r="JQ87" i="17"/>
  <c r="JP87" i="17"/>
  <c r="JO87" i="17"/>
  <c r="JN87" i="17"/>
  <c r="HF87" i="17"/>
  <c r="HE87" i="17"/>
  <c r="GV87" i="17"/>
  <c r="GU87" i="17"/>
  <c r="GT87" i="17"/>
  <c r="GS87" i="17"/>
  <c r="GL87" i="17"/>
  <c r="GK87" i="17"/>
  <c r="GJ87" i="17"/>
  <c r="GI87" i="17"/>
  <c r="GH87" i="17"/>
  <c r="GG87" i="17"/>
  <c r="GF87" i="17"/>
  <c r="GE87" i="17"/>
  <c r="GD87" i="17"/>
  <c r="GC87" i="17"/>
  <c r="GB87" i="17"/>
  <c r="GA87" i="17"/>
  <c r="FZ87" i="17"/>
  <c r="FY87" i="17"/>
  <c r="FT87" i="17"/>
  <c r="FS87" i="17"/>
  <c r="FP87" i="17"/>
  <c r="FO87" i="17"/>
  <c r="FQ87" i="17" s="1"/>
  <c r="FN87" i="17"/>
  <c r="FK87" i="17"/>
  <c r="FJ87" i="17"/>
  <c r="FI87" i="17"/>
  <c r="FF87" i="17"/>
  <c r="FE87" i="17"/>
  <c r="FG87" i="17" s="1"/>
  <c r="FH87" i="17" s="1"/>
  <c r="FC87" i="17"/>
  <c r="EZ87" i="17"/>
  <c r="EY87" i="17"/>
  <c r="EU87" i="17"/>
  <c r="ET87" i="17"/>
  <c r="ES87" i="17"/>
  <c r="ER87" i="17"/>
  <c r="EJ87" i="17"/>
  <c r="EF87" i="17"/>
  <c r="ED87" i="17"/>
  <c r="EH87" i="17" s="1"/>
  <c r="EB87" i="17"/>
  <c r="EA87" i="17"/>
  <c r="DZ87" i="17"/>
  <c r="DY87" i="17"/>
  <c r="DX87" i="17"/>
  <c r="DV87" i="17"/>
  <c r="DU87" i="17"/>
  <c r="DT87" i="17"/>
  <c r="DS87" i="17"/>
  <c r="DR87" i="17"/>
  <c r="DP87" i="17"/>
  <c r="DO87" i="17"/>
  <c r="DN87" i="17"/>
  <c r="DM87" i="17"/>
  <c r="DL87" i="17"/>
  <c r="DK87" i="17"/>
  <c r="DJ87" i="17"/>
  <c r="DI87" i="17"/>
  <c r="DH87" i="17"/>
  <c r="DF87" i="17"/>
  <c r="DE87" i="17"/>
  <c r="DD87" i="17"/>
  <c r="CX87" i="17"/>
  <c r="CW87" i="17"/>
  <c r="CV87" i="17"/>
  <c r="CT87" i="17"/>
  <c r="CQ87" i="17"/>
  <c r="CP87" i="17"/>
  <c r="CO87" i="17"/>
  <c r="CN87" i="17"/>
  <c r="CM87" i="17"/>
  <c r="CL87" i="17"/>
  <c r="CK87" i="17"/>
  <c r="CJ87" i="17"/>
  <c r="CH87" i="17"/>
  <c r="CG87" i="17"/>
  <c r="CF87" i="17"/>
  <c r="CE87" i="17"/>
  <c r="CD87" i="17"/>
  <c r="CC87" i="17"/>
  <c r="CB87" i="17"/>
  <c r="CA87" i="17"/>
  <c r="BZ87" i="17"/>
  <c r="BX87" i="17"/>
  <c r="BW87" i="17"/>
  <c r="BV87" i="17"/>
  <c r="BU87" i="17"/>
  <c r="BS87" i="17"/>
  <c r="BR87" i="17"/>
  <c r="BQ87" i="17"/>
  <c r="BP87" i="17"/>
  <c r="BO87" i="17"/>
  <c r="BN87" i="17"/>
  <c r="BM87" i="17"/>
  <c r="AL87" i="17"/>
  <c r="AJ87" i="17"/>
  <c r="KG86" i="17"/>
  <c r="KB86" i="17"/>
  <c r="KA86" i="17"/>
  <c r="JZ86" i="17"/>
  <c r="JY86" i="17"/>
  <c r="JV86" i="17"/>
  <c r="JU86" i="17"/>
  <c r="JS86" i="17"/>
  <c r="JQ86" i="17"/>
  <c r="JP86" i="17"/>
  <c r="JO86" i="17"/>
  <c r="JN86" i="17"/>
  <c r="HF86" i="17"/>
  <c r="HE86" i="17"/>
  <c r="GV86" i="17"/>
  <c r="GU86" i="17"/>
  <c r="GT86" i="17"/>
  <c r="GS86" i="17"/>
  <c r="GL86" i="17"/>
  <c r="GK86" i="17"/>
  <c r="GJ86" i="17"/>
  <c r="GI86" i="17"/>
  <c r="GH86" i="17"/>
  <c r="GG86" i="17"/>
  <c r="GF86" i="17"/>
  <c r="GE86" i="17"/>
  <c r="GD86" i="17"/>
  <c r="GC86" i="17"/>
  <c r="GB86" i="17"/>
  <c r="GA86" i="17"/>
  <c r="FZ86" i="17"/>
  <c r="FY86" i="17"/>
  <c r="FT86" i="17"/>
  <c r="FS86" i="17"/>
  <c r="FP86" i="17"/>
  <c r="FO86" i="17"/>
  <c r="FQ86" i="17" s="1"/>
  <c r="FN86" i="17"/>
  <c r="FK86" i="17"/>
  <c r="FJ86" i="17"/>
  <c r="FI86" i="17"/>
  <c r="FF86" i="17"/>
  <c r="FE86" i="17"/>
  <c r="FG86" i="17" s="1"/>
  <c r="FH86" i="17" s="1"/>
  <c r="FC86" i="17"/>
  <c r="EZ86" i="17"/>
  <c r="EY86" i="17"/>
  <c r="EU86" i="17"/>
  <c r="ET86" i="17"/>
  <c r="ES86" i="17"/>
  <c r="ER86" i="17"/>
  <c r="EJ86" i="17"/>
  <c r="EF86" i="17"/>
  <c r="ED86" i="17"/>
  <c r="EH86" i="17" s="1"/>
  <c r="EB86" i="17"/>
  <c r="EA86" i="17"/>
  <c r="DZ86" i="17"/>
  <c r="DY86" i="17"/>
  <c r="DX86" i="17"/>
  <c r="DV86" i="17"/>
  <c r="DU86" i="17"/>
  <c r="DT86" i="17"/>
  <c r="DS86" i="17"/>
  <c r="DR86" i="17"/>
  <c r="DP86" i="17"/>
  <c r="DO86" i="17"/>
  <c r="DN86" i="17"/>
  <c r="DM86" i="17"/>
  <c r="DL86" i="17"/>
  <c r="DK86" i="17"/>
  <c r="DJ86" i="17"/>
  <c r="DI86" i="17"/>
  <c r="DH86" i="17"/>
  <c r="DF86" i="17"/>
  <c r="DE86" i="17"/>
  <c r="DD86" i="17"/>
  <c r="CX86" i="17"/>
  <c r="CW86" i="17"/>
  <c r="CV86" i="17"/>
  <c r="CT86" i="17"/>
  <c r="CQ86" i="17"/>
  <c r="CP86" i="17"/>
  <c r="CO86" i="17"/>
  <c r="CN86" i="17"/>
  <c r="CR86" i="17" s="1"/>
  <c r="CS86" i="17" s="1"/>
  <c r="CY86" i="17" s="1"/>
  <c r="CM86" i="17"/>
  <c r="CL86" i="17"/>
  <c r="CK86" i="17"/>
  <c r="CJ86" i="17"/>
  <c r="CH86" i="17"/>
  <c r="CG86" i="17"/>
  <c r="CF86" i="17"/>
  <c r="CE86" i="17"/>
  <c r="CD86" i="17"/>
  <c r="CC86" i="17"/>
  <c r="CB86" i="17"/>
  <c r="CA86" i="17"/>
  <c r="BZ86" i="17"/>
  <c r="BX86" i="17"/>
  <c r="BW86" i="17"/>
  <c r="BV86" i="17"/>
  <c r="BU86" i="17"/>
  <c r="BS86" i="17"/>
  <c r="BR86" i="17"/>
  <c r="BQ86" i="17"/>
  <c r="BP86" i="17"/>
  <c r="BO86" i="17"/>
  <c r="BN86" i="17"/>
  <c r="BM86" i="17"/>
  <c r="AL86" i="17"/>
  <c r="AJ86" i="17"/>
  <c r="KG85" i="17"/>
  <c r="KB85" i="17"/>
  <c r="KA85" i="17"/>
  <c r="JZ85" i="17"/>
  <c r="JY85" i="17"/>
  <c r="JV85" i="17"/>
  <c r="JU85" i="17"/>
  <c r="JS85" i="17"/>
  <c r="JQ85" i="17"/>
  <c r="JP85" i="17"/>
  <c r="JO85" i="17"/>
  <c r="JN85" i="17"/>
  <c r="HF85" i="17"/>
  <c r="HE85" i="17"/>
  <c r="GV85" i="17"/>
  <c r="GU85" i="17"/>
  <c r="GT85" i="17"/>
  <c r="GS85" i="17"/>
  <c r="GL85" i="17"/>
  <c r="GK85" i="17"/>
  <c r="GJ85" i="17"/>
  <c r="GI85" i="17"/>
  <c r="GH85" i="17"/>
  <c r="GG85" i="17"/>
  <c r="GF85" i="17"/>
  <c r="GE85" i="17"/>
  <c r="GD85" i="17"/>
  <c r="GC85" i="17"/>
  <c r="GB85" i="17"/>
  <c r="GA85" i="17"/>
  <c r="FZ85" i="17"/>
  <c r="FY85" i="17"/>
  <c r="FT85" i="17"/>
  <c r="FS85" i="17"/>
  <c r="FP85" i="17"/>
  <c r="FO85" i="17"/>
  <c r="FQ85" i="17" s="1"/>
  <c r="FN85" i="17"/>
  <c r="FK85" i="17"/>
  <c r="FJ85" i="17"/>
  <c r="FI85" i="17"/>
  <c r="FF85" i="17"/>
  <c r="FE85" i="17"/>
  <c r="FG85" i="17" s="1"/>
  <c r="FH85" i="17" s="1"/>
  <c r="FC85" i="17"/>
  <c r="EZ85" i="17"/>
  <c r="EY85" i="17"/>
  <c r="EU85" i="17"/>
  <c r="ET85" i="17"/>
  <c r="ES85" i="17"/>
  <c r="ER85" i="17"/>
  <c r="EJ85" i="17"/>
  <c r="EF85" i="17"/>
  <c r="ED85" i="17"/>
  <c r="EH85" i="17" s="1"/>
  <c r="EB85" i="17"/>
  <c r="EA85" i="17"/>
  <c r="DZ85" i="17"/>
  <c r="DY85" i="17"/>
  <c r="DX85" i="17"/>
  <c r="DV85" i="17"/>
  <c r="DU85" i="17"/>
  <c r="DT85" i="17"/>
  <c r="DS85" i="17"/>
  <c r="DR85" i="17"/>
  <c r="DP85" i="17"/>
  <c r="DO85" i="17"/>
  <c r="DN85" i="17"/>
  <c r="DM85" i="17"/>
  <c r="DL85" i="17"/>
  <c r="DK85" i="17"/>
  <c r="DJ85" i="17"/>
  <c r="DI85" i="17"/>
  <c r="DH85" i="17"/>
  <c r="DF85" i="17"/>
  <c r="DE85" i="17"/>
  <c r="DD85" i="17"/>
  <c r="CX85" i="17"/>
  <c r="CW85" i="17"/>
  <c r="CV85" i="17"/>
  <c r="CT85" i="17"/>
  <c r="CQ85" i="17"/>
  <c r="CP85" i="17"/>
  <c r="CO85" i="17"/>
  <c r="CN85" i="17"/>
  <c r="CM85" i="17"/>
  <c r="CL85" i="17"/>
  <c r="CK85" i="17"/>
  <c r="CJ85" i="17"/>
  <c r="CH85" i="17"/>
  <c r="CG85" i="17"/>
  <c r="CF85" i="17"/>
  <c r="CE85" i="17"/>
  <c r="CD85" i="17"/>
  <c r="CC85" i="17"/>
  <c r="CB85" i="17"/>
  <c r="CA85" i="17"/>
  <c r="BZ85" i="17"/>
  <c r="BX85" i="17"/>
  <c r="BW85" i="17"/>
  <c r="BV85" i="17"/>
  <c r="BU85" i="17"/>
  <c r="BS85" i="17"/>
  <c r="BR85" i="17"/>
  <c r="BQ85" i="17"/>
  <c r="BP85" i="17"/>
  <c r="BO85" i="17"/>
  <c r="BN85" i="17"/>
  <c r="BM85" i="17"/>
  <c r="AL85" i="17"/>
  <c r="AJ85" i="17"/>
  <c r="KG84" i="17"/>
  <c r="KB84" i="17"/>
  <c r="KA84" i="17"/>
  <c r="JZ84" i="17"/>
  <c r="JY84" i="17"/>
  <c r="JV84" i="17"/>
  <c r="JU84" i="17"/>
  <c r="JS84" i="17"/>
  <c r="JQ84" i="17"/>
  <c r="JP84" i="17"/>
  <c r="JO84" i="17"/>
  <c r="JN84" i="17"/>
  <c r="HF84" i="17"/>
  <c r="HE84" i="17"/>
  <c r="GV84" i="17"/>
  <c r="GU84" i="17"/>
  <c r="GT84" i="17"/>
  <c r="GS84" i="17"/>
  <c r="GL84" i="17"/>
  <c r="GK84" i="17"/>
  <c r="GJ84" i="17"/>
  <c r="GI84" i="17"/>
  <c r="GH84" i="17"/>
  <c r="GG84" i="17"/>
  <c r="GF84" i="17"/>
  <c r="GE84" i="17"/>
  <c r="GD84" i="17"/>
  <c r="GC84" i="17"/>
  <c r="GB84" i="17"/>
  <c r="GA84" i="17"/>
  <c r="FZ84" i="17"/>
  <c r="FY84" i="17"/>
  <c r="FT84" i="17"/>
  <c r="FS84" i="17"/>
  <c r="FP84" i="17"/>
  <c r="FO84" i="17"/>
  <c r="FQ84" i="17" s="1"/>
  <c r="FN84" i="17"/>
  <c r="FK84" i="17"/>
  <c r="FJ84" i="17"/>
  <c r="FI84" i="17"/>
  <c r="FF84" i="17"/>
  <c r="FE84" i="17"/>
  <c r="FG84" i="17" s="1"/>
  <c r="FH84" i="17" s="1"/>
  <c r="FC84" i="17"/>
  <c r="EZ84" i="17"/>
  <c r="EY84" i="17"/>
  <c r="EU84" i="17"/>
  <c r="ET84" i="17"/>
  <c r="ES84" i="17"/>
  <c r="ER84" i="17"/>
  <c r="EJ84" i="17"/>
  <c r="EF84" i="17"/>
  <c r="ED84" i="17"/>
  <c r="EH84" i="17" s="1"/>
  <c r="EB84" i="17"/>
  <c r="EA84" i="17"/>
  <c r="DZ84" i="17"/>
  <c r="DY84" i="17"/>
  <c r="DX84" i="17"/>
  <c r="DV84" i="17"/>
  <c r="DU84" i="17"/>
  <c r="DT84" i="17"/>
  <c r="DS84" i="17"/>
  <c r="DR84" i="17"/>
  <c r="DP84" i="17"/>
  <c r="DO84" i="17"/>
  <c r="DN84" i="17"/>
  <c r="DM84" i="17"/>
  <c r="DL84" i="17"/>
  <c r="DK84" i="17"/>
  <c r="DJ84" i="17"/>
  <c r="DI84" i="17"/>
  <c r="DH84" i="17"/>
  <c r="DF84" i="17"/>
  <c r="DE84" i="17"/>
  <c r="DD84" i="17"/>
  <c r="CX84" i="17"/>
  <c r="CW84" i="17"/>
  <c r="CV84" i="17"/>
  <c r="CT84" i="17"/>
  <c r="CQ84" i="17"/>
  <c r="CP84" i="17"/>
  <c r="CO84" i="17"/>
  <c r="CN84" i="17"/>
  <c r="CR84" i="17" s="1"/>
  <c r="CS84" i="17" s="1"/>
  <c r="CY84" i="17" s="1"/>
  <c r="CM84" i="17"/>
  <c r="CL84" i="17"/>
  <c r="CK84" i="17"/>
  <c r="CJ84" i="17"/>
  <c r="CH84" i="17"/>
  <c r="CG84" i="17"/>
  <c r="CF84" i="17"/>
  <c r="CE84" i="17"/>
  <c r="CD84" i="17"/>
  <c r="CC84" i="17"/>
  <c r="CB84" i="17"/>
  <c r="CA84" i="17"/>
  <c r="BZ84" i="17"/>
  <c r="BX84" i="17"/>
  <c r="BW84" i="17"/>
  <c r="BV84" i="17"/>
  <c r="BU84" i="17"/>
  <c r="BS84" i="17"/>
  <c r="BR84" i="17"/>
  <c r="BQ84" i="17"/>
  <c r="BP84" i="17"/>
  <c r="BO84" i="17"/>
  <c r="BN84" i="17"/>
  <c r="BM84" i="17"/>
  <c r="AL84" i="17"/>
  <c r="AJ84" i="17"/>
  <c r="KG83" i="17"/>
  <c r="KB83" i="17"/>
  <c r="KA83" i="17"/>
  <c r="JZ83" i="17"/>
  <c r="JY83" i="17"/>
  <c r="JV83" i="17"/>
  <c r="JU83" i="17"/>
  <c r="JS83" i="17"/>
  <c r="JQ83" i="17"/>
  <c r="JP83" i="17"/>
  <c r="JO83" i="17"/>
  <c r="JN83" i="17"/>
  <c r="HF83" i="17"/>
  <c r="HE83" i="17"/>
  <c r="GV83" i="17"/>
  <c r="GU83" i="17"/>
  <c r="GT83" i="17"/>
  <c r="GS83" i="17"/>
  <c r="GL83" i="17"/>
  <c r="GK83" i="17"/>
  <c r="GJ83" i="17"/>
  <c r="GI83" i="17"/>
  <c r="GH83" i="17"/>
  <c r="GG83" i="17"/>
  <c r="GF83" i="17"/>
  <c r="GE83" i="17"/>
  <c r="GD83" i="17"/>
  <c r="GC83" i="17"/>
  <c r="GB83" i="17"/>
  <c r="GA83" i="17"/>
  <c r="FZ83" i="17"/>
  <c r="FY83" i="17"/>
  <c r="FT83" i="17"/>
  <c r="FS83" i="17"/>
  <c r="FP83" i="17"/>
  <c r="FO83" i="17"/>
  <c r="FQ83" i="17" s="1"/>
  <c r="FN83" i="17"/>
  <c r="FK83" i="17"/>
  <c r="FJ83" i="17"/>
  <c r="FI83" i="17"/>
  <c r="FF83" i="17"/>
  <c r="FE83" i="17"/>
  <c r="FG83" i="17" s="1"/>
  <c r="FH83" i="17" s="1"/>
  <c r="FC83" i="17"/>
  <c r="EZ83" i="17"/>
  <c r="EY83" i="17"/>
  <c r="EU83" i="17"/>
  <c r="ET83" i="17"/>
  <c r="ES83" i="17"/>
  <c r="ER83" i="17"/>
  <c r="EJ83" i="17"/>
  <c r="EF83" i="17"/>
  <c r="ED83" i="17"/>
  <c r="EH83" i="17" s="1"/>
  <c r="EB83" i="17"/>
  <c r="EA83" i="17"/>
  <c r="DZ83" i="17"/>
  <c r="DY83" i="17"/>
  <c r="DX83" i="17"/>
  <c r="DV83" i="17"/>
  <c r="DU83" i="17"/>
  <c r="DT83" i="17"/>
  <c r="DS83" i="17"/>
  <c r="DR83" i="17"/>
  <c r="DP83" i="17"/>
  <c r="DO83" i="17"/>
  <c r="DN83" i="17"/>
  <c r="DM83" i="17"/>
  <c r="DL83" i="17"/>
  <c r="DK83" i="17"/>
  <c r="DJ83" i="17"/>
  <c r="DI83" i="17"/>
  <c r="DH83" i="17"/>
  <c r="DF83" i="17"/>
  <c r="DE83" i="17"/>
  <c r="DD83" i="17"/>
  <c r="CX83" i="17"/>
  <c r="CW83" i="17"/>
  <c r="CV83" i="17"/>
  <c r="CT83" i="17"/>
  <c r="CQ83" i="17"/>
  <c r="CP83" i="17"/>
  <c r="CO83" i="17"/>
  <c r="CN83" i="17"/>
  <c r="CM83" i="17"/>
  <c r="CL83" i="17"/>
  <c r="CK83" i="17"/>
  <c r="CJ83" i="17"/>
  <c r="CH83" i="17"/>
  <c r="CG83" i="17"/>
  <c r="CF83" i="17"/>
  <c r="CE83" i="17"/>
  <c r="CD83" i="17"/>
  <c r="CC83" i="17"/>
  <c r="CB83" i="17"/>
  <c r="CA83" i="17"/>
  <c r="BZ83" i="17"/>
  <c r="BX83" i="17"/>
  <c r="BW83" i="17"/>
  <c r="BV83" i="17"/>
  <c r="BU83" i="17"/>
  <c r="BS83" i="17"/>
  <c r="BR83" i="17"/>
  <c r="BQ83" i="17"/>
  <c r="BP83" i="17"/>
  <c r="BO83" i="17"/>
  <c r="BN83" i="17"/>
  <c r="BM83" i="17"/>
  <c r="AL83" i="17"/>
  <c r="AJ83" i="17"/>
  <c r="KG82" i="17"/>
  <c r="KB82" i="17"/>
  <c r="KA82" i="17"/>
  <c r="JZ82" i="17"/>
  <c r="JY82" i="17"/>
  <c r="JV82" i="17"/>
  <c r="JU82" i="17"/>
  <c r="JS82" i="17"/>
  <c r="JQ82" i="17"/>
  <c r="JP82" i="17"/>
  <c r="JO82" i="17"/>
  <c r="JN82" i="17"/>
  <c r="HF82" i="17"/>
  <c r="HE82" i="17"/>
  <c r="GV82" i="17"/>
  <c r="GU82" i="17"/>
  <c r="GT82" i="17"/>
  <c r="GS82" i="17"/>
  <c r="GL82" i="17"/>
  <c r="GK82" i="17"/>
  <c r="GJ82" i="17"/>
  <c r="GI82" i="17"/>
  <c r="GH82" i="17"/>
  <c r="GG82" i="17"/>
  <c r="GF82" i="17"/>
  <c r="GE82" i="17"/>
  <c r="GD82" i="17"/>
  <c r="GC82" i="17"/>
  <c r="GB82" i="17"/>
  <c r="GA82" i="17"/>
  <c r="FZ82" i="17"/>
  <c r="FY82" i="17"/>
  <c r="FT82" i="17"/>
  <c r="FS82" i="17"/>
  <c r="FP82" i="17"/>
  <c r="FO82" i="17"/>
  <c r="FQ82" i="17" s="1"/>
  <c r="FN82" i="17"/>
  <c r="FK82" i="17"/>
  <c r="FJ82" i="17"/>
  <c r="FI82" i="17"/>
  <c r="FF82" i="17"/>
  <c r="FE82" i="17"/>
  <c r="FG82" i="17" s="1"/>
  <c r="FH82" i="17" s="1"/>
  <c r="FC82" i="17"/>
  <c r="EZ82" i="17"/>
  <c r="EY82" i="17"/>
  <c r="EU82" i="17"/>
  <c r="ET82" i="17"/>
  <c r="ES82" i="17"/>
  <c r="ER82" i="17"/>
  <c r="EJ82" i="17"/>
  <c r="EF82" i="17"/>
  <c r="ED82" i="17"/>
  <c r="EH82" i="17" s="1"/>
  <c r="EB82" i="17"/>
  <c r="EA82" i="17"/>
  <c r="DZ82" i="17"/>
  <c r="DY82" i="17"/>
  <c r="DX82" i="17"/>
  <c r="DV82" i="17"/>
  <c r="DU82" i="17"/>
  <c r="DT82" i="17"/>
  <c r="DS82" i="17"/>
  <c r="DR82" i="17"/>
  <c r="DP82" i="17"/>
  <c r="DO82" i="17"/>
  <c r="DN82" i="17"/>
  <c r="DM82" i="17"/>
  <c r="DL82" i="17"/>
  <c r="DK82" i="17"/>
  <c r="DJ82" i="17"/>
  <c r="DI82" i="17"/>
  <c r="DH82" i="17"/>
  <c r="DF82" i="17"/>
  <c r="DE82" i="17"/>
  <c r="DD82" i="17"/>
  <c r="CX82" i="17"/>
  <c r="CW82" i="17"/>
  <c r="CV82" i="17"/>
  <c r="CT82" i="17"/>
  <c r="CQ82" i="17"/>
  <c r="CP82" i="17"/>
  <c r="JR82" i="17" s="1"/>
  <c r="CO82" i="17"/>
  <c r="CN82" i="17"/>
  <c r="CR82" i="17" s="1"/>
  <c r="CS82" i="17" s="1"/>
  <c r="CY82" i="17" s="1"/>
  <c r="CM82" i="17"/>
  <c r="CL82" i="17"/>
  <c r="CK82" i="17"/>
  <c r="CJ82" i="17"/>
  <c r="CH82" i="17"/>
  <c r="CG82" i="17"/>
  <c r="CF82" i="17"/>
  <c r="CE82" i="17"/>
  <c r="CD82" i="17"/>
  <c r="CC82" i="17"/>
  <c r="CB82" i="17"/>
  <c r="CA82" i="17"/>
  <c r="BZ82" i="17"/>
  <c r="BX82" i="17"/>
  <c r="BW82" i="17"/>
  <c r="BV82" i="17"/>
  <c r="BU82" i="17"/>
  <c r="BS82" i="17"/>
  <c r="BR82" i="17"/>
  <c r="BQ82" i="17"/>
  <c r="BP82" i="17"/>
  <c r="BO82" i="17"/>
  <c r="BN82" i="17"/>
  <c r="BM82" i="17"/>
  <c r="AL82" i="17"/>
  <c r="AJ82" i="17"/>
  <c r="KG81" i="17"/>
  <c r="KB81" i="17"/>
  <c r="KA81" i="17"/>
  <c r="JZ81" i="17"/>
  <c r="JY81" i="17"/>
  <c r="JV81" i="17"/>
  <c r="JU81" i="17"/>
  <c r="JS81" i="17"/>
  <c r="JQ81" i="17"/>
  <c r="JP81" i="17"/>
  <c r="JO81" i="17"/>
  <c r="JN81" i="17"/>
  <c r="HF81" i="17"/>
  <c r="HE81" i="17"/>
  <c r="GV81" i="17"/>
  <c r="GU81" i="17"/>
  <c r="GT81" i="17"/>
  <c r="GS81" i="17"/>
  <c r="GL81" i="17"/>
  <c r="GK81" i="17"/>
  <c r="GJ81" i="17"/>
  <c r="GI81" i="17"/>
  <c r="GH81" i="17"/>
  <c r="GG81" i="17"/>
  <c r="GF81" i="17"/>
  <c r="GE81" i="17"/>
  <c r="GD81" i="17"/>
  <c r="GC81" i="17"/>
  <c r="GB81" i="17"/>
  <c r="GA81" i="17"/>
  <c r="FZ81" i="17"/>
  <c r="FY81" i="17"/>
  <c r="FT81" i="17"/>
  <c r="FS81" i="17"/>
  <c r="FP81" i="17"/>
  <c r="FO81" i="17"/>
  <c r="FN81" i="17"/>
  <c r="FK81" i="17"/>
  <c r="FJ81" i="17"/>
  <c r="FI81" i="17"/>
  <c r="FF81" i="17"/>
  <c r="FE81" i="17"/>
  <c r="FC81" i="17"/>
  <c r="EZ81" i="17"/>
  <c r="EY81" i="17"/>
  <c r="EU81" i="17"/>
  <c r="ET81" i="17"/>
  <c r="ES81" i="17"/>
  <c r="ER81" i="17"/>
  <c r="EJ81" i="17"/>
  <c r="EF81" i="17"/>
  <c r="ED81" i="17"/>
  <c r="EH81" i="17" s="1"/>
  <c r="EB81" i="17"/>
  <c r="EA81" i="17"/>
  <c r="DZ81" i="17"/>
  <c r="DY81" i="17"/>
  <c r="DX81" i="17"/>
  <c r="DV81" i="17"/>
  <c r="DU81" i="17"/>
  <c r="DT81" i="17"/>
  <c r="DS81" i="17"/>
  <c r="DR81" i="17"/>
  <c r="DP81" i="17"/>
  <c r="DO81" i="17"/>
  <c r="DN81" i="17"/>
  <c r="DM81" i="17"/>
  <c r="DL81" i="17"/>
  <c r="DK81" i="17"/>
  <c r="DJ81" i="17"/>
  <c r="DI81" i="17"/>
  <c r="DH81" i="17"/>
  <c r="DF81" i="17"/>
  <c r="DE81" i="17"/>
  <c r="DD81" i="17"/>
  <c r="CX81" i="17"/>
  <c r="CW81" i="17"/>
  <c r="CV81" i="17"/>
  <c r="CT81" i="17"/>
  <c r="CQ81" i="17"/>
  <c r="CP81" i="17"/>
  <c r="CO81" i="17"/>
  <c r="CN81" i="17"/>
  <c r="CM81" i="17"/>
  <c r="CL81" i="17"/>
  <c r="CK81" i="17"/>
  <c r="CJ81" i="17"/>
  <c r="CH81" i="17"/>
  <c r="CG81" i="17"/>
  <c r="CF81" i="17"/>
  <c r="CE81" i="17"/>
  <c r="CD81" i="17"/>
  <c r="CC81" i="17"/>
  <c r="CB81" i="17"/>
  <c r="CA81" i="17"/>
  <c r="BZ81" i="17"/>
  <c r="BX81" i="17"/>
  <c r="BW81" i="17"/>
  <c r="BV81" i="17"/>
  <c r="BU81" i="17"/>
  <c r="BS81" i="17"/>
  <c r="BR81" i="17"/>
  <c r="BQ81" i="17"/>
  <c r="BP81" i="17"/>
  <c r="BO81" i="17"/>
  <c r="BN81" i="17"/>
  <c r="BM81" i="17"/>
  <c r="AL81" i="17"/>
  <c r="AJ81" i="17"/>
  <c r="KG80" i="17"/>
  <c r="KB80" i="17"/>
  <c r="KA80" i="17"/>
  <c r="JZ80" i="17"/>
  <c r="JY80" i="17"/>
  <c r="JV80" i="17"/>
  <c r="JU80" i="17"/>
  <c r="JS80" i="17"/>
  <c r="JQ80" i="17"/>
  <c r="JP80" i="17"/>
  <c r="JO80" i="17"/>
  <c r="JN80" i="17"/>
  <c r="HF80" i="17"/>
  <c r="HE80" i="17"/>
  <c r="GV80" i="17"/>
  <c r="GU80" i="17"/>
  <c r="GT80" i="17"/>
  <c r="GS80" i="17"/>
  <c r="GL80" i="17"/>
  <c r="GK80" i="17"/>
  <c r="GJ80" i="17"/>
  <c r="GI80" i="17"/>
  <c r="GH80" i="17"/>
  <c r="GG80" i="17"/>
  <c r="GF80" i="17"/>
  <c r="GE80" i="17"/>
  <c r="GD80" i="17"/>
  <c r="GC80" i="17"/>
  <c r="GB80" i="17"/>
  <c r="GA80" i="17"/>
  <c r="FZ80" i="17"/>
  <c r="FY80" i="17"/>
  <c r="FT80" i="17"/>
  <c r="FS80" i="17"/>
  <c r="FP80" i="17"/>
  <c r="FO80" i="17"/>
  <c r="FQ80" i="17" s="1"/>
  <c r="FN80" i="17"/>
  <c r="FK80" i="17"/>
  <c r="FJ80" i="17"/>
  <c r="FI80" i="17"/>
  <c r="FF80" i="17"/>
  <c r="FE80" i="17"/>
  <c r="FG80" i="17" s="1"/>
  <c r="FH80" i="17" s="1"/>
  <c r="FC80" i="17"/>
  <c r="EZ80" i="17"/>
  <c r="EY80" i="17"/>
  <c r="EU80" i="17"/>
  <c r="ET80" i="17"/>
  <c r="ES80" i="17"/>
  <c r="ER80" i="17"/>
  <c r="EJ80" i="17"/>
  <c r="EF80" i="17"/>
  <c r="ED80" i="17"/>
  <c r="EH80" i="17" s="1"/>
  <c r="EB80" i="17"/>
  <c r="EA80" i="17"/>
  <c r="DZ80" i="17"/>
  <c r="DY80" i="17"/>
  <c r="DX80" i="17"/>
  <c r="DV80" i="17"/>
  <c r="DU80" i="17"/>
  <c r="DT80" i="17"/>
  <c r="DS80" i="17"/>
  <c r="DR80" i="17"/>
  <c r="DP80" i="17"/>
  <c r="DO80" i="17"/>
  <c r="DN80" i="17"/>
  <c r="DM80" i="17"/>
  <c r="DL80" i="17"/>
  <c r="DK80" i="17"/>
  <c r="DJ80" i="17"/>
  <c r="DI80" i="17"/>
  <c r="DH80" i="17"/>
  <c r="DF80" i="17"/>
  <c r="DE80" i="17"/>
  <c r="DD80" i="17"/>
  <c r="CX80" i="17"/>
  <c r="CW80" i="17"/>
  <c r="CV80" i="17"/>
  <c r="CT80" i="17"/>
  <c r="CQ80" i="17"/>
  <c r="CP80" i="17"/>
  <c r="JR80" i="17" s="1"/>
  <c r="CO80" i="17"/>
  <c r="CN80" i="17"/>
  <c r="CR80" i="17" s="1"/>
  <c r="CS80" i="17" s="1"/>
  <c r="CY80" i="17" s="1"/>
  <c r="CM80" i="17"/>
  <c r="CL80" i="17"/>
  <c r="CK80" i="17"/>
  <c r="CJ80" i="17"/>
  <c r="CH80" i="17"/>
  <c r="CG80" i="17"/>
  <c r="CF80" i="17"/>
  <c r="CE80" i="17"/>
  <c r="CD80" i="17"/>
  <c r="CC80" i="17"/>
  <c r="CB80" i="17"/>
  <c r="CA80" i="17"/>
  <c r="BZ80" i="17"/>
  <c r="BX80" i="17"/>
  <c r="BW80" i="17"/>
  <c r="BV80" i="17"/>
  <c r="BU80" i="17"/>
  <c r="BS80" i="17"/>
  <c r="BR80" i="17"/>
  <c r="BQ80" i="17"/>
  <c r="BP80" i="17"/>
  <c r="BO80" i="17"/>
  <c r="BN80" i="17"/>
  <c r="BM80" i="17"/>
  <c r="AL80" i="17"/>
  <c r="AJ80" i="17"/>
  <c r="KG79" i="17"/>
  <c r="KB79" i="17"/>
  <c r="KA79" i="17"/>
  <c r="JZ79" i="17"/>
  <c r="JY79" i="17"/>
  <c r="JV79" i="17"/>
  <c r="JU79" i="17"/>
  <c r="JS79" i="17"/>
  <c r="JQ79" i="17"/>
  <c r="JP79" i="17"/>
  <c r="JO79" i="17"/>
  <c r="JN79" i="17"/>
  <c r="HF79" i="17"/>
  <c r="HE79" i="17"/>
  <c r="GV79" i="17"/>
  <c r="GU79" i="17"/>
  <c r="GT79" i="17"/>
  <c r="GS79" i="17"/>
  <c r="GL79" i="17"/>
  <c r="GK79" i="17"/>
  <c r="GJ79" i="17"/>
  <c r="GI79" i="17"/>
  <c r="GH79" i="17"/>
  <c r="GG79" i="17"/>
  <c r="GF79" i="17"/>
  <c r="GE79" i="17"/>
  <c r="GD79" i="17"/>
  <c r="GC79" i="17"/>
  <c r="GB79" i="17"/>
  <c r="GA79" i="17"/>
  <c r="FZ79" i="17"/>
  <c r="FY79" i="17"/>
  <c r="FT79" i="17"/>
  <c r="FS79" i="17"/>
  <c r="FP79" i="17"/>
  <c r="FO79" i="17"/>
  <c r="FQ79" i="17" s="1"/>
  <c r="FN79" i="17"/>
  <c r="FK79" i="17"/>
  <c r="FJ79" i="17"/>
  <c r="FI79" i="17"/>
  <c r="FF79" i="17"/>
  <c r="FE79" i="17"/>
  <c r="FG79" i="17" s="1"/>
  <c r="FH79" i="17" s="1"/>
  <c r="FC79" i="17"/>
  <c r="EZ79" i="17"/>
  <c r="EY79" i="17"/>
  <c r="EU79" i="17"/>
  <c r="ET79" i="17"/>
  <c r="ES79" i="17"/>
  <c r="ER79" i="17"/>
  <c r="EJ79" i="17"/>
  <c r="EF79" i="17"/>
  <c r="ED79" i="17"/>
  <c r="EH79" i="17" s="1"/>
  <c r="EB79" i="17"/>
  <c r="EA79" i="17"/>
  <c r="DZ79" i="17"/>
  <c r="DY79" i="17"/>
  <c r="DX79" i="17"/>
  <c r="DV79" i="17"/>
  <c r="DU79" i="17"/>
  <c r="DT79" i="17"/>
  <c r="DS79" i="17"/>
  <c r="DR79" i="17"/>
  <c r="DP79" i="17"/>
  <c r="DO79" i="17"/>
  <c r="DN79" i="17"/>
  <c r="DM79" i="17"/>
  <c r="DL79" i="17"/>
  <c r="DK79" i="17"/>
  <c r="DJ79" i="17"/>
  <c r="DI79" i="17"/>
  <c r="DH79" i="17"/>
  <c r="DF79" i="17"/>
  <c r="DE79" i="17"/>
  <c r="DD79" i="17"/>
  <c r="CX79" i="17"/>
  <c r="CW79" i="17"/>
  <c r="CV79" i="17"/>
  <c r="CT79" i="17"/>
  <c r="CQ79" i="17"/>
  <c r="CP79" i="17"/>
  <c r="CO79" i="17"/>
  <c r="CN79" i="17"/>
  <c r="CM79" i="17"/>
  <c r="CL79" i="17"/>
  <c r="CK79" i="17"/>
  <c r="CJ79" i="17"/>
  <c r="CH79" i="17"/>
  <c r="CG79" i="17"/>
  <c r="CF79" i="17"/>
  <c r="CE79" i="17"/>
  <c r="CD79" i="17"/>
  <c r="CC79" i="17"/>
  <c r="CB79" i="17"/>
  <c r="CA79" i="17"/>
  <c r="BZ79" i="17"/>
  <c r="BX79" i="17"/>
  <c r="BW79" i="17"/>
  <c r="BV79" i="17"/>
  <c r="BU79" i="17"/>
  <c r="BS79" i="17"/>
  <c r="BR79" i="17"/>
  <c r="BQ79" i="17"/>
  <c r="BP79" i="17"/>
  <c r="BO79" i="17"/>
  <c r="BN79" i="17"/>
  <c r="BM79" i="17"/>
  <c r="AL79" i="17"/>
  <c r="AJ79" i="17"/>
  <c r="KG78" i="17"/>
  <c r="KB78" i="17"/>
  <c r="KA78" i="17"/>
  <c r="JZ78" i="17"/>
  <c r="JY78" i="17"/>
  <c r="JV78" i="17"/>
  <c r="JU78" i="17"/>
  <c r="JS78" i="17"/>
  <c r="JQ78" i="17"/>
  <c r="JP78" i="17"/>
  <c r="JO78" i="17"/>
  <c r="JN78" i="17"/>
  <c r="HF78" i="17"/>
  <c r="HE78" i="17"/>
  <c r="GV78" i="17"/>
  <c r="GU78" i="17"/>
  <c r="GT78" i="17"/>
  <c r="GS78" i="17"/>
  <c r="GL78" i="17"/>
  <c r="GK78" i="17"/>
  <c r="GJ78" i="17"/>
  <c r="GI78" i="17"/>
  <c r="GH78" i="17"/>
  <c r="GG78" i="17"/>
  <c r="GF78" i="17"/>
  <c r="GE78" i="17"/>
  <c r="GD78" i="17"/>
  <c r="GC78" i="17"/>
  <c r="GB78" i="17"/>
  <c r="GA78" i="17"/>
  <c r="FZ78" i="17"/>
  <c r="FY78" i="17"/>
  <c r="FT78" i="17"/>
  <c r="FS78" i="17"/>
  <c r="FP78" i="17"/>
  <c r="FO78" i="17"/>
  <c r="FQ78" i="17" s="1"/>
  <c r="FN78" i="17"/>
  <c r="FK78" i="17"/>
  <c r="FJ78" i="17"/>
  <c r="FI78" i="17"/>
  <c r="FF78" i="17"/>
  <c r="FE78" i="17"/>
  <c r="FG78" i="17" s="1"/>
  <c r="FH78" i="17" s="1"/>
  <c r="FC78" i="17"/>
  <c r="EZ78" i="17"/>
  <c r="EY78" i="17"/>
  <c r="EU78" i="17"/>
  <c r="ET78" i="17"/>
  <c r="ES78" i="17"/>
  <c r="ER78" i="17"/>
  <c r="EJ78" i="17"/>
  <c r="EF78" i="17"/>
  <c r="ED78" i="17"/>
  <c r="EH78" i="17" s="1"/>
  <c r="EB78" i="17"/>
  <c r="EA78" i="17"/>
  <c r="DZ78" i="17"/>
  <c r="DY78" i="17"/>
  <c r="DX78" i="17"/>
  <c r="DV78" i="17"/>
  <c r="DU78" i="17"/>
  <c r="DT78" i="17"/>
  <c r="DS78" i="17"/>
  <c r="DR78" i="17"/>
  <c r="DP78" i="17"/>
  <c r="DO78" i="17"/>
  <c r="DN78" i="17"/>
  <c r="DM78" i="17"/>
  <c r="DL78" i="17"/>
  <c r="DK78" i="17"/>
  <c r="DJ78" i="17"/>
  <c r="DI78" i="17"/>
  <c r="DH78" i="17"/>
  <c r="DF78" i="17"/>
  <c r="DE78" i="17"/>
  <c r="DD78" i="17"/>
  <c r="CX78" i="17"/>
  <c r="CW78" i="17"/>
  <c r="CV78" i="17"/>
  <c r="CT78" i="17"/>
  <c r="CQ78" i="17"/>
  <c r="CP78" i="17"/>
  <c r="JR78" i="17" s="1"/>
  <c r="CO78" i="17"/>
  <c r="CN78" i="17"/>
  <c r="CR78" i="17" s="1"/>
  <c r="CS78" i="17" s="1"/>
  <c r="CY78" i="17" s="1"/>
  <c r="CM78" i="17"/>
  <c r="CL78" i="17"/>
  <c r="CK78" i="17"/>
  <c r="CJ78" i="17"/>
  <c r="CH78" i="17"/>
  <c r="CG78" i="17"/>
  <c r="CF78" i="17"/>
  <c r="CE78" i="17"/>
  <c r="CD78" i="17"/>
  <c r="CC78" i="17"/>
  <c r="CB78" i="17"/>
  <c r="CA78" i="17"/>
  <c r="BZ78" i="17"/>
  <c r="BX78" i="17"/>
  <c r="BW78" i="17"/>
  <c r="BV78" i="17"/>
  <c r="BU78" i="17"/>
  <c r="BS78" i="17"/>
  <c r="BR78" i="17"/>
  <c r="BQ78" i="17"/>
  <c r="BP78" i="17"/>
  <c r="BO78" i="17"/>
  <c r="BN78" i="17"/>
  <c r="BM78" i="17"/>
  <c r="AL78" i="17"/>
  <c r="AJ78" i="17"/>
  <c r="KG77" i="17"/>
  <c r="KB77" i="17"/>
  <c r="KA77" i="17"/>
  <c r="JZ77" i="17"/>
  <c r="JY77" i="17"/>
  <c r="JV77" i="17"/>
  <c r="JU77" i="17"/>
  <c r="JS77" i="17"/>
  <c r="JQ77" i="17"/>
  <c r="JP77" i="17"/>
  <c r="JO77" i="17"/>
  <c r="JN77" i="17"/>
  <c r="HF77" i="17"/>
  <c r="HE77" i="17"/>
  <c r="GV77" i="17"/>
  <c r="GU77" i="17"/>
  <c r="GT77" i="17"/>
  <c r="GS77" i="17"/>
  <c r="GL77" i="17"/>
  <c r="GK77" i="17"/>
  <c r="GJ77" i="17"/>
  <c r="GI77" i="17"/>
  <c r="GH77" i="17"/>
  <c r="GG77" i="17"/>
  <c r="GF77" i="17"/>
  <c r="GE77" i="17"/>
  <c r="GD77" i="17"/>
  <c r="GC77" i="17"/>
  <c r="GB77" i="17"/>
  <c r="GA77" i="17"/>
  <c r="FZ77" i="17"/>
  <c r="FY77" i="17"/>
  <c r="FT77" i="17"/>
  <c r="FS77" i="17"/>
  <c r="FP77" i="17"/>
  <c r="FO77" i="17"/>
  <c r="FQ77" i="17" s="1"/>
  <c r="FN77" i="17"/>
  <c r="FK77" i="17"/>
  <c r="FJ77" i="17"/>
  <c r="FI77" i="17"/>
  <c r="FF77" i="17"/>
  <c r="FE77" i="17"/>
  <c r="FG77" i="17" s="1"/>
  <c r="FH77" i="17" s="1"/>
  <c r="FC77" i="17"/>
  <c r="EZ77" i="17"/>
  <c r="EY77" i="17"/>
  <c r="EU77" i="17"/>
  <c r="ET77" i="17"/>
  <c r="ES77" i="17"/>
  <c r="ER77" i="17"/>
  <c r="EJ77" i="17"/>
  <c r="EF77" i="17"/>
  <c r="ED77" i="17"/>
  <c r="EH77" i="17" s="1"/>
  <c r="EB77" i="17"/>
  <c r="EA77" i="17"/>
  <c r="DZ77" i="17"/>
  <c r="DY77" i="17"/>
  <c r="DX77" i="17"/>
  <c r="DV77" i="17"/>
  <c r="DU77" i="17"/>
  <c r="DT77" i="17"/>
  <c r="DS77" i="17"/>
  <c r="DR77" i="17"/>
  <c r="DP77" i="17"/>
  <c r="DO77" i="17"/>
  <c r="DN77" i="17"/>
  <c r="DM77" i="17"/>
  <c r="DL77" i="17"/>
  <c r="DK77" i="17"/>
  <c r="DJ77" i="17"/>
  <c r="DI77" i="17"/>
  <c r="DH77" i="17"/>
  <c r="DF77" i="17"/>
  <c r="DE77" i="17"/>
  <c r="DD77" i="17"/>
  <c r="CX77" i="17"/>
  <c r="CW77" i="17"/>
  <c r="CV77" i="17"/>
  <c r="CT77" i="17"/>
  <c r="CQ77" i="17"/>
  <c r="CP77" i="17"/>
  <c r="CO77" i="17"/>
  <c r="CN77" i="17"/>
  <c r="CM77" i="17"/>
  <c r="CL77" i="17"/>
  <c r="CK77" i="17"/>
  <c r="CJ77" i="17"/>
  <c r="CH77" i="17"/>
  <c r="CG77" i="17"/>
  <c r="CF77" i="17"/>
  <c r="CE77" i="17"/>
  <c r="CD77" i="17"/>
  <c r="CC77" i="17"/>
  <c r="CB77" i="17"/>
  <c r="CA77" i="17"/>
  <c r="BZ77" i="17"/>
  <c r="BX77" i="17"/>
  <c r="BW77" i="17"/>
  <c r="BV77" i="17"/>
  <c r="BU77" i="17"/>
  <c r="BS77" i="17"/>
  <c r="BR77" i="17"/>
  <c r="BQ77" i="17"/>
  <c r="BP77" i="17"/>
  <c r="BO77" i="17"/>
  <c r="BN77" i="17"/>
  <c r="BM77" i="17"/>
  <c r="AL77" i="17"/>
  <c r="AJ77" i="17"/>
  <c r="KG76" i="17"/>
  <c r="KB76" i="17"/>
  <c r="KA76" i="17"/>
  <c r="JZ76" i="17"/>
  <c r="JY76" i="17"/>
  <c r="JV76" i="17"/>
  <c r="JU76" i="17"/>
  <c r="JS76" i="17"/>
  <c r="JQ76" i="17"/>
  <c r="JP76" i="17"/>
  <c r="JO76" i="17"/>
  <c r="JN76" i="17"/>
  <c r="HF76" i="17"/>
  <c r="HE76" i="17"/>
  <c r="GV76" i="17"/>
  <c r="GU76" i="17"/>
  <c r="GT76" i="17"/>
  <c r="GS76" i="17"/>
  <c r="GL76" i="17"/>
  <c r="GK76" i="17"/>
  <c r="GJ76" i="17"/>
  <c r="GI76" i="17"/>
  <c r="GH76" i="17"/>
  <c r="GG76" i="17"/>
  <c r="GF76" i="17"/>
  <c r="GE76" i="17"/>
  <c r="GD76" i="17"/>
  <c r="GC76" i="17"/>
  <c r="GB76" i="17"/>
  <c r="GA76" i="17"/>
  <c r="FZ76" i="17"/>
  <c r="FY76" i="17"/>
  <c r="FT76" i="17"/>
  <c r="FS76" i="17"/>
  <c r="FP76" i="17"/>
  <c r="FO76" i="17"/>
  <c r="FQ76" i="17" s="1"/>
  <c r="FN76" i="17"/>
  <c r="FK76" i="17"/>
  <c r="FJ76" i="17"/>
  <c r="FI76" i="17"/>
  <c r="FF76" i="17"/>
  <c r="FE76" i="17"/>
  <c r="FG76" i="17" s="1"/>
  <c r="FH76" i="17" s="1"/>
  <c r="FC76" i="17"/>
  <c r="EZ76" i="17"/>
  <c r="EY76" i="17"/>
  <c r="EU76" i="17"/>
  <c r="ET76" i="17"/>
  <c r="ES76" i="17"/>
  <c r="ER76" i="17"/>
  <c r="EJ76" i="17"/>
  <c r="EF76" i="17"/>
  <c r="ED76" i="17"/>
  <c r="EH76" i="17" s="1"/>
  <c r="EB76" i="17"/>
  <c r="EA76" i="17"/>
  <c r="DZ76" i="17"/>
  <c r="DY76" i="17"/>
  <c r="DX76" i="17"/>
  <c r="DV76" i="17"/>
  <c r="DU76" i="17"/>
  <c r="DT76" i="17"/>
  <c r="DS76" i="17"/>
  <c r="DR76" i="17"/>
  <c r="DP76" i="17"/>
  <c r="DO76" i="17"/>
  <c r="DN76" i="17"/>
  <c r="DM76" i="17"/>
  <c r="DL76" i="17"/>
  <c r="DK76" i="17"/>
  <c r="DJ76" i="17"/>
  <c r="DI76" i="17"/>
  <c r="DH76" i="17"/>
  <c r="DF76" i="17"/>
  <c r="DE76" i="17"/>
  <c r="DD76" i="17"/>
  <c r="CX76" i="17"/>
  <c r="CW76" i="17"/>
  <c r="CV76" i="17"/>
  <c r="CT76" i="17"/>
  <c r="CQ76" i="17"/>
  <c r="CP76" i="17"/>
  <c r="JR76" i="17" s="1"/>
  <c r="CO76" i="17"/>
  <c r="CN76" i="17"/>
  <c r="CR76" i="17" s="1"/>
  <c r="CS76" i="17" s="1"/>
  <c r="CY76" i="17" s="1"/>
  <c r="CM76" i="17"/>
  <c r="CL76" i="17"/>
  <c r="CK76" i="17"/>
  <c r="CJ76" i="17"/>
  <c r="CH76" i="17"/>
  <c r="CG76" i="17"/>
  <c r="CF76" i="17"/>
  <c r="CE76" i="17"/>
  <c r="CD76" i="17"/>
  <c r="CC76" i="17"/>
  <c r="CB76" i="17"/>
  <c r="CA76" i="17"/>
  <c r="BZ76" i="17"/>
  <c r="BX76" i="17"/>
  <c r="BW76" i="17"/>
  <c r="BV76" i="17"/>
  <c r="BU76" i="17"/>
  <c r="BS76" i="17"/>
  <c r="BR76" i="17"/>
  <c r="BQ76" i="17"/>
  <c r="BP76" i="17"/>
  <c r="BO76" i="17"/>
  <c r="BN76" i="17"/>
  <c r="BM76" i="17"/>
  <c r="AL76" i="17"/>
  <c r="AJ76" i="17"/>
  <c r="KG75" i="17"/>
  <c r="KB75" i="17"/>
  <c r="KA75" i="17"/>
  <c r="JZ75" i="17"/>
  <c r="JY75" i="17"/>
  <c r="JV75" i="17"/>
  <c r="JU75" i="17"/>
  <c r="JS75" i="17"/>
  <c r="JQ75" i="17"/>
  <c r="JP75" i="17"/>
  <c r="JO75" i="17"/>
  <c r="JN75" i="17"/>
  <c r="HF75" i="17"/>
  <c r="HE75" i="17"/>
  <c r="GV75" i="17"/>
  <c r="GU75" i="17"/>
  <c r="GT75" i="17"/>
  <c r="GS75" i="17"/>
  <c r="GL75" i="17"/>
  <c r="GK75" i="17"/>
  <c r="GJ75" i="17"/>
  <c r="GI75" i="17"/>
  <c r="GH75" i="17"/>
  <c r="GG75" i="17"/>
  <c r="GF75" i="17"/>
  <c r="GE75" i="17"/>
  <c r="GD75" i="17"/>
  <c r="GC75" i="17"/>
  <c r="GB75" i="17"/>
  <c r="GA75" i="17"/>
  <c r="FZ75" i="17"/>
  <c r="FY75" i="17"/>
  <c r="FT75" i="17"/>
  <c r="FS75" i="17"/>
  <c r="FP75" i="17"/>
  <c r="FO75" i="17"/>
  <c r="FQ75" i="17" s="1"/>
  <c r="FN75" i="17"/>
  <c r="FK75" i="17"/>
  <c r="FJ75" i="17"/>
  <c r="FI75" i="17"/>
  <c r="FF75" i="17"/>
  <c r="FE75" i="17"/>
  <c r="FG75" i="17" s="1"/>
  <c r="FH75" i="17" s="1"/>
  <c r="FC75" i="17"/>
  <c r="EZ75" i="17"/>
  <c r="EY75" i="17"/>
  <c r="EU75" i="17"/>
  <c r="ET75" i="17"/>
  <c r="ES75" i="17"/>
  <c r="ER75" i="17"/>
  <c r="EJ75" i="17"/>
  <c r="EF75" i="17"/>
  <c r="ED75" i="17"/>
  <c r="EH75" i="17" s="1"/>
  <c r="EB75" i="17"/>
  <c r="EA75" i="17"/>
  <c r="DZ75" i="17"/>
  <c r="DY75" i="17"/>
  <c r="DX75" i="17"/>
  <c r="DV75" i="17"/>
  <c r="DU75" i="17"/>
  <c r="DT75" i="17"/>
  <c r="DS75" i="17"/>
  <c r="DR75" i="17"/>
  <c r="DP75" i="17"/>
  <c r="DO75" i="17"/>
  <c r="DN75" i="17"/>
  <c r="DM75" i="17"/>
  <c r="DL75" i="17"/>
  <c r="DK75" i="17"/>
  <c r="DJ75" i="17"/>
  <c r="DI75" i="17"/>
  <c r="DH75" i="17"/>
  <c r="DF75" i="17"/>
  <c r="DE75" i="17"/>
  <c r="DD75" i="17"/>
  <c r="CX75" i="17"/>
  <c r="CW75" i="17"/>
  <c r="CV75" i="17"/>
  <c r="CT75" i="17"/>
  <c r="CQ75" i="17"/>
  <c r="CP75" i="17"/>
  <c r="CO75" i="17"/>
  <c r="CN75" i="17"/>
  <c r="CM75" i="17"/>
  <c r="CL75" i="17"/>
  <c r="CK75" i="17"/>
  <c r="CJ75" i="17"/>
  <c r="CH75" i="17"/>
  <c r="CG75" i="17"/>
  <c r="CF75" i="17"/>
  <c r="CE75" i="17"/>
  <c r="CD75" i="17"/>
  <c r="CC75" i="17"/>
  <c r="CB75" i="17"/>
  <c r="CA75" i="17"/>
  <c r="BZ75" i="17"/>
  <c r="BX75" i="17"/>
  <c r="BW75" i="17"/>
  <c r="BV75" i="17"/>
  <c r="BU75" i="17"/>
  <c r="BS75" i="17"/>
  <c r="BR75" i="17"/>
  <c r="BQ75" i="17"/>
  <c r="BP75" i="17"/>
  <c r="BO75" i="17"/>
  <c r="BN75" i="17"/>
  <c r="BM75" i="17"/>
  <c r="AL75" i="17"/>
  <c r="AJ75" i="17"/>
  <c r="KG74" i="17"/>
  <c r="KB74" i="17"/>
  <c r="KA74" i="17"/>
  <c r="JZ74" i="17"/>
  <c r="JY74" i="17"/>
  <c r="JV74" i="17"/>
  <c r="JU74" i="17"/>
  <c r="JS74" i="17"/>
  <c r="JQ74" i="17"/>
  <c r="JP74" i="17"/>
  <c r="JO74" i="17"/>
  <c r="JN74" i="17"/>
  <c r="HF74" i="17"/>
  <c r="HE74" i="17"/>
  <c r="GV74" i="17"/>
  <c r="GU74" i="17"/>
  <c r="GT74" i="17"/>
  <c r="GS74" i="17"/>
  <c r="GL74" i="17"/>
  <c r="GK74" i="17"/>
  <c r="GJ74" i="17"/>
  <c r="GI74" i="17"/>
  <c r="GH74" i="17"/>
  <c r="GG74" i="17"/>
  <c r="GF74" i="17"/>
  <c r="GE74" i="17"/>
  <c r="GD74" i="17"/>
  <c r="GC74" i="17"/>
  <c r="GB74" i="17"/>
  <c r="GA74" i="17"/>
  <c r="FZ74" i="17"/>
  <c r="FY74" i="17"/>
  <c r="FT74" i="17"/>
  <c r="FS74" i="17"/>
  <c r="FP74" i="17"/>
  <c r="FO74" i="17"/>
  <c r="FQ74" i="17" s="1"/>
  <c r="FN74" i="17"/>
  <c r="FK74" i="17"/>
  <c r="FJ74" i="17"/>
  <c r="FI74" i="17"/>
  <c r="FF74" i="17"/>
  <c r="FE74" i="17"/>
  <c r="FG74" i="17" s="1"/>
  <c r="FH74" i="17" s="1"/>
  <c r="FC74" i="17"/>
  <c r="EZ74" i="17"/>
  <c r="EY74" i="17"/>
  <c r="EU74" i="17"/>
  <c r="ET74" i="17"/>
  <c r="ES74" i="17"/>
  <c r="ER74" i="17"/>
  <c r="EJ74" i="17"/>
  <c r="EF74" i="17"/>
  <c r="ED74" i="17"/>
  <c r="EH74" i="17" s="1"/>
  <c r="EB74" i="17"/>
  <c r="EA74" i="17"/>
  <c r="DZ74" i="17"/>
  <c r="DY74" i="17"/>
  <c r="DX74" i="17"/>
  <c r="DV74" i="17"/>
  <c r="DU74" i="17"/>
  <c r="DT74" i="17"/>
  <c r="DS74" i="17"/>
  <c r="DR74" i="17"/>
  <c r="DP74" i="17"/>
  <c r="DO74" i="17"/>
  <c r="DN74" i="17"/>
  <c r="DM74" i="17"/>
  <c r="DL74" i="17"/>
  <c r="DK74" i="17"/>
  <c r="DJ74" i="17"/>
  <c r="DI74" i="17"/>
  <c r="DH74" i="17"/>
  <c r="DF74" i="17"/>
  <c r="DE74" i="17"/>
  <c r="DD74" i="17"/>
  <c r="CX74" i="17"/>
  <c r="CW74" i="17"/>
  <c r="CV74" i="17"/>
  <c r="CT74" i="17"/>
  <c r="CQ74" i="17"/>
  <c r="CP74" i="17"/>
  <c r="JR74" i="17" s="1"/>
  <c r="CO74" i="17"/>
  <c r="CN74" i="17"/>
  <c r="CR74" i="17" s="1"/>
  <c r="CS74" i="17" s="1"/>
  <c r="CY74" i="17" s="1"/>
  <c r="CM74" i="17"/>
  <c r="CL74" i="17"/>
  <c r="CK74" i="17"/>
  <c r="CJ74" i="17"/>
  <c r="CH74" i="17"/>
  <c r="CG74" i="17"/>
  <c r="CF74" i="17"/>
  <c r="CE74" i="17"/>
  <c r="CD74" i="17"/>
  <c r="CC74" i="17"/>
  <c r="CB74" i="17"/>
  <c r="CA74" i="17"/>
  <c r="BZ74" i="17"/>
  <c r="BX74" i="17"/>
  <c r="BW74" i="17"/>
  <c r="BV74" i="17"/>
  <c r="BU74" i="17"/>
  <c r="BS74" i="17"/>
  <c r="BR74" i="17"/>
  <c r="BQ74" i="17"/>
  <c r="BP74" i="17"/>
  <c r="BO74" i="17"/>
  <c r="BN74" i="17"/>
  <c r="BM74" i="17"/>
  <c r="AL74" i="17"/>
  <c r="AJ74" i="17"/>
  <c r="KG73" i="17"/>
  <c r="KB73" i="17"/>
  <c r="KA73" i="17"/>
  <c r="JZ73" i="17"/>
  <c r="JY73" i="17"/>
  <c r="JV73" i="17"/>
  <c r="JU73" i="17"/>
  <c r="JS73" i="17"/>
  <c r="JQ73" i="17"/>
  <c r="JP73" i="17"/>
  <c r="JO73" i="17"/>
  <c r="JN73" i="17"/>
  <c r="HF73" i="17"/>
  <c r="HE73" i="17"/>
  <c r="GV73" i="17"/>
  <c r="GU73" i="17"/>
  <c r="GT73" i="17"/>
  <c r="GS73" i="17"/>
  <c r="GL73" i="17"/>
  <c r="GK73" i="17"/>
  <c r="GJ73" i="17"/>
  <c r="GI73" i="17"/>
  <c r="GH73" i="17"/>
  <c r="GG73" i="17"/>
  <c r="GF73" i="17"/>
  <c r="GE73" i="17"/>
  <c r="GD73" i="17"/>
  <c r="GC73" i="17"/>
  <c r="GB73" i="17"/>
  <c r="GA73" i="17"/>
  <c r="FZ73" i="17"/>
  <c r="FY73" i="17"/>
  <c r="FT73" i="17"/>
  <c r="FS73" i="17"/>
  <c r="FP73" i="17"/>
  <c r="FO73" i="17"/>
  <c r="FQ73" i="17" s="1"/>
  <c r="FN73" i="17"/>
  <c r="FK73" i="17"/>
  <c r="FJ73" i="17"/>
  <c r="FI73" i="17"/>
  <c r="FF73" i="17"/>
  <c r="FE73" i="17"/>
  <c r="FG73" i="17" s="1"/>
  <c r="FH73" i="17" s="1"/>
  <c r="FC73" i="17"/>
  <c r="EZ73" i="17"/>
  <c r="EY73" i="17"/>
  <c r="EU73" i="17"/>
  <c r="ET73" i="17"/>
  <c r="ES73" i="17"/>
  <c r="ER73" i="17"/>
  <c r="EJ73" i="17"/>
  <c r="EF73" i="17"/>
  <c r="ED73" i="17"/>
  <c r="EH73" i="17" s="1"/>
  <c r="EB73" i="17"/>
  <c r="EA73" i="17"/>
  <c r="DZ73" i="17"/>
  <c r="DY73" i="17"/>
  <c r="DX73" i="17"/>
  <c r="DV73" i="17"/>
  <c r="DU73" i="17"/>
  <c r="DT73" i="17"/>
  <c r="DS73" i="17"/>
  <c r="DR73" i="17"/>
  <c r="DP73" i="17"/>
  <c r="DO73" i="17"/>
  <c r="DN73" i="17"/>
  <c r="DM73" i="17"/>
  <c r="DL73" i="17"/>
  <c r="DK73" i="17"/>
  <c r="DJ73" i="17"/>
  <c r="DI73" i="17"/>
  <c r="DH73" i="17"/>
  <c r="DF73" i="17"/>
  <c r="DE73" i="17"/>
  <c r="DD73" i="17"/>
  <c r="CX73" i="17"/>
  <c r="CW73" i="17"/>
  <c r="CV73" i="17"/>
  <c r="CT73" i="17"/>
  <c r="CQ73" i="17"/>
  <c r="CP73" i="17"/>
  <c r="CO73" i="17"/>
  <c r="CN73" i="17"/>
  <c r="CM73" i="17"/>
  <c r="CL73" i="17"/>
  <c r="CK73" i="17"/>
  <c r="CJ73" i="17"/>
  <c r="CH73" i="17"/>
  <c r="CG73" i="17"/>
  <c r="CF73" i="17"/>
  <c r="CE73" i="17"/>
  <c r="CD73" i="17"/>
  <c r="CC73" i="17"/>
  <c r="CB73" i="17"/>
  <c r="CA73" i="17"/>
  <c r="BZ73" i="17"/>
  <c r="BX73" i="17"/>
  <c r="BW73" i="17"/>
  <c r="BV73" i="17"/>
  <c r="BU73" i="17"/>
  <c r="BS73" i="17"/>
  <c r="BR73" i="17"/>
  <c r="BQ73" i="17"/>
  <c r="BP73" i="17"/>
  <c r="BO73" i="17"/>
  <c r="BN73" i="17"/>
  <c r="BM73" i="17"/>
  <c r="AL73" i="17"/>
  <c r="AJ73" i="17"/>
  <c r="KG72" i="17"/>
  <c r="KB72" i="17"/>
  <c r="KA72" i="17"/>
  <c r="JZ72" i="17"/>
  <c r="JY72" i="17"/>
  <c r="JV72" i="17"/>
  <c r="JU72" i="17"/>
  <c r="JS72" i="17"/>
  <c r="JQ72" i="17"/>
  <c r="JP72" i="17"/>
  <c r="JO72" i="17"/>
  <c r="JN72" i="17"/>
  <c r="HF72" i="17"/>
  <c r="HE72" i="17"/>
  <c r="GV72" i="17"/>
  <c r="GU72" i="17"/>
  <c r="GT72" i="17"/>
  <c r="GS72" i="17"/>
  <c r="GL72" i="17"/>
  <c r="GK72" i="17"/>
  <c r="GJ72" i="17"/>
  <c r="GI72" i="17"/>
  <c r="GH72" i="17"/>
  <c r="GG72" i="17"/>
  <c r="GF72" i="17"/>
  <c r="GE72" i="17"/>
  <c r="GD72" i="17"/>
  <c r="GC72" i="17"/>
  <c r="GB72" i="17"/>
  <c r="GA72" i="17"/>
  <c r="FZ72" i="17"/>
  <c r="FY72" i="17"/>
  <c r="FT72" i="17"/>
  <c r="FS72" i="17"/>
  <c r="FP72" i="17"/>
  <c r="FO72" i="17"/>
  <c r="FQ72" i="17" s="1"/>
  <c r="FN72" i="17"/>
  <c r="FK72" i="17"/>
  <c r="FJ72" i="17"/>
  <c r="FI72" i="17"/>
  <c r="FF72" i="17"/>
  <c r="FE72" i="17"/>
  <c r="FG72" i="17" s="1"/>
  <c r="FH72" i="17" s="1"/>
  <c r="FC72" i="17"/>
  <c r="EZ72" i="17"/>
  <c r="EY72" i="17"/>
  <c r="EU72" i="17"/>
  <c r="ET72" i="17"/>
  <c r="ES72" i="17"/>
  <c r="ER72" i="17"/>
  <c r="EJ72" i="17"/>
  <c r="EF72" i="17"/>
  <c r="ED72" i="17"/>
  <c r="EH72" i="17" s="1"/>
  <c r="EB72" i="17"/>
  <c r="EA72" i="17"/>
  <c r="DZ72" i="17"/>
  <c r="DY72" i="17"/>
  <c r="DX72" i="17"/>
  <c r="DV72" i="17"/>
  <c r="DU72" i="17"/>
  <c r="DT72" i="17"/>
  <c r="DS72" i="17"/>
  <c r="DR72" i="17"/>
  <c r="DP72" i="17"/>
  <c r="DO72" i="17"/>
  <c r="DN72" i="17"/>
  <c r="DM72" i="17"/>
  <c r="DL72" i="17"/>
  <c r="DK72" i="17"/>
  <c r="DJ72" i="17"/>
  <c r="DI72" i="17"/>
  <c r="DH72" i="17"/>
  <c r="DF72" i="17"/>
  <c r="DE72" i="17"/>
  <c r="DD72" i="17"/>
  <c r="CX72" i="17"/>
  <c r="CW72" i="17"/>
  <c r="CV72" i="17"/>
  <c r="CT72" i="17"/>
  <c r="CQ72" i="17"/>
  <c r="CP72" i="17"/>
  <c r="JR72" i="17" s="1"/>
  <c r="CO72" i="17"/>
  <c r="CN72" i="17"/>
  <c r="CR72" i="17" s="1"/>
  <c r="CS72" i="17" s="1"/>
  <c r="CY72" i="17" s="1"/>
  <c r="CM72" i="17"/>
  <c r="CL72" i="17"/>
  <c r="CK72" i="17"/>
  <c r="CJ72" i="17"/>
  <c r="CH72" i="17"/>
  <c r="CG72" i="17"/>
  <c r="CF72" i="17"/>
  <c r="CE72" i="17"/>
  <c r="CD72" i="17"/>
  <c r="CC72" i="17"/>
  <c r="CB72" i="17"/>
  <c r="CA72" i="17"/>
  <c r="BZ72" i="17"/>
  <c r="BX72" i="17"/>
  <c r="BW72" i="17"/>
  <c r="BV72" i="17"/>
  <c r="BU72" i="17"/>
  <c r="BS72" i="17"/>
  <c r="BR72" i="17"/>
  <c r="BQ72" i="17"/>
  <c r="BP72" i="17"/>
  <c r="BO72" i="17"/>
  <c r="BN72" i="17"/>
  <c r="BM72" i="17"/>
  <c r="AL72" i="17"/>
  <c r="AJ72" i="17"/>
  <c r="KG71" i="17"/>
  <c r="KB71" i="17"/>
  <c r="KA71" i="17"/>
  <c r="JZ71" i="17"/>
  <c r="JY71" i="17"/>
  <c r="JV71" i="17"/>
  <c r="JU71" i="17"/>
  <c r="JS71" i="17"/>
  <c r="JQ71" i="17"/>
  <c r="JP71" i="17"/>
  <c r="JO71" i="17"/>
  <c r="JN71" i="17"/>
  <c r="HF71" i="17"/>
  <c r="HE71" i="17"/>
  <c r="GV71" i="17"/>
  <c r="GU71" i="17"/>
  <c r="GT71" i="17"/>
  <c r="GS71" i="17"/>
  <c r="GL71" i="17"/>
  <c r="GK71" i="17"/>
  <c r="GJ71" i="17"/>
  <c r="GI71" i="17"/>
  <c r="GH71" i="17"/>
  <c r="GG71" i="17"/>
  <c r="GF71" i="17"/>
  <c r="GE71" i="17"/>
  <c r="GD71" i="17"/>
  <c r="GC71" i="17"/>
  <c r="GB71" i="17"/>
  <c r="GA71" i="17"/>
  <c r="FZ71" i="17"/>
  <c r="FY71" i="17"/>
  <c r="FT71" i="17"/>
  <c r="FS71" i="17"/>
  <c r="FP71" i="17"/>
  <c r="FO71" i="17"/>
  <c r="FQ71" i="17" s="1"/>
  <c r="FN71" i="17"/>
  <c r="FK71" i="17"/>
  <c r="FJ71" i="17"/>
  <c r="FI71" i="17"/>
  <c r="FF71" i="17"/>
  <c r="FE71" i="17"/>
  <c r="FG71" i="17" s="1"/>
  <c r="FH71" i="17" s="1"/>
  <c r="FC71" i="17"/>
  <c r="EZ71" i="17"/>
  <c r="EY71" i="17"/>
  <c r="EU71" i="17"/>
  <c r="ET71" i="17"/>
  <c r="ES71" i="17"/>
  <c r="ER71" i="17"/>
  <c r="EJ71" i="17"/>
  <c r="EF71" i="17"/>
  <c r="ED71" i="17"/>
  <c r="EH71" i="17" s="1"/>
  <c r="EB71" i="17"/>
  <c r="EA71" i="17"/>
  <c r="DZ71" i="17"/>
  <c r="DY71" i="17"/>
  <c r="DX71" i="17"/>
  <c r="DV71" i="17"/>
  <c r="DU71" i="17"/>
  <c r="DT71" i="17"/>
  <c r="DS71" i="17"/>
  <c r="DR71" i="17"/>
  <c r="DP71" i="17"/>
  <c r="DO71" i="17"/>
  <c r="DN71" i="17"/>
  <c r="DM71" i="17"/>
  <c r="DL71" i="17"/>
  <c r="DK71" i="17"/>
  <c r="DJ71" i="17"/>
  <c r="DI71" i="17"/>
  <c r="DH71" i="17"/>
  <c r="DF71" i="17"/>
  <c r="DE71" i="17"/>
  <c r="DD71" i="17"/>
  <c r="CX71" i="17"/>
  <c r="CW71" i="17"/>
  <c r="CV71" i="17"/>
  <c r="CT71" i="17"/>
  <c r="CQ71" i="17"/>
  <c r="CP71" i="17"/>
  <c r="CO71" i="17"/>
  <c r="CN71" i="17"/>
  <c r="CM71" i="17"/>
  <c r="CL71" i="17"/>
  <c r="CK71" i="17"/>
  <c r="CJ71" i="17"/>
  <c r="CH71" i="17"/>
  <c r="CG71" i="17"/>
  <c r="CF71" i="17"/>
  <c r="CE71" i="17"/>
  <c r="CD71" i="17"/>
  <c r="CC71" i="17"/>
  <c r="CB71" i="17"/>
  <c r="CA71" i="17"/>
  <c r="BZ71" i="17"/>
  <c r="BX71" i="17"/>
  <c r="BW71" i="17"/>
  <c r="BV71" i="17"/>
  <c r="BU71" i="17"/>
  <c r="BS71" i="17"/>
  <c r="BR71" i="17"/>
  <c r="BQ71" i="17"/>
  <c r="BP71" i="17"/>
  <c r="BO71" i="17"/>
  <c r="BN71" i="17"/>
  <c r="BM71" i="17"/>
  <c r="AL71" i="17"/>
  <c r="AJ71" i="17"/>
  <c r="KG70" i="17"/>
  <c r="KB70" i="17"/>
  <c r="KA70" i="17"/>
  <c r="JZ70" i="17"/>
  <c r="JY70" i="17"/>
  <c r="JV70" i="17"/>
  <c r="JU70" i="17"/>
  <c r="JS70" i="17"/>
  <c r="JQ70" i="17"/>
  <c r="JP70" i="17"/>
  <c r="JO70" i="17"/>
  <c r="JN70" i="17"/>
  <c r="HF70" i="17"/>
  <c r="HE70" i="17"/>
  <c r="GV70" i="17"/>
  <c r="GU70" i="17"/>
  <c r="GT70" i="17"/>
  <c r="GS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T70" i="17"/>
  <c r="FS70" i="17"/>
  <c r="FP70" i="17"/>
  <c r="FO70" i="17"/>
  <c r="FQ70" i="17" s="1"/>
  <c r="FN70" i="17"/>
  <c r="FK70" i="17"/>
  <c r="FJ70" i="17"/>
  <c r="FI70" i="17"/>
  <c r="FF70" i="17"/>
  <c r="FE70" i="17"/>
  <c r="FG70" i="17" s="1"/>
  <c r="FH70" i="17" s="1"/>
  <c r="FC70" i="17"/>
  <c r="EZ70" i="17"/>
  <c r="EY70" i="17"/>
  <c r="EU70" i="17"/>
  <c r="ET70" i="17"/>
  <c r="ES70" i="17"/>
  <c r="ER70" i="17"/>
  <c r="EJ70" i="17"/>
  <c r="EF70" i="17"/>
  <c r="ED70" i="17"/>
  <c r="EH70" i="17" s="1"/>
  <c r="EB70" i="17"/>
  <c r="EA70" i="17"/>
  <c r="DZ70" i="17"/>
  <c r="DY70" i="17"/>
  <c r="DX70" i="17"/>
  <c r="DV70" i="17"/>
  <c r="DU70" i="17"/>
  <c r="DT70" i="17"/>
  <c r="DS70" i="17"/>
  <c r="DR70" i="17"/>
  <c r="DP70" i="17"/>
  <c r="DO70" i="17"/>
  <c r="DN70" i="17"/>
  <c r="DM70" i="17"/>
  <c r="DL70" i="17"/>
  <c r="DK70" i="17"/>
  <c r="DJ70" i="17"/>
  <c r="DI70" i="17"/>
  <c r="DH70" i="17"/>
  <c r="DF70" i="17"/>
  <c r="DE70" i="17"/>
  <c r="DD70" i="17"/>
  <c r="CX70" i="17"/>
  <c r="CW70" i="17"/>
  <c r="CV70" i="17"/>
  <c r="CT70" i="17"/>
  <c r="CQ70" i="17"/>
  <c r="CP70" i="17"/>
  <c r="JR70" i="17" s="1"/>
  <c r="CO70" i="17"/>
  <c r="CN70" i="17"/>
  <c r="CR70" i="17" s="1"/>
  <c r="CS70" i="17" s="1"/>
  <c r="CY70" i="17" s="1"/>
  <c r="CM70" i="17"/>
  <c r="CL70" i="17"/>
  <c r="CK70" i="17"/>
  <c r="CJ70" i="17"/>
  <c r="CH70" i="17"/>
  <c r="CG70" i="17"/>
  <c r="CF70" i="17"/>
  <c r="CE70" i="17"/>
  <c r="CD70" i="17"/>
  <c r="CC70" i="17"/>
  <c r="CB70" i="17"/>
  <c r="CA70" i="17"/>
  <c r="BZ70" i="17"/>
  <c r="BX70" i="17"/>
  <c r="BW70" i="17"/>
  <c r="BV70" i="17"/>
  <c r="BU70" i="17"/>
  <c r="BS70" i="17"/>
  <c r="BR70" i="17"/>
  <c r="BQ70" i="17"/>
  <c r="BP70" i="17"/>
  <c r="BO70" i="17"/>
  <c r="BN70" i="17"/>
  <c r="BM70" i="17"/>
  <c r="AL70" i="17"/>
  <c r="AJ70" i="17"/>
  <c r="KG69" i="17"/>
  <c r="KB69" i="17"/>
  <c r="KA69" i="17"/>
  <c r="JZ69" i="17"/>
  <c r="JY69" i="17"/>
  <c r="JV69" i="17"/>
  <c r="JU69" i="17"/>
  <c r="JS69" i="17"/>
  <c r="JQ69" i="17"/>
  <c r="JP69" i="17"/>
  <c r="JO69" i="17"/>
  <c r="JN69" i="17"/>
  <c r="HF69" i="17"/>
  <c r="HE69" i="17"/>
  <c r="GV69" i="17"/>
  <c r="GU69" i="17"/>
  <c r="GT69" i="17"/>
  <c r="GS69" i="17"/>
  <c r="GL69" i="17"/>
  <c r="GK69" i="17"/>
  <c r="GJ69" i="17"/>
  <c r="GI69" i="17"/>
  <c r="GH69" i="17"/>
  <c r="GG69" i="17"/>
  <c r="GF69" i="17"/>
  <c r="GE69" i="17"/>
  <c r="GD69" i="17"/>
  <c r="GC69" i="17"/>
  <c r="GB69" i="17"/>
  <c r="GA69" i="17"/>
  <c r="FZ69" i="17"/>
  <c r="FY69" i="17"/>
  <c r="FT69" i="17"/>
  <c r="FS69" i="17"/>
  <c r="FP69" i="17"/>
  <c r="FO69" i="17"/>
  <c r="FQ69" i="17" s="1"/>
  <c r="FN69" i="17"/>
  <c r="FK69" i="17"/>
  <c r="FJ69" i="17"/>
  <c r="FI69" i="17"/>
  <c r="FF69" i="17"/>
  <c r="FE69" i="17"/>
  <c r="FG69" i="17" s="1"/>
  <c r="FH69" i="17" s="1"/>
  <c r="FC69" i="17"/>
  <c r="EZ69" i="17"/>
  <c r="EY69" i="17"/>
  <c r="EU69" i="17"/>
  <c r="ET69" i="17"/>
  <c r="ES69" i="17"/>
  <c r="ER69" i="17"/>
  <c r="EJ69" i="17"/>
  <c r="EF69" i="17"/>
  <c r="ED69" i="17"/>
  <c r="EH69" i="17" s="1"/>
  <c r="EB69" i="17"/>
  <c r="EA69" i="17"/>
  <c r="DZ69" i="17"/>
  <c r="DY69" i="17"/>
  <c r="DX69" i="17"/>
  <c r="DV69" i="17"/>
  <c r="DU69" i="17"/>
  <c r="DT69" i="17"/>
  <c r="DS69" i="17"/>
  <c r="DR69" i="17"/>
  <c r="DP69" i="17"/>
  <c r="DO69" i="17"/>
  <c r="DN69" i="17"/>
  <c r="DM69" i="17"/>
  <c r="DL69" i="17"/>
  <c r="DK69" i="17"/>
  <c r="DJ69" i="17"/>
  <c r="DI69" i="17"/>
  <c r="DH69" i="17"/>
  <c r="DF69" i="17"/>
  <c r="DE69" i="17"/>
  <c r="DD69" i="17"/>
  <c r="CX69" i="17"/>
  <c r="CW69" i="17"/>
  <c r="CV69" i="17"/>
  <c r="CT69" i="17"/>
  <c r="CQ69" i="17"/>
  <c r="CP69" i="17"/>
  <c r="CO69" i="17"/>
  <c r="CN69" i="17"/>
  <c r="CM69" i="17"/>
  <c r="CL69" i="17"/>
  <c r="CK69" i="17"/>
  <c r="CJ69" i="17"/>
  <c r="CH69" i="17"/>
  <c r="CG69" i="17"/>
  <c r="CF69" i="17"/>
  <c r="CE69" i="17"/>
  <c r="CD69" i="17"/>
  <c r="CC69" i="17"/>
  <c r="CB69" i="17"/>
  <c r="CA69" i="17"/>
  <c r="BZ69" i="17"/>
  <c r="BX69" i="17"/>
  <c r="BW69" i="17"/>
  <c r="BV69" i="17"/>
  <c r="BU69" i="17"/>
  <c r="BS69" i="17"/>
  <c r="BR69" i="17"/>
  <c r="BQ69" i="17"/>
  <c r="BP69" i="17"/>
  <c r="BO69" i="17"/>
  <c r="BN69" i="17"/>
  <c r="BM69" i="17"/>
  <c r="AL69" i="17"/>
  <c r="AJ69" i="17"/>
  <c r="KG68" i="17"/>
  <c r="KB68" i="17"/>
  <c r="KA68" i="17"/>
  <c r="JZ68" i="17"/>
  <c r="JY68" i="17"/>
  <c r="JV68" i="17"/>
  <c r="JU68" i="17"/>
  <c r="JS68" i="17"/>
  <c r="JQ68" i="17"/>
  <c r="JP68" i="17"/>
  <c r="JO68" i="17"/>
  <c r="JN68" i="17"/>
  <c r="HF68" i="17"/>
  <c r="HE68" i="17"/>
  <c r="GV68" i="17"/>
  <c r="GU68" i="17"/>
  <c r="GT68" i="17"/>
  <c r="GS68" i="17"/>
  <c r="GL68" i="17"/>
  <c r="GK68" i="17"/>
  <c r="GJ68" i="17"/>
  <c r="GI68" i="17"/>
  <c r="GH68" i="17"/>
  <c r="GG68" i="17"/>
  <c r="GF68" i="17"/>
  <c r="GE68" i="17"/>
  <c r="GD68" i="17"/>
  <c r="GC68" i="17"/>
  <c r="GB68" i="17"/>
  <c r="GA68" i="17"/>
  <c r="FZ68" i="17"/>
  <c r="FY68" i="17"/>
  <c r="FT68" i="17"/>
  <c r="FS68" i="17"/>
  <c r="FP68" i="17"/>
  <c r="FO68" i="17"/>
  <c r="FQ68" i="17" s="1"/>
  <c r="FN68" i="17"/>
  <c r="FK68" i="17"/>
  <c r="FJ68" i="17"/>
  <c r="FI68" i="17"/>
  <c r="FF68" i="17"/>
  <c r="FE68" i="17"/>
  <c r="FG68" i="17" s="1"/>
  <c r="FH68" i="17" s="1"/>
  <c r="FC68" i="17"/>
  <c r="EZ68" i="17"/>
  <c r="EY68" i="17"/>
  <c r="EU68" i="17"/>
  <c r="ET68" i="17"/>
  <c r="ES68" i="17"/>
  <c r="ER68" i="17"/>
  <c r="EJ68" i="17"/>
  <c r="EF68" i="17"/>
  <c r="ED68" i="17"/>
  <c r="EH68" i="17" s="1"/>
  <c r="EB68" i="17"/>
  <c r="EA68" i="17"/>
  <c r="DZ68" i="17"/>
  <c r="DY68" i="17"/>
  <c r="DX68" i="17"/>
  <c r="DV68" i="17"/>
  <c r="DU68" i="17"/>
  <c r="DT68" i="17"/>
  <c r="DS68" i="17"/>
  <c r="DR68" i="17"/>
  <c r="DP68" i="17"/>
  <c r="DO68" i="17"/>
  <c r="DN68" i="17"/>
  <c r="DM68" i="17"/>
  <c r="DL68" i="17"/>
  <c r="DK68" i="17"/>
  <c r="DJ68" i="17"/>
  <c r="DI68" i="17"/>
  <c r="DH68" i="17"/>
  <c r="DF68" i="17"/>
  <c r="DE68" i="17"/>
  <c r="DD68" i="17"/>
  <c r="CX68" i="17"/>
  <c r="CW68" i="17"/>
  <c r="CV68" i="17"/>
  <c r="CT68" i="17"/>
  <c r="CQ68" i="17"/>
  <c r="CP68" i="17"/>
  <c r="JR68" i="17" s="1"/>
  <c r="CO68" i="17"/>
  <c r="CN68" i="17"/>
  <c r="CR68" i="17" s="1"/>
  <c r="CS68" i="17" s="1"/>
  <c r="CY68" i="17" s="1"/>
  <c r="CM68" i="17"/>
  <c r="CL68" i="17"/>
  <c r="CK68" i="17"/>
  <c r="CJ68" i="17"/>
  <c r="CH68" i="17"/>
  <c r="CG68" i="17"/>
  <c r="CF68" i="17"/>
  <c r="CE68" i="17"/>
  <c r="CD68" i="17"/>
  <c r="CC68" i="17"/>
  <c r="CB68" i="17"/>
  <c r="CA68" i="17"/>
  <c r="BZ68" i="17"/>
  <c r="BX68" i="17"/>
  <c r="BW68" i="17"/>
  <c r="BV68" i="17"/>
  <c r="BU68" i="17"/>
  <c r="BS68" i="17"/>
  <c r="BR68" i="17"/>
  <c r="BQ68" i="17"/>
  <c r="BP68" i="17"/>
  <c r="BO68" i="17"/>
  <c r="BN68" i="17"/>
  <c r="BM68" i="17"/>
  <c r="AL68" i="17"/>
  <c r="AJ68" i="17"/>
  <c r="KG67" i="17"/>
  <c r="KB67" i="17"/>
  <c r="KA67" i="17"/>
  <c r="JZ67" i="17"/>
  <c r="JY67" i="17"/>
  <c r="JV67" i="17"/>
  <c r="JU67" i="17"/>
  <c r="JS67" i="17"/>
  <c r="JQ67" i="17"/>
  <c r="JP67" i="17"/>
  <c r="JO67" i="17"/>
  <c r="JN67" i="17"/>
  <c r="HF67" i="17"/>
  <c r="HE67" i="17"/>
  <c r="GV67" i="17"/>
  <c r="GU67" i="17"/>
  <c r="GT67" i="17"/>
  <c r="GS67" i="17"/>
  <c r="GL67" i="17"/>
  <c r="GK67" i="17"/>
  <c r="GJ67" i="17"/>
  <c r="GI67" i="17"/>
  <c r="GH67" i="17"/>
  <c r="GG67" i="17"/>
  <c r="GF67" i="17"/>
  <c r="GE67" i="17"/>
  <c r="GD67" i="17"/>
  <c r="GC67" i="17"/>
  <c r="GB67" i="17"/>
  <c r="GA67" i="17"/>
  <c r="FZ67" i="17"/>
  <c r="FY67" i="17"/>
  <c r="FT67" i="17"/>
  <c r="FS67" i="17"/>
  <c r="FP67" i="17"/>
  <c r="FO67" i="17"/>
  <c r="FQ67" i="17" s="1"/>
  <c r="FN67" i="17"/>
  <c r="FK67" i="17"/>
  <c r="FJ67" i="17"/>
  <c r="FI67" i="17"/>
  <c r="FF67" i="17"/>
  <c r="FE67" i="17"/>
  <c r="FG67" i="17" s="1"/>
  <c r="FH67" i="17" s="1"/>
  <c r="FC67" i="17"/>
  <c r="EZ67" i="17"/>
  <c r="EY67" i="17"/>
  <c r="EU67" i="17"/>
  <c r="ET67" i="17"/>
  <c r="ES67" i="17"/>
  <c r="ER67" i="17"/>
  <c r="EJ67" i="17"/>
  <c r="EF67" i="17"/>
  <c r="ED67" i="17"/>
  <c r="EH67" i="17" s="1"/>
  <c r="EB67" i="17"/>
  <c r="EA67" i="17"/>
  <c r="DZ67" i="17"/>
  <c r="DY67" i="17"/>
  <c r="DX67" i="17"/>
  <c r="DV67" i="17"/>
  <c r="DU67" i="17"/>
  <c r="DT67" i="17"/>
  <c r="DS67" i="17"/>
  <c r="DR67" i="17"/>
  <c r="DP67" i="17"/>
  <c r="DO67" i="17"/>
  <c r="DN67" i="17"/>
  <c r="DM67" i="17"/>
  <c r="DL67" i="17"/>
  <c r="DK67" i="17"/>
  <c r="DJ67" i="17"/>
  <c r="DI67" i="17"/>
  <c r="DH67" i="17"/>
  <c r="DF67" i="17"/>
  <c r="DE67" i="17"/>
  <c r="DD67" i="17"/>
  <c r="CX67" i="17"/>
  <c r="CW67" i="17"/>
  <c r="CV67" i="17"/>
  <c r="CT67" i="17"/>
  <c r="CQ67" i="17"/>
  <c r="CP67" i="17"/>
  <c r="CO67" i="17"/>
  <c r="CN67" i="17"/>
  <c r="CM67" i="17"/>
  <c r="CL67" i="17"/>
  <c r="CK67" i="17"/>
  <c r="CJ67" i="17"/>
  <c r="CH67" i="17"/>
  <c r="CG67" i="17"/>
  <c r="CF67" i="17"/>
  <c r="CE67" i="17"/>
  <c r="CD67" i="17"/>
  <c r="CC67" i="17"/>
  <c r="CB67" i="17"/>
  <c r="CA67" i="17"/>
  <c r="BZ67" i="17"/>
  <c r="BX67" i="17"/>
  <c r="BW67" i="17"/>
  <c r="BV67" i="17"/>
  <c r="BU67" i="17"/>
  <c r="BS67" i="17"/>
  <c r="BR67" i="17"/>
  <c r="BQ67" i="17"/>
  <c r="BP67" i="17"/>
  <c r="BO67" i="17"/>
  <c r="BN67" i="17"/>
  <c r="BM67" i="17"/>
  <c r="AL67" i="17"/>
  <c r="AJ67" i="17"/>
  <c r="KG66" i="17"/>
  <c r="KB66" i="17"/>
  <c r="KA66" i="17"/>
  <c r="JZ66" i="17"/>
  <c r="JY66" i="17"/>
  <c r="JV66" i="17"/>
  <c r="JU66" i="17"/>
  <c r="JS66" i="17"/>
  <c r="JQ66" i="17"/>
  <c r="JP66" i="17"/>
  <c r="JO66" i="17"/>
  <c r="JN66" i="17"/>
  <c r="HF66" i="17"/>
  <c r="HE66" i="17"/>
  <c r="GV66" i="17"/>
  <c r="GU66" i="17"/>
  <c r="GT66" i="17"/>
  <c r="GS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T66" i="17"/>
  <c r="FS66" i="17"/>
  <c r="FP66" i="17"/>
  <c r="FO66" i="17"/>
  <c r="FQ66" i="17" s="1"/>
  <c r="FN66" i="17"/>
  <c r="FK66" i="17"/>
  <c r="FJ66" i="17"/>
  <c r="FI66" i="17"/>
  <c r="FF66" i="17"/>
  <c r="FE66" i="17"/>
  <c r="FG66" i="17" s="1"/>
  <c r="FH66" i="17" s="1"/>
  <c r="FC66" i="17"/>
  <c r="EZ66" i="17"/>
  <c r="EY66" i="17"/>
  <c r="EU66" i="17"/>
  <c r="ET66" i="17"/>
  <c r="ES66" i="17"/>
  <c r="ER66" i="17"/>
  <c r="EJ66" i="17"/>
  <c r="EF66" i="17"/>
  <c r="ED66" i="17"/>
  <c r="EH66" i="17" s="1"/>
  <c r="EB66" i="17"/>
  <c r="EA66" i="17"/>
  <c r="DZ66" i="17"/>
  <c r="DY66" i="17"/>
  <c r="DX66" i="17"/>
  <c r="DV66" i="17"/>
  <c r="DU66" i="17"/>
  <c r="DT66" i="17"/>
  <c r="DS66" i="17"/>
  <c r="DR66" i="17"/>
  <c r="DP66" i="17"/>
  <c r="DO66" i="17"/>
  <c r="DN66" i="17"/>
  <c r="DM66" i="17"/>
  <c r="DL66" i="17"/>
  <c r="DK66" i="17"/>
  <c r="DJ66" i="17"/>
  <c r="DI66" i="17"/>
  <c r="DH66" i="17"/>
  <c r="DF66" i="17"/>
  <c r="DE66" i="17"/>
  <c r="DD66" i="17"/>
  <c r="CX66" i="17"/>
  <c r="CW66" i="17"/>
  <c r="CV66" i="17"/>
  <c r="CT66" i="17"/>
  <c r="CQ66" i="17"/>
  <c r="CP66" i="17"/>
  <c r="JR66" i="17" s="1"/>
  <c r="CO66" i="17"/>
  <c r="CN66" i="17"/>
  <c r="CR66" i="17" s="1"/>
  <c r="CS66" i="17" s="1"/>
  <c r="CY66" i="17" s="1"/>
  <c r="CM66" i="17"/>
  <c r="CL66" i="17"/>
  <c r="CK66" i="17"/>
  <c r="CJ66" i="17"/>
  <c r="CH66" i="17"/>
  <c r="CG66" i="17"/>
  <c r="CF66" i="17"/>
  <c r="CE66" i="17"/>
  <c r="CD66" i="17"/>
  <c r="CC66" i="17"/>
  <c r="CB66" i="17"/>
  <c r="CA66" i="17"/>
  <c r="BZ66" i="17"/>
  <c r="BX66" i="17"/>
  <c r="BW66" i="17"/>
  <c r="BV66" i="17"/>
  <c r="BU66" i="17"/>
  <c r="BS66" i="17"/>
  <c r="BR66" i="17"/>
  <c r="BQ66" i="17"/>
  <c r="BP66" i="17"/>
  <c r="BO66" i="17"/>
  <c r="BN66" i="17"/>
  <c r="BM66" i="17"/>
  <c r="AL66" i="17"/>
  <c r="AJ66" i="17"/>
  <c r="KG65" i="17"/>
  <c r="KB65" i="17"/>
  <c r="KA65" i="17"/>
  <c r="JZ65" i="17"/>
  <c r="JY65" i="17"/>
  <c r="JV65" i="17"/>
  <c r="JU65" i="17"/>
  <c r="JS65" i="17"/>
  <c r="JQ65" i="17"/>
  <c r="JP65" i="17"/>
  <c r="JO65" i="17"/>
  <c r="JN65" i="17"/>
  <c r="HF65" i="17"/>
  <c r="HE65" i="17"/>
  <c r="GV65" i="17"/>
  <c r="GU65" i="17"/>
  <c r="GT65" i="17"/>
  <c r="GS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FZ65" i="17"/>
  <c r="FY65" i="17"/>
  <c r="FT65" i="17"/>
  <c r="FS65" i="17"/>
  <c r="FP65" i="17"/>
  <c r="FO65" i="17"/>
  <c r="FQ65" i="17" s="1"/>
  <c r="FN65" i="17"/>
  <c r="FK65" i="17"/>
  <c r="FJ65" i="17"/>
  <c r="FI65" i="17"/>
  <c r="FF65" i="17"/>
  <c r="FE65" i="17"/>
  <c r="FG65" i="17" s="1"/>
  <c r="FH65" i="17" s="1"/>
  <c r="FC65" i="17"/>
  <c r="EZ65" i="17"/>
  <c r="EY65" i="17"/>
  <c r="EU65" i="17"/>
  <c r="ET65" i="17"/>
  <c r="ES65" i="17"/>
  <c r="ER65" i="17"/>
  <c r="EJ65" i="17"/>
  <c r="EF65" i="17"/>
  <c r="ED65" i="17"/>
  <c r="EH65" i="17" s="1"/>
  <c r="EB65" i="17"/>
  <c r="EA65" i="17"/>
  <c r="DZ65" i="17"/>
  <c r="DY65" i="17"/>
  <c r="DX65" i="17"/>
  <c r="DV65" i="17"/>
  <c r="DU65" i="17"/>
  <c r="DT65" i="17"/>
  <c r="DS65" i="17"/>
  <c r="DR65" i="17"/>
  <c r="DP65" i="17"/>
  <c r="DO65" i="17"/>
  <c r="DN65" i="17"/>
  <c r="DM65" i="17"/>
  <c r="DL65" i="17"/>
  <c r="DK65" i="17"/>
  <c r="DJ65" i="17"/>
  <c r="DI65" i="17"/>
  <c r="DH65" i="17"/>
  <c r="DF65" i="17"/>
  <c r="DE65" i="17"/>
  <c r="DD65" i="17"/>
  <c r="CX65" i="17"/>
  <c r="CW65" i="17"/>
  <c r="CV65" i="17"/>
  <c r="CT65" i="17"/>
  <c r="CQ65" i="17"/>
  <c r="CP65" i="17"/>
  <c r="CO65" i="17"/>
  <c r="CN65" i="17"/>
  <c r="CM65" i="17"/>
  <c r="CL65" i="17"/>
  <c r="CK65" i="17"/>
  <c r="CJ65" i="17"/>
  <c r="CH65" i="17"/>
  <c r="CG65" i="17"/>
  <c r="CF65" i="17"/>
  <c r="CE65" i="17"/>
  <c r="CD65" i="17"/>
  <c r="CC65" i="17"/>
  <c r="CB65" i="17"/>
  <c r="CA65" i="17"/>
  <c r="BZ65" i="17"/>
  <c r="BX65" i="17"/>
  <c r="BW65" i="17"/>
  <c r="BV65" i="17"/>
  <c r="BU65" i="17"/>
  <c r="BS65" i="17"/>
  <c r="BR65" i="17"/>
  <c r="BQ65" i="17"/>
  <c r="BP65" i="17"/>
  <c r="BO65" i="17"/>
  <c r="BN65" i="17"/>
  <c r="BM65" i="17"/>
  <c r="AL65" i="17"/>
  <c r="AJ65" i="17"/>
  <c r="KG64" i="17"/>
  <c r="KB64" i="17"/>
  <c r="KA64" i="17"/>
  <c r="JZ64" i="17"/>
  <c r="JY64" i="17"/>
  <c r="JV64" i="17"/>
  <c r="JU64" i="17"/>
  <c r="JS64" i="17"/>
  <c r="JQ64" i="17"/>
  <c r="JP64" i="17"/>
  <c r="JO64" i="17"/>
  <c r="JN64" i="17"/>
  <c r="HF64" i="17"/>
  <c r="HE64" i="17"/>
  <c r="GV64" i="17"/>
  <c r="GU64" i="17"/>
  <c r="GT64" i="17"/>
  <c r="GS64" i="17"/>
  <c r="GL64" i="17"/>
  <c r="GK64" i="17"/>
  <c r="GJ64" i="17"/>
  <c r="GI64" i="17"/>
  <c r="GH64" i="17"/>
  <c r="GG64" i="17"/>
  <c r="GF64" i="17"/>
  <c r="GE64" i="17"/>
  <c r="GD64" i="17"/>
  <c r="GC64" i="17"/>
  <c r="GB64" i="17"/>
  <c r="GA64" i="17"/>
  <c r="FZ64" i="17"/>
  <c r="FY64" i="17"/>
  <c r="FT64" i="17"/>
  <c r="FS64" i="17"/>
  <c r="FP64" i="17"/>
  <c r="FO64" i="17"/>
  <c r="FQ64" i="17" s="1"/>
  <c r="FN64" i="17"/>
  <c r="FK64" i="17"/>
  <c r="FJ64" i="17"/>
  <c r="FI64" i="17"/>
  <c r="FF64" i="17"/>
  <c r="FE64" i="17"/>
  <c r="FG64" i="17" s="1"/>
  <c r="FH64" i="17" s="1"/>
  <c r="FC64" i="17"/>
  <c r="EZ64" i="17"/>
  <c r="EY64" i="17"/>
  <c r="EU64" i="17"/>
  <c r="ET64" i="17"/>
  <c r="ES64" i="17"/>
  <c r="ER64" i="17"/>
  <c r="EJ64" i="17"/>
  <c r="EF64" i="17"/>
  <c r="ED64" i="17"/>
  <c r="EH64" i="17" s="1"/>
  <c r="EB64" i="17"/>
  <c r="EA64" i="17"/>
  <c r="DZ64" i="17"/>
  <c r="DY64" i="17"/>
  <c r="DX64" i="17"/>
  <c r="DV64" i="17"/>
  <c r="DU64" i="17"/>
  <c r="DT64" i="17"/>
  <c r="DS64" i="17"/>
  <c r="DR64" i="17"/>
  <c r="DP64" i="17"/>
  <c r="DO64" i="17"/>
  <c r="DN64" i="17"/>
  <c r="DM64" i="17"/>
  <c r="DL64" i="17"/>
  <c r="DK64" i="17"/>
  <c r="DJ64" i="17"/>
  <c r="DI64" i="17"/>
  <c r="DH64" i="17"/>
  <c r="DF64" i="17"/>
  <c r="DE64" i="17"/>
  <c r="DD64" i="17"/>
  <c r="CX64" i="17"/>
  <c r="CW64" i="17"/>
  <c r="CV64" i="17"/>
  <c r="CT64" i="17"/>
  <c r="CQ64" i="17"/>
  <c r="CP64" i="17"/>
  <c r="JR64" i="17" s="1"/>
  <c r="CO64" i="17"/>
  <c r="CN64" i="17"/>
  <c r="CR64" i="17" s="1"/>
  <c r="CS64" i="17" s="1"/>
  <c r="CY64" i="17" s="1"/>
  <c r="CM64" i="17"/>
  <c r="CL64" i="17"/>
  <c r="CK64" i="17"/>
  <c r="CJ64" i="17"/>
  <c r="CH64" i="17"/>
  <c r="CG64" i="17"/>
  <c r="CF64" i="17"/>
  <c r="CE64" i="17"/>
  <c r="CD64" i="17"/>
  <c r="CC64" i="17"/>
  <c r="CB64" i="17"/>
  <c r="CA64" i="17"/>
  <c r="BZ64" i="17"/>
  <c r="BX64" i="17"/>
  <c r="BW64" i="17"/>
  <c r="BV64" i="17"/>
  <c r="BU64" i="17"/>
  <c r="BS64" i="17"/>
  <c r="BR64" i="17"/>
  <c r="BQ64" i="17"/>
  <c r="BP64" i="17"/>
  <c r="BO64" i="17"/>
  <c r="BN64" i="17"/>
  <c r="BM64" i="17"/>
  <c r="AL64" i="17"/>
  <c r="AJ64" i="17"/>
  <c r="KG63" i="17"/>
  <c r="KB63" i="17"/>
  <c r="KA63" i="17"/>
  <c r="JZ63" i="17"/>
  <c r="JY63" i="17"/>
  <c r="JV63" i="17"/>
  <c r="JU63" i="17"/>
  <c r="JS63" i="17"/>
  <c r="JQ63" i="17"/>
  <c r="JP63" i="17"/>
  <c r="JO63" i="17"/>
  <c r="JN63" i="17"/>
  <c r="HF63" i="17"/>
  <c r="HE63" i="17"/>
  <c r="GV63" i="17"/>
  <c r="GU63" i="17"/>
  <c r="GT63" i="17"/>
  <c r="GS63" i="17"/>
  <c r="GL63" i="17"/>
  <c r="GK63" i="17"/>
  <c r="GJ63" i="17"/>
  <c r="GI63" i="17"/>
  <c r="GH63" i="17"/>
  <c r="GG63" i="17"/>
  <c r="GF63" i="17"/>
  <c r="GE63" i="17"/>
  <c r="GD63" i="17"/>
  <c r="GC63" i="17"/>
  <c r="GB63" i="17"/>
  <c r="GA63" i="17"/>
  <c r="FZ63" i="17"/>
  <c r="FY63" i="17"/>
  <c r="FT63" i="17"/>
  <c r="FS63" i="17"/>
  <c r="FP63" i="17"/>
  <c r="FO63" i="17"/>
  <c r="FQ63" i="17" s="1"/>
  <c r="FN63" i="17"/>
  <c r="FK63" i="17"/>
  <c r="FJ63" i="17"/>
  <c r="FI63" i="17"/>
  <c r="FF63" i="17"/>
  <c r="FE63" i="17"/>
  <c r="FG63" i="17" s="1"/>
  <c r="FH63" i="17" s="1"/>
  <c r="FC63" i="17"/>
  <c r="EZ63" i="17"/>
  <c r="EY63" i="17"/>
  <c r="EU63" i="17"/>
  <c r="ET63" i="17"/>
  <c r="ES63" i="17"/>
  <c r="ER63" i="17"/>
  <c r="EJ63" i="17"/>
  <c r="EF63" i="17"/>
  <c r="ED63" i="17"/>
  <c r="EH63" i="17" s="1"/>
  <c r="EB63" i="17"/>
  <c r="EA63" i="17"/>
  <c r="DZ63" i="17"/>
  <c r="DY63" i="17"/>
  <c r="DX63" i="17"/>
  <c r="DV63" i="17"/>
  <c r="DU63" i="17"/>
  <c r="DT63" i="17"/>
  <c r="DS63" i="17"/>
  <c r="DR63" i="17"/>
  <c r="DP63" i="17"/>
  <c r="DO63" i="17"/>
  <c r="DN63" i="17"/>
  <c r="DM63" i="17"/>
  <c r="DL63" i="17"/>
  <c r="DK63" i="17"/>
  <c r="DJ63" i="17"/>
  <c r="DI63" i="17"/>
  <c r="DH63" i="17"/>
  <c r="DF63" i="17"/>
  <c r="DE63" i="17"/>
  <c r="DD63" i="17"/>
  <c r="CX63" i="17"/>
  <c r="CW63" i="17"/>
  <c r="CV63" i="17"/>
  <c r="CT63" i="17"/>
  <c r="CQ63" i="17"/>
  <c r="CP63" i="17"/>
  <c r="CO63" i="17"/>
  <c r="CN63" i="17"/>
  <c r="CM63" i="17"/>
  <c r="CL63" i="17"/>
  <c r="CK63" i="17"/>
  <c r="CJ63" i="17"/>
  <c r="CH63" i="17"/>
  <c r="CG63" i="17"/>
  <c r="CF63" i="17"/>
  <c r="CE63" i="17"/>
  <c r="CD63" i="17"/>
  <c r="CC63" i="17"/>
  <c r="CB63" i="17"/>
  <c r="CA63" i="17"/>
  <c r="BZ63" i="17"/>
  <c r="BX63" i="17"/>
  <c r="BW63" i="17"/>
  <c r="BV63" i="17"/>
  <c r="BU63" i="17"/>
  <c r="BS63" i="17"/>
  <c r="BR63" i="17"/>
  <c r="BQ63" i="17"/>
  <c r="BP63" i="17"/>
  <c r="BO63" i="17"/>
  <c r="BN63" i="17"/>
  <c r="BM63" i="17"/>
  <c r="AL63" i="17"/>
  <c r="AJ63" i="17"/>
  <c r="KG62" i="17"/>
  <c r="KB62" i="17"/>
  <c r="KA62" i="17"/>
  <c r="JZ62" i="17"/>
  <c r="JY62" i="17"/>
  <c r="JV62" i="17"/>
  <c r="JU62" i="17"/>
  <c r="JS62" i="17"/>
  <c r="JQ62" i="17"/>
  <c r="JP62" i="17"/>
  <c r="JO62" i="17"/>
  <c r="JN62" i="17"/>
  <c r="HF62" i="17"/>
  <c r="HE62" i="17"/>
  <c r="GV62" i="17"/>
  <c r="GU62" i="17"/>
  <c r="GT62" i="17"/>
  <c r="GS62" i="17"/>
  <c r="GL62" i="17"/>
  <c r="GK62" i="17"/>
  <c r="GJ62" i="17"/>
  <c r="GI62" i="17"/>
  <c r="GH62" i="17"/>
  <c r="GG62" i="17"/>
  <c r="GF62" i="17"/>
  <c r="GE62" i="17"/>
  <c r="GD62" i="17"/>
  <c r="GC62" i="17"/>
  <c r="GB62" i="17"/>
  <c r="GA62" i="17"/>
  <c r="FZ62" i="17"/>
  <c r="FY62" i="17"/>
  <c r="FT62" i="17"/>
  <c r="FS62" i="17"/>
  <c r="FP62" i="17"/>
  <c r="FO62" i="17"/>
  <c r="FQ62" i="17" s="1"/>
  <c r="FN62" i="17"/>
  <c r="FK62" i="17"/>
  <c r="FJ62" i="17"/>
  <c r="FI62" i="17"/>
  <c r="FF62" i="17"/>
  <c r="FE62" i="17"/>
  <c r="FG62" i="17" s="1"/>
  <c r="FH62" i="17" s="1"/>
  <c r="FC62" i="17"/>
  <c r="EZ62" i="17"/>
  <c r="EY62" i="17"/>
  <c r="EU62" i="17"/>
  <c r="ET62" i="17"/>
  <c r="ES62" i="17"/>
  <c r="ER62" i="17"/>
  <c r="EJ62" i="17"/>
  <c r="EF62" i="17"/>
  <c r="ED62" i="17"/>
  <c r="EH62" i="17" s="1"/>
  <c r="EB62" i="17"/>
  <c r="EA62" i="17"/>
  <c r="DZ62" i="17"/>
  <c r="DY62" i="17"/>
  <c r="DX62" i="17"/>
  <c r="DV62" i="17"/>
  <c r="DU62" i="17"/>
  <c r="DT62" i="17"/>
  <c r="DS62" i="17"/>
  <c r="DR62" i="17"/>
  <c r="DP62" i="17"/>
  <c r="DO62" i="17"/>
  <c r="DN62" i="17"/>
  <c r="DM62" i="17"/>
  <c r="DL62" i="17"/>
  <c r="DK62" i="17"/>
  <c r="DJ62" i="17"/>
  <c r="DI62" i="17"/>
  <c r="DH62" i="17"/>
  <c r="DF62" i="17"/>
  <c r="DE62" i="17"/>
  <c r="DD62" i="17"/>
  <c r="CX62" i="17"/>
  <c r="CW62" i="17"/>
  <c r="CV62" i="17"/>
  <c r="CT62" i="17"/>
  <c r="CQ62" i="17"/>
  <c r="CP62" i="17"/>
  <c r="JR62" i="17" s="1"/>
  <c r="CO62" i="17"/>
  <c r="CN62" i="17"/>
  <c r="CR62" i="17" s="1"/>
  <c r="CS62" i="17" s="1"/>
  <c r="CY62" i="17" s="1"/>
  <c r="CM62" i="17"/>
  <c r="CL62" i="17"/>
  <c r="CK62" i="17"/>
  <c r="CJ62" i="17"/>
  <c r="CH62" i="17"/>
  <c r="CG62" i="17"/>
  <c r="CF62" i="17"/>
  <c r="CE62" i="17"/>
  <c r="CD62" i="17"/>
  <c r="CC62" i="17"/>
  <c r="CB62" i="17"/>
  <c r="CA62" i="17"/>
  <c r="BZ62" i="17"/>
  <c r="BX62" i="17"/>
  <c r="BW62" i="17"/>
  <c r="BV62" i="17"/>
  <c r="BU62" i="17"/>
  <c r="BS62" i="17"/>
  <c r="BR62" i="17"/>
  <c r="BQ62" i="17"/>
  <c r="BP62" i="17"/>
  <c r="BO62" i="17"/>
  <c r="BN62" i="17"/>
  <c r="BM62" i="17"/>
  <c r="AL62" i="17"/>
  <c r="AJ62" i="17"/>
  <c r="KG61" i="17"/>
  <c r="KB61" i="17"/>
  <c r="KA61" i="17"/>
  <c r="JZ61" i="17"/>
  <c r="JY61" i="17"/>
  <c r="JV61" i="17"/>
  <c r="JU61" i="17"/>
  <c r="JS61" i="17"/>
  <c r="JQ61" i="17"/>
  <c r="JP61" i="17"/>
  <c r="JO61" i="17"/>
  <c r="JN61" i="17"/>
  <c r="HF61" i="17"/>
  <c r="HE61" i="17"/>
  <c r="GV61" i="17"/>
  <c r="GU61" i="17"/>
  <c r="GT61" i="17"/>
  <c r="GS61" i="17"/>
  <c r="GL61" i="17"/>
  <c r="GK61" i="17"/>
  <c r="GJ61" i="17"/>
  <c r="GI61" i="17"/>
  <c r="GH61" i="17"/>
  <c r="GG61" i="17"/>
  <c r="GF61" i="17"/>
  <c r="GE61" i="17"/>
  <c r="GD61" i="17"/>
  <c r="GC61" i="17"/>
  <c r="GB61" i="17"/>
  <c r="GA61" i="17"/>
  <c r="FZ61" i="17"/>
  <c r="FY61" i="17"/>
  <c r="FT61" i="17"/>
  <c r="FS61" i="17"/>
  <c r="FP61" i="17"/>
  <c r="FO61" i="17"/>
  <c r="FQ61" i="17" s="1"/>
  <c r="FN61" i="17"/>
  <c r="FK61" i="17"/>
  <c r="FJ61" i="17"/>
  <c r="FI61" i="17"/>
  <c r="FF61" i="17"/>
  <c r="FE61" i="17"/>
  <c r="FG61" i="17" s="1"/>
  <c r="FH61" i="17" s="1"/>
  <c r="FC61" i="17"/>
  <c r="EZ61" i="17"/>
  <c r="EY61" i="17"/>
  <c r="EU61" i="17"/>
  <c r="ET61" i="17"/>
  <c r="ES61" i="17"/>
  <c r="ER61" i="17"/>
  <c r="EJ61" i="17"/>
  <c r="EF61" i="17"/>
  <c r="ED61" i="17"/>
  <c r="EH61" i="17" s="1"/>
  <c r="EB61" i="17"/>
  <c r="EA61" i="17"/>
  <c r="DZ61" i="17"/>
  <c r="DY61" i="17"/>
  <c r="DX61" i="17"/>
  <c r="DV61" i="17"/>
  <c r="DU61" i="17"/>
  <c r="DT61" i="17"/>
  <c r="DS61" i="17"/>
  <c r="DR61" i="17"/>
  <c r="DP61" i="17"/>
  <c r="DO61" i="17"/>
  <c r="DN61" i="17"/>
  <c r="DM61" i="17"/>
  <c r="DL61" i="17"/>
  <c r="DK61" i="17"/>
  <c r="DJ61" i="17"/>
  <c r="DI61" i="17"/>
  <c r="DH61" i="17"/>
  <c r="DF61" i="17"/>
  <c r="DE61" i="17"/>
  <c r="DD61" i="17"/>
  <c r="CX61" i="17"/>
  <c r="CW61" i="17"/>
  <c r="CV61" i="17"/>
  <c r="CT61" i="17"/>
  <c r="CQ61" i="17"/>
  <c r="CP61" i="17"/>
  <c r="CO61" i="17"/>
  <c r="CN61" i="17"/>
  <c r="CM61" i="17"/>
  <c r="CL61" i="17"/>
  <c r="CK61" i="17"/>
  <c r="CJ61" i="17"/>
  <c r="CH61" i="17"/>
  <c r="CG61" i="17"/>
  <c r="CF61" i="17"/>
  <c r="CE61" i="17"/>
  <c r="CD61" i="17"/>
  <c r="CC61" i="17"/>
  <c r="CB61" i="17"/>
  <c r="CA61" i="17"/>
  <c r="BZ61" i="17"/>
  <c r="BX61" i="17"/>
  <c r="BW61" i="17"/>
  <c r="BV61" i="17"/>
  <c r="BU61" i="17"/>
  <c r="BS61" i="17"/>
  <c r="BR61" i="17"/>
  <c r="BQ61" i="17"/>
  <c r="BP61" i="17"/>
  <c r="BO61" i="17"/>
  <c r="BN61" i="17"/>
  <c r="BM61" i="17"/>
  <c r="AL61" i="17"/>
  <c r="AJ61" i="17"/>
  <c r="KG60" i="17"/>
  <c r="KB60" i="17"/>
  <c r="KA60" i="17"/>
  <c r="JZ60" i="17"/>
  <c r="JY60" i="17"/>
  <c r="JV60" i="17"/>
  <c r="JU60" i="17"/>
  <c r="JS60" i="17"/>
  <c r="JQ60" i="17"/>
  <c r="JP60" i="17"/>
  <c r="JO60" i="17"/>
  <c r="JN60" i="17"/>
  <c r="HF60" i="17"/>
  <c r="HE60" i="17"/>
  <c r="GV60" i="17"/>
  <c r="GU60" i="17"/>
  <c r="GT60" i="17"/>
  <c r="GS60" i="17"/>
  <c r="GL60" i="17"/>
  <c r="GK60" i="17"/>
  <c r="GJ60" i="17"/>
  <c r="GI60" i="17"/>
  <c r="GH60" i="17"/>
  <c r="GG60" i="17"/>
  <c r="GF60" i="17"/>
  <c r="GE60" i="17"/>
  <c r="GD60" i="17"/>
  <c r="GC60" i="17"/>
  <c r="GB60" i="17"/>
  <c r="GA60" i="17"/>
  <c r="FZ60" i="17"/>
  <c r="FY60" i="17"/>
  <c r="FT60" i="17"/>
  <c r="FS60" i="17"/>
  <c r="FP60" i="17"/>
  <c r="FO60" i="17"/>
  <c r="FQ60" i="17" s="1"/>
  <c r="FN60" i="17"/>
  <c r="FK60" i="17"/>
  <c r="FJ60" i="17"/>
  <c r="FI60" i="17"/>
  <c r="FF60" i="17"/>
  <c r="FE60" i="17"/>
  <c r="FG60" i="17" s="1"/>
  <c r="FH60" i="17" s="1"/>
  <c r="FC60" i="17"/>
  <c r="EZ60" i="17"/>
  <c r="EY60" i="17"/>
  <c r="EU60" i="17"/>
  <c r="ET60" i="17"/>
  <c r="ES60" i="17"/>
  <c r="ER60" i="17"/>
  <c r="EJ60" i="17"/>
  <c r="EF60" i="17"/>
  <c r="ED60" i="17"/>
  <c r="EH60" i="17" s="1"/>
  <c r="EB60" i="17"/>
  <c r="EA60" i="17"/>
  <c r="DZ60" i="17"/>
  <c r="DY60" i="17"/>
  <c r="DX60" i="17"/>
  <c r="DV60" i="17"/>
  <c r="DU60" i="17"/>
  <c r="DT60" i="17"/>
  <c r="DS60" i="17"/>
  <c r="DR60" i="17"/>
  <c r="DP60" i="17"/>
  <c r="DO60" i="17"/>
  <c r="DN60" i="17"/>
  <c r="DM60" i="17"/>
  <c r="DL60" i="17"/>
  <c r="DK60" i="17"/>
  <c r="DJ60" i="17"/>
  <c r="DI60" i="17"/>
  <c r="DH60" i="17"/>
  <c r="DF60" i="17"/>
  <c r="DE60" i="17"/>
  <c r="DD60" i="17"/>
  <c r="CX60" i="17"/>
  <c r="CW60" i="17"/>
  <c r="CV60" i="17"/>
  <c r="CT60" i="17"/>
  <c r="CQ60" i="17"/>
  <c r="CP60" i="17"/>
  <c r="JR60" i="17" s="1"/>
  <c r="CO60" i="17"/>
  <c r="CN60" i="17"/>
  <c r="CR60" i="17" s="1"/>
  <c r="CS60" i="17" s="1"/>
  <c r="CY60" i="17" s="1"/>
  <c r="CM60" i="17"/>
  <c r="CL60" i="17"/>
  <c r="CK60" i="17"/>
  <c r="CJ60" i="17"/>
  <c r="CH60" i="17"/>
  <c r="CG60" i="17"/>
  <c r="CF60" i="17"/>
  <c r="CE60" i="17"/>
  <c r="CD60" i="17"/>
  <c r="CC60" i="17"/>
  <c r="CB60" i="17"/>
  <c r="CA60" i="17"/>
  <c r="BZ60" i="17"/>
  <c r="BX60" i="17"/>
  <c r="BW60" i="17"/>
  <c r="BV60" i="17"/>
  <c r="BU60" i="17"/>
  <c r="BS60" i="17"/>
  <c r="BR60" i="17"/>
  <c r="BQ60" i="17"/>
  <c r="BP60" i="17"/>
  <c r="BO60" i="17"/>
  <c r="BN60" i="17"/>
  <c r="BM60" i="17"/>
  <c r="AL60" i="17"/>
  <c r="AJ60" i="17"/>
  <c r="KG59" i="17"/>
  <c r="KB59" i="17"/>
  <c r="KA59" i="17"/>
  <c r="JZ59" i="17"/>
  <c r="JY59" i="17"/>
  <c r="JV59" i="17"/>
  <c r="JU59" i="17"/>
  <c r="JS59" i="17"/>
  <c r="JQ59" i="17"/>
  <c r="JP59" i="17"/>
  <c r="JO59" i="17"/>
  <c r="JN59" i="17"/>
  <c r="HF59" i="17"/>
  <c r="HE59" i="17"/>
  <c r="GV59" i="17"/>
  <c r="GU59" i="17"/>
  <c r="GT59" i="17"/>
  <c r="GS59" i="17"/>
  <c r="GL59" i="17"/>
  <c r="GK59" i="17"/>
  <c r="GJ59" i="17"/>
  <c r="GI59" i="17"/>
  <c r="GH59" i="17"/>
  <c r="GG59" i="17"/>
  <c r="GF59" i="17"/>
  <c r="GE59" i="17"/>
  <c r="GD59" i="17"/>
  <c r="GC59" i="17"/>
  <c r="GB59" i="17"/>
  <c r="GA59" i="17"/>
  <c r="FZ59" i="17"/>
  <c r="FY59" i="17"/>
  <c r="FT59" i="17"/>
  <c r="FS59" i="17"/>
  <c r="FP59" i="17"/>
  <c r="FO59" i="17"/>
  <c r="FQ59" i="17" s="1"/>
  <c r="FN59" i="17"/>
  <c r="FK59" i="17"/>
  <c r="FJ59" i="17"/>
  <c r="FI59" i="17"/>
  <c r="FF59" i="17"/>
  <c r="FE59" i="17"/>
  <c r="FG59" i="17" s="1"/>
  <c r="FH59" i="17" s="1"/>
  <c r="FC59" i="17"/>
  <c r="EZ59" i="17"/>
  <c r="EY59" i="17"/>
  <c r="EU59" i="17"/>
  <c r="ET59" i="17"/>
  <c r="ES59" i="17"/>
  <c r="ER59" i="17"/>
  <c r="EJ59" i="17"/>
  <c r="EF59" i="17"/>
  <c r="ED59" i="17"/>
  <c r="EH59" i="17" s="1"/>
  <c r="EB59" i="17"/>
  <c r="EA59" i="17"/>
  <c r="DZ59" i="17"/>
  <c r="DY59" i="17"/>
  <c r="DX59" i="17"/>
  <c r="DV59" i="17"/>
  <c r="DU59" i="17"/>
  <c r="DT59" i="17"/>
  <c r="DS59" i="17"/>
  <c r="DR59" i="17"/>
  <c r="DP59" i="17"/>
  <c r="DO59" i="17"/>
  <c r="DN59" i="17"/>
  <c r="DM59" i="17"/>
  <c r="DL59" i="17"/>
  <c r="DK59" i="17"/>
  <c r="DJ59" i="17"/>
  <c r="DI59" i="17"/>
  <c r="DH59" i="17"/>
  <c r="DF59" i="17"/>
  <c r="DE59" i="17"/>
  <c r="DD59" i="17"/>
  <c r="CX59" i="17"/>
  <c r="CW59" i="17"/>
  <c r="CV59" i="17"/>
  <c r="CT59" i="17"/>
  <c r="CQ59" i="17"/>
  <c r="CP59" i="17"/>
  <c r="CO59" i="17"/>
  <c r="CN59" i="17"/>
  <c r="CM59" i="17"/>
  <c r="CL59" i="17"/>
  <c r="CK59" i="17"/>
  <c r="CJ59" i="17"/>
  <c r="CH59" i="17"/>
  <c r="CG59" i="17"/>
  <c r="CF59" i="17"/>
  <c r="CE59" i="17"/>
  <c r="CD59" i="17"/>
  <c r="CC59" i="17"/>
  <c r="CB59" i="17"/>
  <c r="CA59" i="17"/>
  <c r="BZ59" i="17"/>
  <c r="BX59" i="17"/>
  <c r="BW59" i="17"/>
  <c r="BV59" i="17"/>
  <c r="BU59" i="17"/>
  <c r="BS59" i="17"/>
  <c r="BR59" i="17"/>
  <c r="BQ59" i="17"/>
  <c r="BP59" i="17"/>
  <c r="BO59" i="17"/>
  <c r="BN59" i="17"/>
  <c r="BM59" i="17"/>
  <c r="AL59" i="17"/>
  <c r="AJ59" i="17"/>
  <c r="KG58" i="17"/>
  <c r="KB58" i="17"/>
  <c r="KA58" i="17"/>
  <c r="JZ58" i="17"/>
  <c r="JY58" i="17"/>
  <c r="JV58" i="17"/>
  <c r="JU58" i="17"/>
  <c r="JS58" i="17"/>
  <c r="JQ58" i="17"/>
  <c r="JP58" i="17"/>
  <c r="JO58" i="17"/>
  <c r="JN58" i="17"/>
  <c r="HF58" i="17"/>
  <c r="HE58" i="17"/>
  <c r="GV58" i="17"/>
  <c r="GU58" i="17"/>
  <c r="GT58" i="17"/>
  <c r="GS58" i="17"/>
  <c r="GL58" i="17"/>
  <c r="GK58" i="17"/>
  <c r="GJ58" i="17"/>
  <c r="GI58" i="17"/>
  <c r="GH58" i="17"/>
  <c r="GG58" i="17"/>
  <c r="GF58" i="17"/>
  <c r="GE58" i="17"/>
  <c r="GD58" i="17"/>
  <c r="GC58" i="17"/>
  <c r="GB58" i="17"/>
  <c r="GA58" i="17"/>
  <c r="FZ58" i="17"/>
  <c r="FY58" i="17"/>
  <c r="FT58" i="17"/>
  <c r="FS58" i="17"/>
  <c r="FP58" i="17"/>
  <c r="FO58" i="17"/>
  <c r="FQ58" i="17" s="1"/>
  <c r="FN58" i="17"/>
  <c r="FK58" i="17"/>
  <c r="FJ58" i="17"/>
  <c r="FI58" i="17"/>
  <c r="FF58" i="17"/>
  <c r="FE58" i="17"/>
  <c r="FG58" i="17" s="1"/>
  <c r="FH58" i="17" s="1"/>
  <c r="FC58" i="17"/>
  <c r="EZ58" i="17"/>
  <c r="EY58" i="17"/>
  <c r="EU58" i="17"/>
  <c r="ET58" i="17"/>
  <c r="ES58" i="17"/>
  <c r="ER58" i="17"/>
  <c r="EJ58" i="17"/>
  <c r="EF58" i="17"/>
  <c r="ED58" i="17"/>
  <c r="EH58" i="17" s="1"/>
  <c r="EI58" i="17" s="1"/>
  <c r="EB58" i="17"/>
  <c r="EA58" i="17"/>
  <c r="DZ58" i="17"/>
  <c r="DY58" i="17"/>
  <c r="DX58" i="17"/>
  <c r="DV58" i="17"/>
  <c r="DU58" i="17"/>
  <c r="DT58" i="17"/>
  <c r="DS58" i="17"/>
  <c r="DR58" i="17"/>
  <c r="DP58" i="17"/>
  <c r="DO58" i="17"/>
  <c r="DN58" i="17"/>
  <c r="DM58" i="17"/>
  <c r="DL58" i="17"/>
  <c r="DK58" i="17"/>
  <c r="DJ58" i="17"/>
  <c r="DI58" i="17"/>
  <c r="DH58" i="17"/>
  <c r="DF58" i="17"/>
  <c r="DE58" i="17"/>
  <c r="DD58" i="17"/>
  <c r="CX58" i="17"/>
  <c r="CW58" i="17"/>
  <c r="CV58" i="17"/>
  <c r="CT58" i="17"/>
  <c r="CQ58" i="17"/>
  <c r="CP58" i="17"/>
  <c r="JR58" i="17" s="1"/>
  <c r="CO58" i="17"/>
  <c r="CN58" i="17"/>
  <c r="CR58" i="17" s="1"/>
  <c r="CS58" i="17" s="1"/>
  <c r="CY58" i="17" s="1"/>
  <c r="CM58" i="17"/>
  <c r="CL58" i="17"/>
  <c r="CK58" i="17"/>
  <c r="CJ58" i="17"/>
  <c r="CH58" i="17"/>
  <c r="CG58" i="17"/>
  <c r="CF58" i="17"/>
  <c r="CE58" i="17"/>
  <c r="CD58" i="17"/>
  <c r="CC58" i="17"/>
  <c r="CB58" i="17"/>
  <c r="CA58" i="17"/>
  <c r="BZ58" i="17"/>
  <c r="BX58" i="17"/>
  <c r="BW58" i="17"/>
  <c r="BV58" i="17"/>
  <c r="BU58" i="17"/>
  <c r="BS58" i="17"/>
  <c r="BR58" i="17"/>
  <c r="BQ58" i="17"/>
  <c r="BP58" i="17"/>
  <c r="BO58" i="17"/>
  <c r="BN58" i="17"/>
  <c r="BM58" i="17"/>
  <c r="AL58" i="17"/>
  <c r="AJ58" i="17"/>
  <c r="KG57" i="17"/>
  <c r="KB57" i="17"/>
  <c r="KA57" i="17"/>
  <c r="JZ57" i="17"/>
  <c r="JY57" i="17"/>
  <c r="JV57" i="17"/>
  <c r="JU57" i="17"/>
  <c r="JS57" i="17"/>
  <c r="JQ57" i="17"/>
  <c r="JP57" i="17"/>
  <c r="JO57" i="17"/>
  <c r="JN57" i="17"/>
  <c r="HF57" i="17"/>
  <c r="HE57" i="17"/>
  <c r="GV57" i="17"/>
  <c r="GU57" i="17"/>
  <c r="GT57" i="17"/>
  <c r="GS57" i="17"/>
  <c r="GL57" i="17"/>
  <c r="GK57" i="17"/>
  <c r="GJ57" i="17"/>
  <c r="GI57" i="17"/>
  <c r="GH57" i="17"/>
  <c r="GG57" i="17"/>
  <c r="GF57" i="17"/>
  <c r="GE57" i="17"/>
  <c r="GD57" i="17"/>
  <c r="GC57" i="17"/>
  <c r="GB57" i="17"/>
  <c r="GA57" i="17"/>
  <c r="FZ57" i="17"/>
  <c r="FY57" i="17"/>
  <c r="FT57" i="17"/>
  <c r="FS57" i="17"/>
  <c r="FP57" i="17"/>
  <c r="FO57" i="17"/>
  <c r="FQ57" i="17" s="1"/>
  <c r="FN57" i="17"/>
  <c r="FK57" i="17"/>
  <c r="FJ57" i="17"/>
  <c r="FI57" i="17"/>
  <c r="FF57" i="17"/>
  <c r="FE57" i="17"/>
  <c r="FG57" i="17" s="1"/>
  <c r="FH57" i="17" s="1"/>
  <c r="FC57" i="17"/>
  <c r="EZ57" i="17"/>
  <c r="EY57" i="17"/>
  <c r="EU57" i="17"/>
  <c r="ET57" i="17"/>
  <c r="ES57" i="17"/>
  <c r="ER57" i="17"/>
  <c r="EJ57" i="17"/>
  <c r="EF57" i="17"/>
  <c r="ED57" i="17"/>
  <c r="EH57" i="17" s="1"/>
  <c r="EB57" i="17"/>
  <c r="EA57" i="17"/>
  <c r="DZ57" i="17"/>
  <c r="DY57" i="17"/>
  <c r="DX57" i="17"/>
  <c r="DV57" i="17"/>
  <c r="DU57" i="17"/>
  <c r="DT57" i="17"/>
  <c r="DS57" i="17"/>
  <c r="DR57" i="17"/>
  <c r="DP57" i="17"/>
  <c r="DO57" i="17"/>
  <c r="DN57" i="17"/>
  <c r="DM57" i="17"/>
  <c r="DL57" i="17"/>
  <c r="DK57" i="17"/>
  <c r="DJ57" i="17"/>
  <c r="DI57" i="17"/>
  <c r="DH57" i="17"/>
  <c r="DF57" i="17"/>
  <c r="DE57" i="17"/>
  <c r="DD57" i="17"/>
  <c r="CX57" i="17"/>
  <c r="CW57" i="17"/>
  <c r="CV57" i="17"/>
  <c r="CT57" i="17"/>
  <c r="CQ57" i="17"/>
  <c r="CP57" i="17"/>
  <c r="CO57" i="17"/>
  <c r="CN57" i="17"/>
  <c r="CM57" i="17"/>
  <c r="CL57" i="17"/>
  <c r="CK57" i="17"/>
  <c r="CJ57" i="17"/>
  <c r="CH57" i="17"/>
  <c r="CG57" i="17"/>
  <c r="CF57" i="17"/>
  <c r="CE57" i="17"/>
  <c r="CD57" i="17"/>
  <c r="CC57" i="17"/>
  <c r="CB57" i="17"/>
  <c r="CA57" i="17"/>
  <c r="BZ57" i="17"/>
  <c r="BX57" i="17"/>
  <c r="BW57" i="17"/>
  <c r="BV57" i="17"/>
  <c r="BU57" i="17"/>
  <c r="BS57" i="17"/>
  <c r="BR57" i="17"/>
  <c r="BQ57" i="17"/>
  <c r="BP57" i="17"/>
  <c r="BO57" i="17"/>
  <c r="BN57" i="17"/>
  <c r="BM57" i="17"/>
  <c r="AL57" i="17"/>
  <c r="AJ57" i="17"/>
  <c r="KG56" i="17"/>
  <c r="KB56" i="17"/>
  <c r="KA56" i="17"/>
  <c r="JZ56" i="17"/>
  <c r="JY56" i="17"/>
  <c r="JV56" i="17"/>
  <c r="JU56" i="17"/>
  <c r="JS56" i="17"/>
  <c r="JQ56" i="17"/>
  <c r="JP56" i="17"/>
  <c r="JO56" i="17"/>
  <c r="JN56" i="17"/>
  <c r="HF56" i="17"/>
  <c r="HE56" i="17"/>
  <c r="GV56" i="17"/>
  <c r="GU56" i="17"/>
  <c r="GT56" i="17"/>
  <c r="GS56" i="17"/>
  <c r="GL56" i="17"/>
  <c r="GK56" i="17"/>
  <c r="GJ56" i="17"/>
  <c r="GI56" i="17"/>
  <c r="GH56" i="17"/>
  <c r="GG56" i="17"/>
  <c r="GF56" i="17"/>
  <c r="GE56" i="17"/>
  <c r="GD56" i="17"/>
  <c r="GC56" i="17"/>
  <c r="GB56" i="17"/>
  <c r="GA56" i="17"/>
  <c r="FZ56" i="17"/>
  <c r="FY56" i="17"/>
  <c r="FT56" i="17"/>
  <c r="FS56" i="17"/>
  <c r="FP56" i="17"/>
  <c r="FO56" i="17"/>
  <c r="FQ56" i="17" s="1"/>
  <c r="FN56" i="17"/>
  <c r="FK56" i="17"/>
  <c r="FJ56" i="17"/>
  <c r="FI56" i="17"/>
  <c r="FF56" i="17"/>
  <c r="FE56" i="17"/>
  <c r="FG56" i="17" s="1"/>
  <c r="FH56" i="17" s="1"/>
  <c r="FC56" i="17"/>
  <c r="EZ56" i="17"/>
  <c r="EY56" i="17"/>
  <c r="EU56" i="17"/>
  <c r="ET56" i="17"/>
  <c r="ES56" i="17"/>
  <c r="ER56" i="17"/>
  <c r="EJ56" i="17"/>
  <c r="EF56" i="17"/>
  <c r="ED56" i="17"/>
  <c r="EH56" i="17" s="1"/>
  <c r="EB56" i="17"/>
  <c r="EA56" i="17"/>
  <c r="DZ56" i="17"/>
  <c r="DY56" i="17"/>
  <c r="DX56" i="17"/>
  <c r="DV56" i="17"/>
  <c r="DU56" i="17"/>
  <c r="DT56" i="17"/>
  <c r="DS56" i="17"/>
  <c r="DR56" i="17"/>
  <c r="DP56" i="17"/>
  <c r="DO56" i="17"/>
  <c r="DN56" i="17"/>
  <c r="DM56" i="17"/>
  <c r="DL56" i="17"/>
  <c r="DK56" i="17"/>
  <c r="DJ56" i="17"/>
  <c r="DI56" i="17"/>
  <c r="DH56" i="17"/>
  <c r="DF56" i="17"/>
  <c r="DE56" i="17"/>
  <c r="DD56" i="17"/>
  <c r="CX56" i="17"/>
  <c r="CW56" i="17"/>
  <c r="CV56" i="17"/>
  <c r="CT56" i="17"/>
  <c r="CQ56" i="17"/>
  <c r="CP56" i="17"/>
  <c r="JR56" i="17" s="1"/>
  <c r="CO56" i="17"/>
  <c r="CN56" i="17"/>
  <c r="CR56" i="17" s="1"/>
  <c r="CS56" i="17" s="1"/>
  <c r="CY56" i="17" s="1"/>
  <c r="CM56" i="17"/>
  <c r="CL56" i="17"/>
  <c r="CK56" i="17"/>
  <c r="CJ56" i="17"/>
  <c r="CH56" i="17"/>
  <c r="CG56" i="17"/>
  <c r="CF56" i="17"/>
  <c r="CE56" i="17"/>
  <c r="CD56" i="17"/>
  <c r="CC56" i="17"/>
  <c r="CB56" i="17"/>
  <c r="CA56" i="17"/>
  <c r="BZ56" i="17"/>
  <c r="BX56" i="17"/>
  <c r="BW56" i="17"/>
  <c r="BV56" i="17"/>
  <c r="BU56" i="17"/>
  <c r="BS56" i="17"/>
  <c r="BR56" i="17"/>
  <c r="BQ56" i="17"/>
  <c r="BP56" i="17"/>
  <c r="BO56" i="17"/>
  <c r="BN56" i="17"/>
  <c r="BM56" i="17"/>
  <c r="AL56" i="17"/>
  <c r="AJ56" i="17"/>
  <c r="KG55" i="17"/>
  <c r="KB55" i="17"/>
  <c r="KA55" i="17"/>
  <c r="JZ55" i="17"/>
  <c r="JY55" i="17"/>
  <c r="JV55" i="17"/>
  <c r="JU55" i="17"/>
  <c r="JS55" i="17"/>
  <c r="JQ55" i="17"/>
  <c r="JP55" i="17"/>
  <c r="JO55" i="17"/>
  <c r="JN55" i="17"/>
  <c r="HF55" i="17"/>
  <c r="HE55" i="17"/>
  <c r="GV55" i="17"/>
  <c r="GU55" i="17"/>
  <c r="GT55" i="17"/>
  <c r="GS55" i="17"/>
  <c r="GL55" i="17"/>
  <c r="GK55" i="17"/>
  <c r="GJ55" i="17"/>
  <c r="GI55" i="17"/>
  <c r="GH55" i="17"/>
  <c r="GG55" i="17"/>
  <c r="GF55" i="17"/>
  <c r="GE55" i="17"/>
  <c r="GD55" i="17"/>
  <c r="GC55" i="17"/>
  <c r="GB55" i="17"/>
  <c r="GA55" i="17"/>
  <c r="FZ55" i="17"/>
  <c r="FY55" i="17"/>
  <c r="FT55" i="17"/>
  <c r="FS55" i="17"/>
  <c r="FP55" i="17"/>
  <c r="FO55" i="17"/>
  <c r="FQ55" i="17" s="1"/>
  <c r="FN55" i="17"/>
  <c r="FK55" i="17"/>
  <c r="FJ55" i="17"/>
  <c r="FI55" i="17"/>
  <c r="FF55" i="17"/>
  <c r="FE55" i="17"/>
  <c r="FG55" i="17" s="1"/>
  <c r="FH55" i="17" s="1"/>
  <c r="FC55" i="17"/>
  <c r="EZ55" i="17"/>
  <c r="EY55" i="17"/>
  <c r="EU55" i="17"/>
  <c r="ET55" i="17"/>
  <c r="ES55" i="17"/>
  <c r="ER55" i="17"/>
  <c r="EJ55" i="17"/>
  <c r="EF55" i="17"/>
  <c r="ED55" i="17"/>
  <c r="EH55" i="17" s="1"/>
  <c r="EB55" i="17"/>
  <c r="EA55" i="17"/>
  <c r="DZ55" i="17"/>
  <c r="DY55" i="17"/>
  <c r="DX55" i="17"/>
  <c r="DV55" i="17"/>
  <c r="DU55" i="17"/>
  <c r="DT55" i="17"/>
  <c r="DS55" i="17"/>
  <c r="DR55" i="17"/>
  <c r="DP55" i="17"/>
  <c r="DO55" i="17"/>
  <c r="DN55" i="17"/>
  <c r="DM55" i="17"/>
  <c r="DL55" i="17"/>
  <c r="DK55" i="17"/>
  <c r="DJ55" i="17"/>
  <c r="DI55" i="17"/>
  <c r="DH55" i="17"/>
  <c r="DF55" i="17"/>
  <c r="DE55" i="17"/>
  <c r="DD55" i="17"/>
  <c r="CX55" i="17"/>
  <c r="CW55" i="17"/>
  <c r="CV55" i="17"/>
  <c r="CT55" i="17"/>
  <c r="CQ55" i="17"/>
  <c r="CP55" i="17"/>
  <c r="CO55" i="17"/>
  <c r="CN55" i="17"/>
  <c r="CM55" i="17"/>
  <c r="CL55" i="17"/>
  <c r="CK55" i="17"/>
  <c r="CJ55" i="17"/>
  <c r="CH55" i="17"/>
  <c r="CG55" i="17"/>
  <c r="CF55" i="17"/>
  <c r="CE55" i="17"/>
  <c r="CD55" i="17"/>
  <c r="CC55" i="17"/>
  <c r="CB55" i="17"/>
  <c r="CA55" i="17"/>
  <c r="BZ55" i="17"/>
  <c r="BX55" i="17"/>
  <c r="BW55" i="17"/>
  <c r="BV55" i="17"/>
  <c r="BU55" i="17"/>
  <c r="BS55" i="17"/>
  <c r="BR55" i="17"/>
  <c r="BQ55" i="17"/>
  <c r="BP55" i="17"/>
  <c r="BO55" i="17"/>
  <c r="BN55" i="17"/>
  <c r="BM55" i="17"/>
  <c r="AL55" i="17"/>
  <c r="AJ55" i="17"/>
  <c r="KG54" i="17"/>
  <c r="KB54" i="17"/>
  <c r="KA54" i="17"/>
  <c r="JZ54" i="17"/>
  <c r="JY54" i="17"/>
  <c r="JV54" i="17"/>
  <c r="JU54" i="17"/>
  <c r="JS54" i="17"/>
  <c r="JQ54" i="17"/>
  <c r="JP54" i="17"/>
  <c r="JO54" i="17"/>
  <c r="JN54" i="17"/>
  <c r="HF54" i="17"/>
  <c r="HE54" i="17"/>
  <c r="GV54" i="17"/>
  <c r="GU54" i="17"/>
  <c r="GT54" i="17"/>
  <c r="GS54" i="17"/>
  <c r="GL54" i="17"/>
  <c r="GK54" i="17"/>
  <c r="GJ54" i="17"/>
  <c r="GI54" i="17"/>
  <c r="GH54" i="17"/>
  <c r="GG54" i="17"/>
  <c r="GF54" i="17"/>
  <c r="GE54" i="17"/>
  <c r="GD54" i="17"/>
  <c r="GC54" i="17"/>
  <c r="GB54" i="17"/>
  <c r="GA54" i="17"/>
  <c r="FZ54" i="17"/>
  <c r="FY54" i="17"/>
  <c r="FT54" i="17"/>
  <c r="FS54" i="17"/>
  <c r="FP54" i="17"/>
  <c r="FO54" i="17"/>
  <c r="FQ54" i="17" s="1"/>
  <c r="FN54" i="17"/>
  <c r="FK54" i="17"/>
  <c r="FJ54" i="17"/>
  <c r="FI54" i="17"/>
  <c r="FF54" i="17"/>
  <c r="FE54" i="17"/>
  <c r="FG54" i="17" s="1"/>
  <c r="FH54" i="17" s="1"/>
  <c r="FC54" i="17"/>
  <c r="EZ54" i="17"/>
  <c r="EY54" i="17"/>
  <c r="EU54" i="17"/>
  <c r="ET54" i="17"/>
  <c r="ES54" i="17"/>
  <c r="ER54" i="17"/>
  <c r="EJ54" i="17"/>
  <c r="EF54" i="17"/>
  <c r="ED54" i="17"/>
  <c r="EH54" i="17" s="1"/>
  <c r="EB54" i="17"/>
  <c r="EA54" i="17"/>
  <c r="DZ54" i="17"/>
  <c r="DY54" i="17"/>
  <c r="DX54" i="17"/>
  <c r="DV54" i="17"/>
  <c r="DU54" i="17"/>
  <c r="DT54" i="17"/>
  <c r="DS54" i="17"/>
  <c r="DR54" i="17"/>
  <c r="DP54" i="17"/>
  <c r="DO54" i="17"/>
  <c r="DN54" i="17"/>
  <c r="DM54" i="17"/>
  <c r="DL54" i="17"/>
  <c r="DK54" i="17"/>
  <c r="DJ54" i="17"/>
  <c r="DI54" i="17"/>
  <c r="DH54" i="17"/>
  <c r="DF54" i="17"/>
  <c r="DE54" i="17"/>
  <c r="DD54" i="17"/>
  <c r="CX54" i="17"/>
  <c r="CW54" i="17"/>
  <c r="CV54" i="17"/>
  <c r="CT54" i="17"/>
  <c r="CQ54" i="17"/>
  <c r="CP54" i="17"/>
  <c r="JR54" i="17" s="1"/>
  <c r="CO54" i="17"/>
  <c r="CN54" i="17"/>
  <c r="CR54" i="17" s="1"/>
  <c r="CS54" i="17" s="1"/>
  <c r="CY54" i="17" s="1"/>
  <c r="CM54" i="17"/>
  <c r="CL54" i="17"/>
  <c r="CK54" i="17"/>
  <c r="CJ54" i="17"/>
  <c r="CH54" i="17"/>
  <c r="CG54" i="17"/>
  <c r="CF54" i="17"/>
  <c r="CE54" i="17"/>
  <c r="CD54" i="17"/>
  <c r="CC54" i="17"/>
  <c r="CB54" i="17"/>
  <c r="CA54" i="17"/>
  <c r="BZ54" i="17"/>
  <c r="BX54" i="17"/>
  <c r="BW54" i="17"/>
  <c r="BV54" i="17"/>
  <c r="BU54" i="17"/>
  <c r="BS54" i="17"/>
  <c r="BR54" i="17"/>
  <c r="BQ54" i="17"/>
  <c r="BP54" i="17"/>
  <c r="BO54" i="17"/>
  <c r="BN54" i="17"/>
  <c r="BM54" i="17"/>
  <c r="AL54" i="17"/>
  <c r="AJ54" i="17"/>
  <c r="KG53" i="17"/>
  <c r="KB53" i="17"/>
  <c r="KA53" i="17"/>
  <c r="JZ53" i="17"/>
  <c r="JY53" i="17"/>
  <c r="JV53" i="17"/>
  <c r="JU53" i="17"/>
  <c r="JS53" i="17"/>
  <c r="JQ53" i="17"/>
  <c r="JP53" i="17"/>
  <c r="JO53" i="17"/>
  <c r="JN53" i="17"/>
  <c r="HF53" i="17"/>
  <c r="HE53" i="17"/>
  <c r="GV53" i="17"/>
  <c r="GU53" i="17"/>
  <c r="GT53" i="17"/>
  <c r="GS53" i="17"/>
  <c r="GL53" i="17"/>
  <c r="GK53" i="17"/>
  <c r="GJ53" i="17"/>
  <c r="GI53" i="17"/>
  <c r="GH53" i="17"/>
  <c r="GG53" i="17"/>
  <c r="GF53" i="17"/>
  <c r="GE53" i="17"/>
  <c r="GD53" i="17"/>
  <c r="GC53" i="17"/>
  <c r="GB53" i="17"/>
  <c r="GA53" i="17"/>
  <c r="FZ53" i="17"/>
  <c r="FY53" i="17"/>
  <c r="FT53" i="17"/>
  <c r="FS53" i="17"/>
  <c r="FP53" i="17"/>
  <c r="FO53" i="17"/>
  <c r="FQ53" i="17" s="1"/>
  <c r="FN53" i="17"/>
  <c r="FK53" i="17"/>
  <c r="FJ53" i="17"/>
  <c r="FI53" i="17"/>
  <c r="FF53" i="17"/>
  <c r="FE53" i="17"/>
  <c r="FG53" i="17" s="1"/>
  <c r="FH53" i="17" s="1"/>
  <c r="FC53" i="17"/>
  <c r="EZ53" i="17"/>
  <c r="EY53" i="17"/>
  <c r="EU53" i="17"/>
  <c r="ET53" i="17"/>
  <c r="ES53" i="17"/>
  <c r="ER53" i="17"/>
  <c r="EJ53" i="17"/>
  <c r="EF53" i="17"/>
  <c r="ED53" i="17"/>
  <c r="EH53" i="17" s="1"/>
  <c r="EB53" i="17"/>
  <c r="EA53" i="17"/>
  <c r="DZ53" i="17"/>
  <c r="DY53" i="17"/>
  <c r="DX53" i="17"/>
  <c r="DV53" i="17"/>
  <c r="DU53" i="17"/>
  <c r="DT53" i="17"/>
  <c r="DS53" i="17"/>
  <c r="DR53" i="17"/>
  <c r="DP53" i="17"/>
  <c r="DO53" i="17"/>
  <c r="DN53" i="17"/>
  <c r="DM53" i="17"/>
  <c r="DL53" i="17"/>
  <c r="DK53" i="17"/>
  <c r="DJ53" i="17"/>
  <c r="DI53" i="17"/>
  <c r="DH53" i="17"/>
  <c r="DF53" i="17"/>
  <c r="DE53" i="17"/>
  <c r="DD53" i="17"/>
  <c r="CX53" i="17"/>
  <c r="CW53" i="17"/>
  <c r="CV53" i="17"/>
  <c r="CT53" i="17"/>
  <c r="CQ53" i="17"/>
  <c r="CP53" i="17"/>
  <c r="CO53" i="17"/>
  <c r="CN53" i="17"/>
  <c r="CM53" i="17"/>
  <c r="CL53" i="17"/>
  <c r="CK53" i="17"/>
  <c r="CJ53" i="17"/>
  <c r="CH53" i="17"/>
  <c r="CG53" i="17"/>
  <c r="CF53" i="17"/>
  <c r="CE53" i="17"/>
  <c r="CD53" i="17"/>
  <c r="CC53" i="17"/>
  <c r="CB53" i="17"/>
  <c r="CA53" i="17"/>
  <c r="BZ53" i="17"/>
  <c r="BX53" i="17"/>
  <c r="BW53" i="17"/>
  <c r="BV53" i="17"/>
  <c r="BU53" i="17"/>
  <c r="BS53" i="17"/>
  <c r="BR53" i="17"/>
  <c r="BQ53" i="17"/>
  <c r="BP53" i="17"/>
  <c r="BO53" i="17"/>
  <c r="BN53" i="17"/>
  <c r="BM53" i="17"/>
  <c r="AL53" i="17"/>
  <c r="AJ53" i="17"/>
  <c r="KG52" i="17"/>
  <c r="KB52" i="17"/>
  <c r="KA52" i="17"/>
  <c r="JZ52" i="17"/>
  <c r="JY52" i="17"/>
  <c r="JV52" i="17"/>
  <c r="JU52" i="17"/>
  <c r="JS52" i="17"/>
  <c r="JQ52" i="17"/>
  <c r="JP52" i="17"/>
  <c r="JO52" i="17"/>
  <c r="JN52" i="17"/>
  <c r="HF52" i="17"/>
  <c r="HE52" i="17"/>
  <c r="GV52" i="17"/>
  <c r="GU52" i="17"/>
  <c r="GT52" i="17"/>
  <c r="GS52" i="17"/>
  <c r="GL52" i="17"/>
  <c r="GK52" i="17"/>
  <c r="GJ52" i="17"/>
  <c r="GI52" i="17"/>
  <c r="GH52" i="17"/>
  <c r="GG52" i="17"/>
  <c r="GF52" i="17"/>
  <c r="GE52" i="17"/>
  <c r="GD52" i="17"/>
  <c r="GC52" i="17"/>
  <c r="GB52" i="17"/>
  <c r="GA52" i="17"/>
  <c r="FZ52" i="17"/>
  <c r="FY52" i="17"/>
  <c r="FT52" i="17"/>
  <c r="FS52" i="17"/>
  <c r="FP52" i="17"/>
  <c r="FO52" i="17"/>
  <c r="FQ52" i="17" s="1"/>
  <c r="FN52" i="17"/>
  <c r="FK52" i="17"/>
  <c r="FJ52" i="17"/>
  <c r="FI52" i="17"/>
  <c r="FF52" i="17"/>
  <c r="FE52" i="17"/>
  <c r="FG52" i="17" s="1"/>
  <c r="FH52" i="17" s="1"/>
  <c r="FC52" i="17"/>
  <c r="EZ52" i="17"/>
  <c r="EY52" i="17"/>
  <c r="EU52" i="17"/>
  <c r="ET52" i="17"/>
  <c r="ES52" i="17"/>
  <c r="ER52" i="17"/>
  <c r="EJ52" i="17"/>
  <c r="EF52" i="17"/>
  <c r="ED52" i="17"/>
  <c r="EH52" i="17" s="1"/>
  <c r="EB52" i="17"/>
  <c r="EA52" i="17"/>
  <c r="DZ52" i="17"/>
  <c r="DY52" i="17"/>
  <c r="DX52" i="17"/>
  <c r="DV52" i="17"/>
  <c r="DU52" i="17"/>
  <c r="DT52" i="17"/>
  <c r="DS52" i="17"/>
  <c r="DR52" i="17"/>
  <c r="DP52" i="17"/>
  <c r="DO52" i="17"/>
  <c r="DN52" i="17"/>
  <c r="DM52" i="17"/>
  <c r="DL52" i="17"/>
  <c r="DK52" i="17"/>
  <c r="DJ52" i="17"/>
  <c r="DI52" i="17"/>
  <c r="DH52" i="17"/>
  <c r="DF52" i="17"/>
  <c r="DE52" i="17"/>
  <c r="DD52" i="17"/>
  <c r="CX52" i="17"/>
  <c r="CW52" i="17"/>
  <c r="CV52" i="17"/>
  <c r="CT52" i="17"/>
  <c r="CQ52" i="17"/>
  <c r="CP52" i="17"/>
  <c r="JR52" i="17" s="1"/>
  <c r="CO52" i="17"/>
  <c r="CN52" i="17"/>
  <c r="CR52" i="17" s="1"/>
  <c r="CS52" i="17" s="1"/>
  <c r="CY52" i="17" s="1"/>
  <c r="CM52" i="17"/>
  <c r="CL52" i="17"/>
  <c r="CK52" i="17"/>
  <c r="CJ52" i="17"/>
  <c r="CH52" i="17"/>
  <c r="CG52" i="17"/>
  <c r="CF52" i="17"/>
  <c r="CE52" i="17"/>
  <c r="CD52" i="17"/>
  <c r="CC52" i="17"/>
  <c r="CB52" i="17"/>
  <c r="CA52" i="17"/>
  <c r="BZ52" i="17"/>
  <c r="BX52" i="17"/>
  <c r="BW52" i="17"/>
  <c r="BV52" i="17"/>
  <c r="BU52" i="17"/>
  <c r="BS52" i="17"/>
  <c r="BR52" i="17"/>
  <c r="BQ52" i="17"/>
  <c r="BP52" i="17"/>
  <c r="BO52" i="17"/>
  <c r="BN52" i="17"/>
  <c r="BM52" i="17"/>
  <c r="AL52" i="17"/>
  <c r="AJ52" i="17"/>
  <c r="KG51" i="17"/>
  <c r="KB51" i="17"/>
  <c r="KA51" i="17"/>
  <c r="JZ51" i="17"/>
  <c r="JY51" i="17"/>
  <c r="JV51" i="17"/>
  <c r="JU51" i="17"/>
  <c r="JS51" i="17"/>
  <c r="JQ51" i="17"/>
  <c r="JP51" i="17"/>
  <c r="JO51" i="17"/>
  <c r="JN51" i="17"/>
  <c r="HF51" i="17"/>
  <c r="HE51" i="17"/>
  <c r="GV51" i="17"/>
  <c r="GU51" i="17"/>
  <c r="GT51" i="17"/>
  <c r="GS51" i="17"/>
  <c r="GL51" i="17"/>
  <c r="GK51" i="17"/>
  <c r="GJ51" i="17"/>
  <c r="GI51" i="17"/>
  <c r="GH51" i="17"/>
  <c r="GG51" i="17"/>
  <c r="GF51" i="17"/>
  <c r="GE51" i="17"/>
  <c r="GD51" i="17"/>
  <c r="GC51" i="17"/>
  <c r="GB51" i="17"/>
  <c r="GA51" i="17"/>
  <c r="FZ51" i="17"/>
  <c r="FY51" i="17"/>
  <c r="FT51" i="17"/>
  <c r="FS51" i="17"/>
  <c r="FP51" i="17"/>
  <c r="FO51" i="17"/>
  <c r="FQ51" i="17" s="1"/>
  <c r="FN51" i="17"/>
  <c r="FK51" i="17"/>
  <c r="FJ51" i="17"/>
  <c r="FI51" i="17"/>
  <c r="FF51" i="17"/>
  <c r="FE51" i="17"/>
  <c r="FG51" i="17" s="1"/>
  <c r="FH51" i="17" s="1"/>
  <c r="FC51" i="17"/>
  <c r="EZ51" i="17"/>
  <c r="EY51" i="17"/>
  <c r="EU51" i="17"/>
  <c r="ET51" i="17"/>
  <c r="ES51" i="17"/>
  <c r="ER51" i="17"/>
  <c r="EJ51" i="17"/>
  <c r="EF51" i="17"/>
  <c r="ED51" i="17"/>
  <c r="EH51" i="17" s="1"/>
  <c r="EB51" i="17"/>
  <c r="EA51" i="17"/>
  <c r="DZ51" i="17"/>
  <c r="DY51" i="17"/>
  <c r="DX51" i="17"/>
  <c r="DV51" i="17"/>
  <c r="DU51" i="17"/>
  <c r="DT51" i="17"/>
  <c r="DS51" i="17"/>
  <c r="DR51" i="17"/>
  <c r="DP51" i="17"/>
  <c r="DO51" i="17"/>
  <c r="DN51" i="17"/>
  <c r="DM51" i="17"/>
  <c r="DL51" i="17"/>
  <c r="DK51" i="17"/>
  <c r="DJ51" i="17"/>
  <c r="DI51" i="17"/>
  <c r="DH51" i="17"/>
  <c r="DF51" i="17"/>
  <c r="DE51" i="17"/>
  <c r="DD51" i="17"/>
  <c r="CX51" i="17"/>
  <c r="CW51" i="17"/>
  <c r="CV51" i="17"/>
  <c r="CT51" i="17"/>
  <c r="CQ51" i="17"/>
  <c r="CP51" i="17"/>
  <c r="CO51" i="17"/>
  <c r="CN51" i="17"/>
  <c r="CM51" i="17"/>
  <c r="CL51" i="17"/>
  <c r="CK51" i="17"/>
  <c r="CJ51" i="17"/>
  <c r="CH51" i="17"/>
  <c r="CG51" i="17"/>
  <c r="CF51" i="17"/>
  <c r="CE51" i="17"/>
  <c r="CD51" i="17"/>
  <c r="CC51" i="17"/>
  <c r="CB51" i="17"/>
  <c r="CA51" i="17"/>
  <c r="BZ51" i="17"/>
  <c r="BX51" i="17"/>
  <c r="BW51" i="17"/>
  <c r="BV51" i="17"/>
  <c r="BU51" i="17"/>
  <c r="BS51" i="17"/>
  <c r="BR51" i="17"/>
  <c r="BQ51" i="17"/>
  <c r="BP51" i="17"/>
  <c r="BO51" i="17"/>
  <c r="BN51" i="17"/>
  <c r="BM51" i="17"/>
  <c r="AL51" i="17"/>
  <c r="AJ51" i="17"/>
  <c r="KG50" i="17"/>
  <c r="KB50" i="17"/>
  <c r="KA50" i="17"/>
  <c r="JZ50" i="17"/>
  <c r="JY50" i="17"/>
  <c r="JV50" i="17"/>
  <c r="JU50" i="17"/>
  <c r="JS50" i="17"/>
  <c r="JQ50" i="17"/>
  <c r="JP50" i="17"/>
  <c r="JO50" i="17"/>
  <c r="JN50" i="17"/>
  <c r="HF50" i="17"/>
  <c r="HE50" i="17"/>
  <c r="GV50" i="17"/>
  <c r="GU50" i="17"/>
  <c r="GT50" i="17"/>
  <c r="GS50" i="17"/>
  <c r="GL50" i="17"/>
  <c r="GK50" i="17"/>
  <c r="GJ50" i="17"/>
  <c r="GI50" i="17"/>
  <c r="GH50" i="17"/>
  <c r="GG50" i="17"/>
  <c r="GF50" i="17"/>
  <c r="GE50" i="17"/>
  <c r="GD50" i="17"/>
  <c r="GC50" i="17"/>
  <c r="GB50" i="17"/>
  <c r="GA50" i="17"/>
  <c r="FZ50" i="17"/>
  <c r="FY50" i="17"/>
  <c r="FT50" i="17"/>
  <c r="FS50" i="17"/>
  <c r="FP50" i="17"/>
  <c r="FO50" i="17"/>
  <c r="FQ50" i="17" s="1"/>
  <c r="FN50" i="17"/>
  <c r="FK50" i="17"/>
  <c r="FJ50" i="17"/>
  <c r="FI50" i="17"/>
  <c r="FF50" i="17"/>
  <c r="FE50" i="17"/>
  <c r="FG50" i="17" s="1"/>
  <c r="FH50" i="17" s="1"/>
  <c r="FC50" i="17"/>
  <c r="EZ50" i="17"/>
  <c r="EY50" i="17"/>
  <c r="EU50" i="17"/>
  <c r="ET50" i="17"/>
  <c r="ES50" i="17"/>
  <c r="ER50" i="17"/>
  <c r="EJ50" i="17"/>
  <c r="EF50" i="17"/>
  <c r="ED50" i="17"/>
  <c r="EH50" i="17" s="1"/>
  <c r="EB50" i="17"/>
  <c r="EA50" i="17"/>
  <c r="DZ50" i="17"/>
  <c r="DY50" i="17"/>
  <c r="DX50" i="17"/>
  <c r="DV50" i="17"/>
  <c r="DU50" i="17"/>
  <c r="DT50" i="17"/>
  <c r="DS50" i="17"/>
  <c r="DR50" i="17"/>
  <c r="DP50" i="17"/>
  <c r="DO50" i="17"/>
  <c r="DN50" i="17"/>
  <c r="DM50" i="17"/>
  <c r="DL50" i="17"/>
  <c r="DK50" i="17"/>
  <c r="DJ50" i="17"/>
  <c r="DI50" i="17"/>
  <c r="DH50" i="17"/>
  <c r="DF50" i="17"/>
  <c r="DE50" i="17"/>
  <c r="DD50" i="17"/>
  <c r="CX50" i="17"/>
  <c r="CW50" i="17"/>
  <c r="CV50" i="17"/>
  <c r="CT50" i="17"/>
  <c r="CQ50" i="17"/>
  <c r="CP50" i="17"/>
  <c r="JR50" i="17" s="1"/>
  <c r="CO50" i="17"/>
  <c r="CN50" i="17"/>
  <c r="CR50" i="17" s="1"/>
  <c r="CS50" i="17" s="1"/>
  <c r="CY50" i="17" s="1"/>
  <c r="CM50" i="17"/>
  <c r="CL50" i="17"/>
  <c r="CK50" i="17"/>
  <c r="CJ50" i="17"/>
  <c r="CH50" i="17"/>
  <c r="CG50" i="17"/>
  <c r="CF50" i="17"/>
  <c r="CE50" i="17"/>
  <c r="CD50" i="17"/>
  <c r="CC50" i="17"/>
  <c r="CB50" i="17"/>
  <c r="CA50" i="17"/>
  <c r="BZ50" i="17"/>
  <c r="BX50" i="17"/>
  <c r="BW50" i="17"/>
  <c r="BV50" i="17"/>
  <c r="BU50" i="17"/>
  <c r="BS50" i="17"/>
  <c r="BR50" i="17"/>
  <c r="BQ50" i="17"/>
  <c r="BP50" i="17"/>
  <c r="BO50" i="17"/>
  <c r="BN50" i="17"/>
  <c r="BM50" i="17"/>
  <c r="AL50" i="17"/>
  <c r="AJ50" i="17"/>
  <c r="KG49" i="17"/>
  <c r="KB49" i="17"/>
  <c r="KA49" i="17"/>
  <c r="JZ49" i="17"/>
  <c r="JY49" i="17"/>
  <c r="JV49" i="17"/>
  <c r="JU49" i="17"/>
  <c r="JS49" i="17"/>
  <c r="JQ49" i="17"/>
  <c r="JP49" i="17"/>
  <c r="JO49" i="17"/>
  <c r="JN49" i="17"/>
  <c r="HF49" i="17"/>
  <c r="HE49" i="17"/>
  <c r="GV49" i="17"/>
  <c r="GU49" i="17"/>
  <c r="GT49" i="17"/>
  <c r="GS49" i="17"/>
  <c r="GL49" i="17"/>
  <c r="GK49" i="17"/>
  <c r="GJ49" i="17"/>
  <c r="GI49" i="17"/>
  <c r="GH49" i="17"/>
  <c r="GG49" i="17"/>
  <c r="GF49" i="17"/>
  <c r="GE49" i="17"/>
  <c r="GD49" i="17"/>
  <c r="GC49" i="17"/>
  <c r="GB49" i="17"/>
  <c r="GA49" i="17"/>
  <c r="FZ49" i="17"/>
  <c r="FY49" i="17"/>
  <c r="FT49" i="17"/>
  <c r="FS49" i="17"/>
  <c r="FP49" i="17"/>
  <c r="FO49" i="17"/>
  <c r="FQ49" i="17" s="1"/>
  <c r="FN49" i="17"/>
  <c r="FK49" i="17"/>
  <c r="FJ49" i="17"/>
  <c r="FI49" i="17"/>
  <c r="FF49" i="17"/>
  <c r="FE49" i="17"/>
  <c r="FG49" i="17" s="1"/>
  <c r="FH49" i="17" s="1"/>
  <c r="FC49" i="17"/>
  <c r="EZ49" i="17"/>
  <c r="EY49" i="17"/>
  <c r="EU49" i="17"/>
  <c r="ET49" i="17"/>
  <c r="ES49" i="17"/>
  <c r="ER49" i="17"/>
  <c r="EJ49" i="17"/>
  <c r="EF49" i="17"/>
  <c r="ED49" i="17"/>
  <c r="EH49" i="17" s="1"/>
  <c r="EB49" i="17"/>
  <c r="EA49" i="17"/>
  <c r="DZ49" i="17"/>
  <c r="DY49" i="17"/>
  <c r="DX49" i="17"/>
  <c r="DV49" i="17"/>
  <c r="DU49" i="17"/>
  <c r="DT49" i="17"/>
  <c r="DS49" i="17"/>
  <c r="DR49" i="17"/>
  <c r="DP49" i="17"/>
  <c r="DO49" i="17"/>
  <c r="DN49" i="17"/>
  <c r="DM49" i="17"/>
  <c r="DL49" i="17"/>
  <c r="DK49" i="17"/>
  <c r="DJ49" i="17"/>
  <c r="DI49" i="17"/>
  <c r="DH49" i="17"/>
  <c r="DF49" i="17"/>
  <c r="DE49" i="17"/>
  <c r="DD49" i="17"/>
  <c r="CX49" i="17"/>
  <c r="CW49" i="17"/>
  <c r="CV49" i="17"/>
  <c r="CT49" i="17"/>
  <c r="CQ49" i="17"/>
  <c r="CP49" i="17"/>
  <c r="CO49" i="17"/>
  <c r="CN49" i="17"/>
  <c r="CM49" i="17"/>
  <c r="CL49" i="17"/>
  <c r="CK49" i="17"/>
  <c r="CJ49" i="17"/>
  <c r="CH49" i="17"/>
  <c r="CG49" i="17"/>
  <c r="CF49" i="17"/>
  <c r="CE49" i="17"/>
  <c r="CD49" i="17"/>
  <c r="CC49" i="17"/>
  <c r="CB49" i="17"/>
  <c r="CA49" i="17"/>
  <c r="BZ49" i="17"/>
  <c r="BX49" i="17"/>
  <c r="BW49" i="17"/>
  <c r="BV49" i="17"/>
  <c r="BU49" i="17"/>
  <c r="BS49" i="17"/>
  <c r="BR49" i="17"/>
  <c r="BQ49" i="17"/>
  <c r="BP49" i="17"/>
  <c r="BO49" i="17"/>
  <c r="BN49" i="17"/>
  <c r="BM49" i="17"/>
  <c r="AL49" i="17"/>
  <c r="AJ49" i="17"/>
  <c r="KG48" i="17"/>
  <c r="KB48" i="17"/>
  <c r="KA48" i="17"/>
  <c r="JZ48" i="17"/>
  <c r="JY48" i="17"/>
  <c r="JV48" i="17"/>
  <c r="JU48" i="17"/>
  <c r="JS48" i="17"/>
  <c r="JQ48" i="17"/>
  <c r="JP48" i="17"/>
  <c r="JO48" i="17"/>
  <c r="JN48" i="17"/>
  <c r="HF48" i="17"/>
  <c r="HE48" i="17"/>
  <c r="GV48" i="17"/>
  <c r="GU48" i="17"/>
  <c r="GT48" i="17"/>
  <c r="GS48" i="17"/>
  <c r="GL48" i="17"/>
  <c r="GK48" i="17"/>
  <c r="GJ48" i="17"/>
  <c r="GI48" i="17"/>
  <c r="GH48" i="17"/>
  <c r="GG48" i="17"/>
  <c r="GF48" i="17"/>
  <c r="GE48" i="17"/>
  <c r="GD48" i="17"/>
  <c r="GC48" i="17"/>
  <c r="GB48" i="17"/>
  <c r="GA48" i="17"/>
  <c r="FZ48" i="17"/>
  <c r="FY48" i="17"/>
  <c r="FT48" i="17"/>
  <c r="FS48" i="17"/>
  <c r="FP48" i="17"/>
  <c r="FO48" i="17"/>
  <c r="FQ48" i="17" s="1"/>
  <c r="FN48" i="17"/>
  <c r="FK48" i="17"/>
  <c r="FJ48" i="17"/>
  <c r="FI48" i="17"/>
  <c r="FF48" i="17"/>
  <c r="FE48" i="17"/>
  <c r="FG48" i="17" s="1"/>
  <c r="FH48" i="17" s="1"/>
  <c r="FC48" i="17"/>
  <c r="EZ48" i="17"/>
  <c r="EY48" i="17"/>
  <c r="EU48" i="17"/>
  <c r="ET48" i="17"/>
  <c r="ES48" i="17"/>
  <c r="ER48" i="17"/>
  <c r="EJ48" i="17"/>
  <c r="EF48" i="17"/>
  <c r="ED48" i="17"/>
  <c r="EH48" i="17" s="1"/>
  <c r="EB48" i="17"/>
  <c r="EA48" i="17"/>
  <c r="DZ48" i="17"/>
  <c r="DY48" i="17"/>
  <c r="DX48" i="17"/>
  <c r="DV48" i="17"/>
  <c r="DU48" i="17"/>
  <c r="DT48" i="17"/>
  <c r="DS48" i="17"/>
  <c r="DR48" i="17"/>
  <c r="DP48" i="17"/>
  <c r="DO48" i="17"/>
  <c r="DN48" i="17"/>
  <c r="DM48" i="17"/>
  <c r="DL48" i="17"/>
  <c r="DK48" i="17"/>
  <c r="DJ48" i="17"/>
  <c r="DI48" i="17"/>
  <c r="DH48" i="17"/>
  <c r="DF48" i="17"/>
  <c r="DE48" i="17"/>
  <c r="DD48" i="17"/>
  <c r="CX48" i="17"/>
  <c r="CW48" i="17"/>
  <c r="CV48" i="17"/>
  <c r="CT48" i="17"/>
  <c r="CQ48" i="17"/>
  <c r="CP48" i="17"/>
  <c r="JR48" i="17" s="1"/>
  <c r="CO48" i="17"/>
  <c r="CN48" i="17"/>
  <c r="CR48" i="17" s="1"/>
  <c r="CS48" i="17" s="1"/>
  <c r="CY48" i="17" s="1"/>
  <c r="CM48" i="17"/>
  <c r="CL48" i="17"/>
  <c r="CK48" i="17"/>
  <c r="CJ48" i="17"/>
  <c r="CH48" i="17"/>
  <c r="CG48" i="17"/>
  <c r="CF48" i="17"/>
  <c r="CE48" i="17"/>
  <c r="CD48" i="17"/>
  <c r="CC48" i="17"/>
  <c r="CB48" i="17"/>
  <c r="CA48" i="17"/>
  <c r="BZ48" i="17"/>
  <c r="BX48" i="17"/>
  <c r="BW48" i="17"/>
  <c r="BV48" i="17"/>
  <c r="BU48" i="17"/>
  <c r="BS48" i="17"/>
  <c r="BR48" i="17"/>
  <c r="BQ48" i="17"/>
  <c r="BP48" i="17"/>
  <c r="BO48" i="17"/>
  <c r="BN48" i="17"/>
  <c r="BM48" i="17"/>
  <c r="AL48" i="17"/>
  <c r="AJ48" i="17"/>
  <c r="KG47" i="17"/>
  <c r="KB47" i="17"/>
  <c r="KA47" i="17"/>
  <c r="JZ47" i="17"/>
  <c r="JY47" i="17"/>
  <c r="JV47" i="17"/>
  <c r="JU47" i="17"/>
  <c r="JS47" i="17"/>
  <c r="JQ47" i="17"/>
  <c r="JP47" i="17"/>
  <c r="JO47" i="17"/>
  <c r="JN47" i="17"/>
  <c r="HF47" i="17"/>
  <c r="HE47" i="17"/>
  <c r="GV47" i="17"/>
  <c r="GU47" i="17"/>
  <c r="GT47" i="17"/>
  <c r="GS47" i="17"/>
  <c r="GL47" i="17"/>
  <c r="GK47" i="17"/>
  <c r="GJ47" i="17"/>
  <c r="GI47" i="17"/>
  <c r="GH47" i="17"/>
  <c r="GG47" i="17"/>
  <c r="GF47" i="17"/>
  <c r="GE47" i="17"/>
  <c r="GD47" i="17"/>
  <c r="GC47" i="17"/>
  <c r="GB47" i="17"/>
  <c r="GA47" i="17"/>
  <c r="FZ47" i="17"/>
  <c r="FY47" i="17"/>
  <c r="FT47" i="17"/>
  <c r="FS47" i="17"/>
  <c r="FP47" i="17"/>
  <c r="FO47" i="17"/>
  <c r="FQ47" i="17" s="1"/>
  <c r="FN47" i="17"/>
  <c r="FK47" i="17"/>
  <c r="FJ47" i="17"/>
  <c r="FI47" i="17"/>
  <c r="FF47" i="17"/>
  <c r="FE47" i="17"/>
  <c r="FG47" i="17" s="1"/>
  <c r="FH47" i="17" s="1"/>
  <c r="FC47" i="17"/>
  <c r="EZ47" i="17"/>
  <c r="EY47" i="17"/>
  <c r="EU47" i="17"/>
  <c r="ET47" i="17"/>
  <c r="ES47" i="17"/>
  <c r="ER47" i="17"/>
  <c r="EJ47" i="17"/>
  <c r="EF47" i="17"/>
  <c r="ED47" i="17"/>
  <c r="EH47" i="17" s="1"/>
  <c r="EB47" i="17"/>
  <c r="EA47" i="17"/>
  <c r="DZ47" i="17"/>
  <c r="DY47" i="17"/>
  <c r="DX47" i="17"/>
  <c r="DV47" i="17"/>
  <c r="DU47" i="17"/>
  <c r="DT47" i="17"/>
  <c r="DS47" i="17"/>
  <c r="DR47" i="17"/>
  <c r="DP47" i="17"/>
  <c r="DO47" i="17"/>
  <c r="DN47" i="17"/>
  <c r="DM47" i="17"/>
  <c r="DL47" i="17"/>
  <c r="DK47" i="17"/>
  <c r="DJ47" i="17"/>
  <c r="DI47" i="17"/>
  <c r="DH47" i="17"/>
  <c r="DF47" i="17"/>
  <c r="DE47" i="17"/>
  <c r="DD47" i="17"/>
  <c r="CX47" i="17"/>
  <c r="CW47" i="17"/>
  <c r="CV47" i="17"/>
  <c r="CT47" i="17"/>
  <c r="CQ47" i="17"/>
  <c r="CP47" i="17"/>
  <c r="CO47" i="17"/>
  <c r="CN47" i="17"/>
  <c r="CM47" i="17"/>
  <c r="CL47" i="17"/>
  <c r="CK47" i="17"/>
  <c r="CJ47" i="17"/>
  <c r="CH47" i="17"/>
  <c r="CG47" i="17"/>
  <c r="CF47" i="17"/>
  <c r="CE47" i="17"/>
  <c r="CD47" i="17"/>
  <c r="CC47" i="17"/>
  <c r="CB47" i="17"/>
  <c r="CA47" i="17"/>
  <c r="BZ47" i="17"/>
  <c r="BX47" i="17"/>
  <c r="BW47" i="17"/>
  <c r="BV47" i="17"/>
  <c r="BU47" i="17"/>
  <c r="BS47" i="17"/>
  <c r="BR47" i="17"/>
  <c r="BQ47" i="17"/>
  <c r="BP47" i="17"/>
  <c r="BO47" i="17"/>
  <c r="BN47" i="17"/>
  <c r="BM47" i="17"/>
  <c r="AL47" i="17"/>
  <c r="AJ47" i="17"/>
  <c r="KG46" i="17"/>
  <c r="KB46" i="17"/>
  <c r="KA46" i="17"/>
  <c r="JZ46" i="17"/>
  <c r="JY46" i="17"/>
  <c r="JV46" i="17"/>
  <c r="JU46" i="17"/>
  <c r="JS46" i="17"/>
  <c r="JQ46" i="17"/>
  <c r="JP46" i="17"/>
  <c r="JO46" i="17"/>
  <c r="JN46" i="17"/>
  <c r="HF46" i="17"/>
  <c r="HE46" i="17"/>
  <c r="GV46" i="17"/>
  <c r="GU46" i="17"/>
  <c r="GT46" i="17"/>
  <c r="GS46" i="17"/>
  <c r="GL46" i="17"/>
  <c r="GK46" i="17"/>
  <c r="GJ46" i="17"/>
  <c r="GI46" i="17"/>
  <c r="GH46" i="17"/>
  <c r="GG46" i="17"/>
  <c r="GF46" i="17"/>
  <c r="GE46" i="17"/>
  <c r="GD46" i="17"/>
  <c r="GC46" i="17"/>
  <c r="GB46" i="17"/>
  <c r="GA46" i="17"/>
  <c r="FZ46" i="17"/>
  <c r="FY46" i="17"/>
  <c r="FT46" i="17"/>
  <c r="FS46" i="17"/>
  <c r="FP46" i="17"/>
  <c r="FO46" i="17"/>
  <c r="FQ46" i="17" s="1"/>
  <c r="FN46" i="17"/>
  <c r="FK46" i="17"/>
  <c r="FJ46" i="17"/>
  <c r="FI46" i="17"/>
  <c r="FF46" i="17"/>
  <c r="FE46" i="17"/>
  <c r="FG46" i="17" s="1"/>
  <c r="FH46" i="17" s="1"/>
  <c r="FC46" i="17"/>
  <c r="EZ46" i="17"/>
  <c r="EY46" i="17"/>
  <c r="EU46" i="17"/>
  <c r="ET46" i="17"/>
  <c r="ES46" i="17"/>
  <c r="ER46" i="17"/>
  <c r="EJ46" i="17"/>
  <c r="EF46" i="17"/>
  <c r="ED46" i="17"/>
  <c r="EH46" i="17" s="1"/>
  <c r="EB46" i="17"/>
  <c r="EA46" i="17"/>
  <c r="DZ46" i="17"/>
  <c r="DY46" i="17"/>
  <c r="DX46" i="17"/>
  <c r="DV46" i="17"/>
  <c r="DU46" i="17"/>
  <c r="DT46" i="17"/>
  <c r="DS46" i="17"/>
  <c r="DR46" i="17"/>
  <c r="DP46" i="17"/>
  <c r="DO46" i="17"/>
  <c r="DN46" i="17"/>
  <c r="DM46" i="17"/>
  <c r="DL46" i="17"/>
  <c r="DK46" i="17"/>
  <c r="DJ46" i="17"/>
  <c r="DI46" i="17"/>
  <c r="DH46" i="17"/>
  <c r="DF46" i="17"/>
  <c r="DE46" i="17"/>
  <c r="DD46" i="17"/>
  <c r="CX46" i="17"/>
  <c r="CW46" i="17"/>
  <c r="CV46" i="17"/>
  <c r="CT46" i="17"/>
  <c r="CQ46" i="17"/>
  <c r="CP46" i="17"/>
  <c r="JR46" i="17" s="1"/>
  <c r="CO46" i="17"/>
  <c r="CN46" i="17"/>
  <c r="CR46" i="17" s="1"/>
  <c r="CS46" i="17" s="1"/>
  <c r="CY46" i="17" s="1"/>
  <c r="CM46" i="17"/>
  <c r="CL46" i="17"/>
  <c r="CK46" i="17"/>
  <c r="CJ46" i="17"/>
  <c r="CH46" i="17"/>
  <c r="CG46" i="17"/>
  <c r="CF46" i="17"/>
  <c r="CE46" i="17"/>
  <c r="CD46" i="17"/>
  <c r="CC46" i="17"/>
  <c r="CB46" i="17"/>
  <c r="CA46" i="17"/>
  <c r="BZ46" i="17"/>
  <c r="BX46" i="17"/>
  <c r="BW46" i="17"/>
  <c r="BV46" i="17"/>
  <c r="BU46" i="17"/>
  <c r="BS46" i="17"/>
  <c r="BR46" i="17"/>
  <c r="BQ46" i="17"/>
  <c r="BP46" i="17"/>
  <c r="BO46" i="17"/>
  <c r="BN46" i="17"/>
  <c r="BM46" i="17"/>
  <c r="AL46" i="17"/>
  <c r="AJ46" i="17"/>
  <c r="KG45" i="17"/>
  <c r="KB45" i="17"/>
  <c r="KA45" i="17"/>
  <c r="JZ45" i="17"/>
  <c r="JY45" i="17"/>
  <c r="JV45" i="17"/>
  <c r="JU45" i="17"/>
  <c r="JS45" i="17"/>
  <c r="JQ45" i="17"/>
  <c r="JP45" i="17"/>
  <c r="JO45" i="17"/>
  <c r="JN45" i="17"/>
  <c r="HF45" i="17"/>
  <c r="HE45" i="17"/>
  <c r="GV45" i="17"/>
  <c r="GU45" i="17"/>
  <c r="GT45" i="17"/>
  <c r="GS45" i="17"/>
  <c r="GL45" i="17"/>
  <c r="GK45" i="17"/>
  <c r="GJ45" i="17"/>
  <c r="GI45" i="17"/>
  <c r="GH45" i="17"/>
  <c r="GG45" i="17"/>
  <c r="GF45" i="17"/>
  <c r="GE45" i="17"/>
  <c r="GD45" i="17"/>
  <c r="GC45" i="17"/>
  <c r="GB45" i="17"/>
  <c r="GA45" i="17"/>
  <c r="FZ45" i="17"/>
  <c r="FY45" i="17"/>
  <c r="FT45" i="17"/>
  <c r="FS45" i="17"/>
  <c r="FP45" i="17"/>
  <c r="FO45" i="17"/>
  <c r="FQ45" i="17" s="1"/>
  <c r="FN45" i="17"/>
  <c r="FK45" i="17"/>
  <c r="FJ45" i="17"/>
  <c r="FI45" i="17"/>
  <c r="FF45" i="17"/>
  <c r="FE45" i="17"/>
  <c r="FG45" i="17" s="1"/>
  <c r="FH45" i="17" s="1"/>
  <c r="FC45" i="17"/>
  <c r="EZ45" i="17"/>
  <c r="EY45" i="17"/>
  <c r="EU45" i="17"/>
  <c r="ET45" i="17"/>
  <c r="ES45" i="17"/>
  <c r="ER45" i="17"/>
  <c r="EJ45" i="17"/>
  <c r="EF45" i="17"/>
  <c r="ED45" i="17"/>
  <c r="EH45" i="17" s="1"/>
  <c r="EB45" i="17"/>
  <c r="EA45" i="17"/>
  <c r="DZ45" i="17"/>
  <c r="DY45" i="17"/>
  <c r="DX45" i="17"/>
  <c r="DV45" i="17"/>
  <c r="DU45" i="17"/>
  <c r="DT45" i="17"/>
  <c r="DS45" i="17"/>
  <c r="DR45" i="17"/>
  <c r="DP45" i="17"/>
  <c r="DO45" i="17"/>
  <c r="DN45" i="17"/>
  <c r="DM45" i="17"/>
  <c r="DL45" i="17"/>
  <c r="DK45" i="17"/>
  <c r="DJ45" i="17"/>
  <c r="DI45" i="17"/>
  <c r="DH45" i="17"/>
  <c r="DF45" i="17"/>
  <c r="DE45" i="17"/>
  <c r="DD45" i="17"/>
  <c r="CX45" i="17"/>
  <c r="CW45" i="17"/>
  <c r="CV45" i="17"/>
  <c r="CT45" i="17"/>
  <c r="CQ45" i="17"/>
  <c r="CP45" i="17"/>
  <c r="CO45" i="17"/>
  <c r="CN45" i="17"/>
  <c r="CM45" i="17"/>
  <c r="CL45" i="17"/>
  <c r="CK45" i="17"/>
  <c r="CJ45" i="17"/>
  <c r="CH45" i="17"/>
  <c r="CG45" i="17"/>
  <c r="CF45" i="17"/>
  <c r="CE45" i="17"/>
  <c r="CD45" i="17"/>
  <c r="CC45" i="17"/>
  <c r="CB45" i="17"/>
  <c r="CA45" i="17"/>
  <c r="BZ45" i="17"/>
  <c r="BX45" i="17"/>
  <c r="BW45" i="17"/>
  <c r="BV45" i="17"/>
  <c r="BU45" i="17"/>
  <c r="BS45" i="17"/>
  <c r="BR45" i="17"/>
  <c r="BQ45" i="17"/>
  <c r="BP45" i="17"/>
  <c r="BO45" i="17"/>
  <c r="BN45" i="17"/>
  <c r="BM45" i="17"/>
  <c r="AL45" i="17"/>
  <c r="AJ45" i="17"/>
  <c r="KG44" i="17"/>
  <c r="KB44" i="17"/>
  <c r="KA44" i="17"/>
  <c r="JZ44" i="17"/>
  <c r="JY44" i="17"/>
  <c r="JV44" i="17"/>
  <c r="JU44" i="17"/>
  <c r="JS44" i="17"/>
  <c r="JQ44" i="17"/>
  <c r="JP44" i="17"/>
  <c r="JO44" i="17"/>
  <c r="JN44" i="17"/>
  <c r="HF44" i="17"/>
  <c r="HE44" i="17"/>
  <c r="GV44" i="17"/>
  <c r="GU44" i="17"/>
  <c r="GT44" i="17"/>
  <c r="GS44" i="17"/>
  <c r="GL44" i="17"/>
  <c r="GK44" i="17"/>
  <c r="GJ44" i="17"/>
  <c r="GI44" i="17"/>
  <c r="GH44" i="17"/>
  <c r="GG44" i="17"/>
  <c r="GF44" i="17"/>
  <c r="GE44" i="17"/>
  <c r="GD44" i="17"/>
  <c r="GC44" i="17"/>
  <c r="GB44" i="17"/>
  <c r="GA44" i="17"/>
  <c r="FZ44" i="17"/>
  <c r="FY44" i="17"/>
  <c r="FT44" i="17"/>
  <c r="FS44" i="17"/>
  <c r="FP44" i="17"/>
  <c r="FO44" i="17"/>
  <c r="FQ44" i="17" s="1"/>
  <c r="FN44" i="17"/>
  <c r="FK44" i="17"/>
  <c r="FJ44" i="17"/>
  <c r="FI44" i="17"/>
  <c r="FF44" i="17"/>
  <c r="FE44" i="17"/>
  <c r="FG44" i="17" s="1"/>
  <c r="FH44" i="17" s="1"/>
  <c r="FC44" i="17"/>
  <c r="EZ44" i="17"/>
  <c r="EY44" i="17"/>
  <c r="EU44" i="17"/>
  <c r="ET44" i="17"/>
  <c r="ES44" i="17"/>
  <c r="ER44" i="17"/>
  <c r="EJ44" i="17"/>
  <c r="EF44" i="17"/>
  <c r="ED44" i="17"/>
  <c r="EH44" i="17" s="1"/>
  <c r="EB44" i="17"/>
  <c r="EA44" i="17"/>
  <c r="DZ44" i="17"/>
  <c r="DY44" i="17"/>
  <c r="DX44" i="17"/>
  <c r="DV44" i="17"/>
  <c r="DU44" i="17"/>
  <c r="DT44" i="17"/>
  <c r="DS44" i="17"/>
  <c r="DR44" i="17"/>
  <c r="DP44" i="17"/>
  <c r="DO44" i="17"/>
  <c r="DN44" i="17"/>
  <c r="DM44" i="17"/>
  <c r="DL44" i="17"/>
  <c r="DK44" i="17"/>
  <c r="DJ44" i="17"/>
  <c r="DI44" i="17"/>
  <c r="DH44" i="17"/>
  <c r="DF44" i="17"/>
  <c r="DE44" i="17"/>
  <c r="DD44" i="17"/>
  <c r="CX44" i="17"/>
  <c r="CW44" i="17"/>
  <c r="CV44" i="17"/>
  <c r="CT44" i="17"/>
  <c r="CQ44" i="17"/>
  <c r="CP44" i="17"/>
  <c r="JR44" i="17" s="1"/>
  <c r="CO44" i="17"/>
  <c r="CN44" i="17"/>
  <c r="CR44" i="17" s="1"/>
  <c r="CS44" i="17" s="1"/>
  <c r="CY44" i="17" s="1"/>
  <c r="CM44" i="17"/>
  <c r="CL44" i="17"/>
  <c r="CK44" i="17"/>
  <c r="CJ44" i="17"/>
  <c r="CH44" i="17"/>
  <c r="CG44" i="17"/>
  <c r="CF44" i="17"/>
  <c r="CE44" i="17"/>
  <c r="CD44" i="17"/>
  <c r="CC44" i="17"/>
  <c r="CB44" i="17"/>
  <c r="CA44" i="17"/>
  <c r="BZ44" i="17"/>
  <c r="BX44" i="17"/>
  <c r="BW44" i="17"/>
  <c r="BV44" i="17"/>
  <c r="BU44" i="17"/>
  <c r="BS44" i="17"/>
  <c r="BR44" i="17"/>
  <c r="BQ44" i="17"/>
  <c r="BP44" i="17"/>
  <c r="BO44" i="17"/>
  <c r="BN44" i="17"/>
  <c r="BM44" i="17"/>
  <c r="AL44" i="17"/>
  <c r="AJ44" i="17"/>
  <c r="KG43" i="17"/>
  <c r="KB43" i="17"/>
  <c r="KA43" i="17"/>
  <c r="JZ43" i="17"/>
  <c r="JY43" i="17"/>
  <c r="JV43" i="17"/>
  <c r="JU43" i="17"/>
  <c r="JS43" i="17"/>
  <c r="JQ43" i="17"/>
  <c r="JP43" i="17"/>
  <c r="JO43" i="17"/>
  <c r="JN43" i="17"/>
  <c r="HF43" i="17"/>
  <c r="HE43" i="17"/>
  <c r="GV43" i="17"/>
  <c r="GU43" i="17"/>
  <c r="GT43" i="17"/>
  <c r="GS43" i="17"/>
  <c r="GL43" i="17"/>
  <c r="GK43" i="17"/>
  <c r="GJ43" i="17"/>
  <c r="GI43" i="17"/>
  <c r="GH43" i="17"/>
  <c r="GG43" i="17"/>
  <c r="GF43" i="17"/>
  <c r="GE43" i="17"/>
  <c r="GD43" i="17"/>
  <c r="GC43" i="17"/>
  <c r="GB43" i="17"/>
  <c r="GA43" i="17"/>
  <c r="FZ43" i="17"/>
  <c r="FY43" i="17"/>
  <c r="FT43" i="17"/>
  <c r="FS43" i="17"/>
  <c r="FP43" i="17"/>
  <c r="FO43" i="17"/>
  <c r="FQ43" i="17" s="1"/>
  <c r="FN43" i="17"/>
  <c r="FK43" i="17"/>
  <c r="FJ43" i="17"/>
  <c r="FI43" i="17"/>
  <c r="FF43" i="17"/>
  <c r="FE43" i="17"/>
  <c r="FG43" i="17" s="1"/>
  <c r="FH43" i="17" s="1"/>
  <c r="FC43" i="17"/>
  <c r="EZ43" i="17"/>
  <c r="EY43" i="17"/>
  <c r="EU43" i="17"/>
  <c r="ET43" i="17"/>
  <c r="ES43" i="17"/>
  <c r="ER43" i="17"/>
  <c r="EJ43" i="17"/>
  <c r="EF43" i="17"/>
  <c r="ED43" i="17"/>
  <c r="EH43" i="17" s="1"/>
  <c r="EB43" i="17"/>
  <c r="EA43" i="17"/>
  <c r="DZ43" i="17"/>
  <c r="DY43" i="17"/>
  <c r="DX43" i="17"/>
  <c r="DV43" i="17"/>
  <c r="DU43" i="17"/>
  <c r="DT43" i="17"/>
  <c r="DS43" i="17"/>
  <c r="DR43" i="17"/>
  <c r="DP43" i="17"/>
  <c r="DO43" i="17"/>
  <c r="DN43" i="17"/>
  <c r="DM43" i="17"/>
  <c r="DL43" i="17"/>
  <c r="DK43" i="17"/>
  <c r="DJ43" i="17"/>
  <c r="DI43" i="17"/>
  <c r="DH43" i="17"/>
  <c r="DF43" i="17"/>
  <c r="DE43" i="17"/>
  <c r="DD43" i="17"/>
  <c r="CX43" i="17"/>
  <c r="CW43" i="17"/>
  <c r="CV43" i="17"/>
  <c r="CT43" i="17"/>
  <c r="CQ43" i="17"/>
  <c r="CP43" i="17"/>
  <c r="CO43" i="17"/>
  <c r="CN43" i="17"/>
  <c r="CM43" i="17"/>
  <c r="CL43" i="17"/>
  <c r="CK43" i="17"/>
  <c r="CJ43" i="17"/>
  <c r="CH43" i="17"/>
  <c r="CG43" i="17"/>
  <c r="CF43" i="17"/>
  <c r="CE43" i="17"/>
  <c r="CD43" i="17"/>
  <c r="CC43" i="17"/>
  <c r="CB43" i="17"/>
  <c r="CA43" i="17"/>
  <c r="BZ43" i="17"/>
  <c r="BX43" i="17"/>
  <c r="BW43" i="17"/>
  <c r="BV43" i="17"/>
  <c r="BU43" i="17"/>
  <c r="BS43" i="17"/>
  <c r="BR43" i="17"/>
  <c r="BQ43" i="17"/>
  <c r="BP43" i="17"/>
  <c r="BO43" i="17"/>
  <c r="BN43" i="17"/>
  <c r="BM43" i="17"/>
  <c r="AL43" i="17"/>
  <c r="AJ43" i="17"/>
  <c r="KG42" i="17"/>
  <c r="KB42" i="17"/>
  <c r="KA42" i="17"/>
  <c r="JZ42" i="17"/>
  <c r="JY42" i="17"/>
  <c r="JV42" i="17"/>
  <c r="JU42" i="17"/>
  <c r="JS42" i="17"/>
  <c r="JQ42" i="17"/>
  <c r="JP42" i="17"/>
  <c r="JO42" i="17"/>
  <c r="JN42" i="17"/>
  <c r="HF42" i="17"/>
  <c r="HE42" i="17"/>
  <c r="GV42" i="17"/>
  <c r="GU42" i="17"/>
  <c r="GT42" i="17"/>
  <c r="GS42" i="17"/>
  <c r="GL42" i="17"/>
  <c r="GK42" i="17"/>
  <c r="GJ42" i="17"/>
  <c r="GI42" i="17"/>
  <c r="GH42" i="17"/>
  <c r="GG42" i="17"/>
  <c r="GF42" i="17"/>
  <c r="GE42" i="17"/>
  <c r="GD42" i="17"/>
  <c r="GC42" i="17"/>
  <c r="GB42" i="17"/>
  <c r="GA42" i="17"/>
  <c r="FZ42" i="17"/>
  <c r="FY42" i="17"/>
  <c r="FT42" i="17"/>
  <c r="FS42" i="17"/>
  <c r="FP42" i="17"/>
  <c r="FO42" i="17"/>
  <c r="FQ42" i="17" s="1"/>
  <c r="FN42" i="17"/>
  <c r="FK42" i="17"/>
  <c r="FJ42" i="17"/>
  <c r="FI42" i="17"/>
  <c r="FF42" i="17"/>
  <c r="FE42" i="17"/>
  <c r="FG42" i="17" s="1"/>
  <c r="FH42" i="17" s="1"/>
  <c r="FC42" i="17"/>
  <c r="EZ42" i="17"/>
  <c r="EY42" i="17"/>
  <c r="EU42" i="17"/>
  <c r="ET42" i="17"/>
  <c r="ES42" i="17"/>
  <c r="ER42" i="17"/>
  <c r="EJ42" i="17"/>
  <c r="EF42" i="17"/>
  <c r="ED42" i="17"/>
  <c r="EH42" i="17" s="1"/>
  <c r="EB42" i="17"/>
  <c r="EA42" i="17"/>
  <c r="DZ42" i="17"/>
  <c r="DY42" i="17"/>
  <c r="DX42" i="17"/>
  <c r="DV42" i="17"/>
  <c r="DU42" i="17"/>
  <c r="DT42" i="17"/>
  <c r="DS42" i="17"/>
  <c r="DR42" i="17"/>
  <c r="DP42" i="17"/>
  <c r="DO42" i="17"/>
  <c r="DN42" i="17"/>
  <c r="DM42" i="17"/>
  <c r="DL42" i="17"/>
  <c r="DK42" i="17"/>
  <c r="DJ42" i="17"/>
  <c r="DI42" i="17"/>
  <c r="DH42" i="17"/>
  <c r="DF42" i="17"/>
  <c r="DE42" i="17"/>
  <c r="DD42" i="17"/>
  <c r="CX42" i="17"/>
  <c r="CW42" i="17"/>
  <c r="CV42" i="17"/>
  <c r="CT42" i="17"/>
  <c r="CQ42" i="17"/>
  <c r="CP42" i="17"/>
  <c r="JR42" i="17" s="1"/>
  <c r="CO42" i="17"/>
  <c r="CN42" i="17"/>
  <c r="CR42" i="17" s="1"/>
  <c r="CS42" i="17" s="1"/>
  <c r="CY42" i="17" s="1"/>
  <c r="CM42" i="17"/>
  <c r="CL42" i="17"/>
  <c r="CK42" i="17"/>
  <c r="CJ42" i="17"/>
  <c r="CH42" i="17"/>
  <c r="CG42" i="17"/>
  <c r="CF42" i="17"/>
  <c r="CE42" i="17"/>
  <c r="CD42" i="17"/>
  <c r="CC42" i="17"/>
  <c r="CB42" i="17"/>
  <c r="CA42" i="17"/>
  <c r="BZ42" i="17"/>
  <c r="BX42" i="17"/>
  <c r="BW42" i="17"/>
  <c r="BV42" i="17"/>
  <c r="BU42" i="17"/>
  <c r="BS42" i="17"/>
  <c r="BR42" i="17"/>
  <c r="BQ42" i="17"/>
  <c r="BP42" i="17"/>
  <c r="BO42" i="17"/>
  <c r="BN42" i="17"/>
  <c r="BM42" i="17"/>
  <c r="AL42" i="17"/>
  <c r="AJ42" i="17"/>
  <c r="KG41" i="17"/>
  <c r="KB41" i="17"/>
  <c r="KA41" i="17"/>
  <c r="JZ41" i="17"/>
  <c r="JY41" i="17"/>
  <c r="JV41" i="17"/>
  <c r="JU41" i="17"/>
  <c r="JS41" i="17"/>
  <c r="JQ41" i="17"/>
  <c r="JP41" i="17"/>
  <c r="JO41" i="17"/>
  <c r="JN41" i="17"/>
  <c r="HF41" i="17"/>
  <c r="HE41" i="17"/>
  <c r="GV41" i="17"/>
  <c r="GU41" i="17"/>
  <c r="GT41" i="17"/>
  <c r="GS41" i="17"/>
  <c r="GL41" i="17"/>
  <c r="GK41" i="17"/>
  <c r="GJ41" i="17"/>
  <c r="GI41" i="17"/>
  <c r="GH41" i="17"/>
  <c r="GG41" i="17"/>
  <c r="GF41" i="17"/>
  <c r="GE41" i="17"/>
  <c r="GD41" i="17"/>
  <c r="GC41" i="17"/>
  <c r="GB41" i="17"/>
  <c r="GA41" i="17"/>
  <c r="FZ41" i="17"/>
  <c r="FY41" i="17"/>
  <c r="FT41" i="17"/>
  <c r="FS41" i="17"/>
  <c r="FP41" i="17"/>
  <c r="FO41" i="17"/>
  <c r="FQ41" i="17" s="1"/>
  <c r="FN41" i="17"/>
  <c r="FK41" i="17"/>
  <c r="FJ41" i="17"/>
  <c r="FI41" i="17"/>
  <c r="FF41" i="17"/>
  <c r="FE41" i="17"/>
  <c r="FG41" i="17" s="1"/>
  <c r="FH41" i="17" s="1"/>
  <c r="FC41" i="17"/>
  <c r="EZ41" i="17"/>
  <c r="EY41" i="17"/>
  <c r="EU41" i="17"/>
  <c r="ET41" i="17"/>
  <c r="ES41" i="17"/>
  <c r="ER41" i="17"/>
  <c r="EJ41" i="17"/>
  <c r="EF41" i="17"/>
  <c r="ED41" i="17"/>
  <c r="EH41" i="17" s="1"/>
  <c r="EB41" i="17"/>
  <c r="EA41" i="17"/>
  <c r="DZ41" i="17"/>
  <c r="DY41" i="17"/>
  <c r="DX41" i="17"/>
  <c r="DV41" i="17"/>
  <c r="DU41" i="17"/>
  <c r="DT41" i="17"/>
  <c r="DS41" i="17"/>
  <c r="DR41" i="17"/>
  <c r="DP41" i="17"/>
  <c r="DO41" i="17"/>
  <c r="DN41" i="17"/>
  <c r="DM41" i="17"/>
  <c r="DL41" i="17"/>
  <c r="DK41" i="17"/>
  <c r="DJ41" i="17"/>
  <c r="DI41" i="17"/>
  <c r="DH41" i="17"/>
  <c r="DF41" i="17"/>
  <c r="DE41" i="17"/>
  <c r="DD41" i="17"/>
  <c r="CX41" i="17"/>
  <c r="CW41" i="17"/>
  <c r="CV41" i="17"/>
  <c r="CT41" i="17"/>
  <c r="CQ41" i="17"/>
  <c r="CP41" i="17"/>
  <c r="CO41" i="17"/>
  <c r="CN41" i="17"/>
  <c r="CM41" i="17"/>
  <c r="CL41" i="17"/>
  <c r="CK41" i="17"/>
  <c r="CJ41" i="17"/>
  <c r="CH41" i="17"/>
  <c r="CG41" i="17"/>
  <c r="CF41" i="17"/>
  <c r="CE41" i="17"/>
  <c r="CD41" i="17"/>
  <c r="CC41" i="17"/>
  <c r="CB41" i="17"/>
  <c r="CA41" i="17"/>
  <c r="BZ41" i="17"/>
  <c r="BX41" i="17"/>
  <c r="BW41" i="17"/>
  <c r="BV41" i="17"/>
  <c r="BU41" i="17"/>
  <c r="BS41" i="17"/>
  <c r="BR41" i="17"/>
  <c r="BQ41" i="17"/>
  <c r="BP41" i="17"/>
  <c r="BO41" i="17"/>
  <c r="BN41" i="17"/>
  <c r="BM41" i="17"/>
  <c r="AL41" i="17"/>
  <c r="AJ41" i="17"/>
  <c r="KG40" i="17"/>
  <c r="KB40" i="17"/>
  <c r="KA40" i="17"/>
  <c r="JZ40" i="17"/>
  <c r="JY40" i="17"/>
  <c r="JV40" i="17"/>
  <c r="JU40" i="17"/>
  <c r="JS40" i="17"/>
  <c r="JQ40" i="17"/>
  <c r="JP40" i="17"/>
  <c r="JO40" i="17"/>
  <c r="JN40" i="17"/>
  <c r="HF40" i="17"/>
  <c r="HE40" i="17"/>
  <c r="GV40" i="17"/>
  <c r="GU40" i="17"/>
  <c r="GT40" i="17"/>
  <c r="GS40" i="17"/>
  <c r="GL40" i="17"/>
  <c r="GK40" i="17"/>
  <c r="GJ40" i="17"/>
  <c r="GI40" i="17"/>
  <c r="GH40" i="17"/>
  <c r="GG40" i="17"/>
  <c r="GF40" i="17"/>
  <c r="GE40" i="17"/>
  <c r="GD40" i="17"/>
  <c r="GC40" i="17"/>
  <c r="GB40" i="17"/>
  <c r="GA40" i="17"/>
  <c r="FZ40" i="17"/>
  <c r="FY40" i="17"/>
  <c r="FT40" i="17"/>
  <c r="FS40" i="17"/>
  <c r="FP40" i="17"/>
  <c r="FO40" i="17"/>
  <c r="FQ40" i="17" s="1"/>
  <c r="FN40" i="17"/>
  <c r="FK40" i="17"/>
  <c r="FJ40" i="17"/>
  <c r="FI40" i="17"/>
  <c r="FF40" i="17"/>
  <c r="FE40" i="17"/>
  <c r="FG40" i="17" s="1"/>
  <c r="FH40" i="17" s="1"/>
  <c r="FC40" i="17"/>
  <c r="EZ40" i="17"/>
  <c r="EY40" i="17"/>
  <c r="EU40" i="17"/>
  <c r="ET40" i="17"/>
  <c r="ES40" i="17"/>
  <c r="ER40" i="17"/>
  <c r="EJ40" i="17"/>
  <c r="EF40" i="17"/>
  <c r="ED40" i="17"/>
  <c r="EH40" i="17" s="1"/>
  <c r="EB40" i="17"/>
  <c r="EA40" i="17"/>
  <c r="DZ40" i="17"/>
  <c r="DY40" i="17"/>
  <c r="DX40" i="17"/>
  <c r="DV40" i="17"/>
  <c r="DU40" i="17"/>
  <c r="DT40" i="17"/>
  <c r="DS40" i="17"/>
  <c r="DR40" i="17"/>
  <c r="DP40" i="17"/>
  <c r="DO40" i="17"/>
  <c r="DN40" i="17"/>
  <c r="DM40" i="17"/>
  <c r="DL40" i="17"/>
  <c r="DK40" i="17"/>
  <c r="DJ40" i="17"/>
  <c r="DI40" i="17"/>
  <c r="DH40" i="17"/>
  <c r="DF40" i="17"/>
  <c r="DE40" i="17"/>
  <c r="DD40" i="17"/>
  <c r="CX40" i="17"/>
  <c r="CW40" i="17"/>
  <c r="CV40" i="17"/>
  <c r="CT40" i="17"/>
  <c r="CQ40" i="17"/>
  <c r="CP40" i="17"/>
  <c r="JR40" i="17" s="1"/>
  <c r="CO40" i="17"/>
  <c r="CN40" i="17"/>
  <c r="CR40" i="17" s="1"/>
  <c r="CS40" i="17" s="1"/>
  <c r="CY40" i="17" s="1"/>
  <c r="CM40" i="17"/>
  <c r="CL40" i="17"/>
  <c r="CK40" i="17"/>
  <c r="CJ40" i="17"/>
  <c r="CH40" i="17"/>
  <c r="CG40" i="17"/>
  <c r="CF40" i="17"/>
  <c r="CE40" i="17"/>
  <c r="CD40" i="17"/>
  <c r="CC40" i="17"/>
  <c r="CB40" i="17"/>
  <c r="CA40" i="17"/>
  <c r="BZ40" i="17"/>
  <c r="BX40" i="17"/>
  <c r="BW40" i="17"/>
  <c r="BV40" i="17"/>
  <c r="BU40" i="17"/>
  <c r="BS40" i="17"/>
  <c r="BR40" i="17"/>
  <c r="BQ40" i="17"/>
  <c r="BP40" i="17"/>
  <c r="BO40" i="17"/>
  <c r="BN40" i="17"/>
  <c r="BM40" i="17"/>
  <c r="AL40" i="17"/>
  <c r="AJ40" i="17"/>
  <c r="KG39" i="17"/>
  <c r="KB39" i="17"/>
  <c r="KA39" i="17"/>
  <c r="JZ39" i="17"/>
  <c r="JY39" i="17"/>
  <c r="JV39" i="17"/>
  <c r="JU39" i="17"/>
  <c r="JS39" i="17"/>
  <c r="JQ39" i="17"/>
  <c r="JP39" i="17"/>
  <c r="JO39" i="17"/>
  <c r="JN39" i="17"/>
  <c r="HF39" i="17"/>
  <c r="HE39" i="17"/>
  <c r="GV39" i="17"/>
  <c r="GU39" i="17"/>
  <c r="GT39" i="17"/>
  <c r="GS39" i="17"/>
  <c r="GL39" i="17"/>
  <c r="GK39" i="17"/>
  <c r="GJ39" i="17"/>
  <c r="GI39" i="17"/>
  <c r="GH39" i="17"/>
  <c r="GG39" i="17"/>
  <c r="GF39" i="17"/>
  <c r="GE39" i="17"/>
  <c r="GD39" i="17"/>
  <c r="GC39" i="17"/>
  <c r="GB39" i="17"/>
  <c r="GA39" i="17"/>
  <c r="FZ39" i="17"/>
  <c r="FY39" i="17"/>
  <c r="FT39" i="17"/>
  <c r="FS39" i="17"/>
  <c r="FP39" i="17"/>
  <c r="FO39" i="17"/>
  <c r="FQ39" i="17" s="1"/>
  <c r="FN39" i="17"/>
  <c r="FK39" i="17"/>
  <c r="FJ39" i="17"/>
  <c r="FI39" i="17"/>
  <c r="FF39" i="17"/>
  <c r="FE39" i="17"/>
  <c r="FG39" i="17" s="1"/>
  <c r="FH39" i="17" s="1"/>
  <c r="FC39" i="17"/>
  <c r="EZ39" i="17"/>
  <c r="EY39" i="17"/>
  <c r="EU39" i="17"/>
  <c r="ET39" i="17"/>
  <c r="ES39" i="17"/>
  <c r="ER39" i="17"/>
  <c r="EJ39" i="17"/>
  <c r="EF39" i="17"/>
  <c r="ED39" i="17"/>
  <c r="EH39" i="17" s="1"/>
  <c r="EB39" i="17"/>
  <c r="EA39" i="17"/>
  <c r="DZ39" i="17"/>
  <c r="DY39" i="17"/>
  <c r="DX39" i="17"/>
  <c r="DV39" i="17"/>
  <c r="DU39" i="17"/>
  <c r="DT39" i="17"/>
  <c r="DS39" i="17"/>
  <c r="DR39" i="17"/>
  <c r="DP39" i="17"/>
  <c r="DO39" i="17"/>
  <c r="DN39" i="17"/>
  <c r="DM39" i="17"/>
  <c r="DL39" i="17"/>
  <c r="DK39" i="17"/>
  <c r="DJ39" i="17"/>
  <c r="DI39" i="17"/>
  <c r="DH39" i="17"/>
  <c r="DF39" i="17"/>
  <c r="DE39" i="17"/>
  <c r="DD39" i="17"/>
  <c r="CX39" i="17"/>
  <c r="CW39" i="17"/>
  <c r="CV39" i="17"/>
  <c r="CT39" i="17"/>
  <c r="CQ39" i="17"/>
  <c r="CP39" i="17"/>
  <c r="CO39" i="17"/>
  <c r="CN39" i="17"/>
  <c r="CM39" i="17"/>
  <c r="CL39" i="17"/>
  <c r="CK39" i="17"/>
  <c r="CJ39" i="17"/>
  <c r="CH39" i="17"/>
  <c r="CG39" i="17"/>
  <c r="CF39" i="17"/>
  <c r="CE39" i="17"/>
  <c r="CD39" i="17"/>
  <c r="CC39" i="17"/>
  <c r="CB39" i="17"/>
  <c r="CA39" i="17"/>
  <c r="BZ39" i="17"/>
  <c r="BX39" i="17"/>
  <c r="BW39" i="17"/>
  <c r="BV39" i="17"/>
  <c r="BU39" i="17"/>
  <c r="BS39" i="17"/>
  <c r="BR39" i="17"/>
  <c r="BQ39" i="17"/>
  <c r="BP39" i="17"/>
  <c r="BO39" i="17"/>
  <c r="BN39" i="17"/>
  <c r="BM39" i="17"/>
  <c r="AL39" i="17"/>
  <c r="AJ39" i="17"/>
  <c r="KG38" i="17"/>
  <c r="KB38" i="17"/>
  <c r="KA38" i="17"/>
  <c r="JZ38" i="17"/>
  <c r="JY38" i="17"/>
  <c r="JV38" i="17"/>
  <c r="JU38" i="17"/>
  <c r="JS38" i="17"/>
  <c r="JQ38" i="17"/>
  <c r="JP38" i="17"/>
  <c r="JO38" i="17"/>
  <c r="JN38" i="17"/>
  <c r="HF38" i="17"/>
  <c r="HE38" i="17"/>
  <c r="GV38" i="17"/>
  <c r="GU38" i="17"/>
  <c r="GT38" i="17"/>
  <c r="GS38" i="17"/>
  <c r="GL38" i="17"/>
  <c r="GK38" i="17"/>
  <c r="GJ38" i="17"/>
  <c r="GI38" i="17"/>
  <c r="GH38" i="17"/>
  <c r="GG38" i="17"/>
  <c r="GF38" i="17"/>
  <c r="GE38" i="17"/>
  <c r="GD38" i="17"/>
  <c r="GC38" i="17"/>
  <c r="GB38" i="17"/>
  <c r="GA38" i="17"/>
  <c r="FZ38" i="17"/>
  <c r="FY38" i="17"/>
  <c r="FT38" i="17"/>
  <c r="FS38" i="17"/>
  <c r="FP38" i="17"/>
  <c r="FO38" i="17"/>
  <c r="FQ38" i="17" s="1"/>
  <c r="FN38" i="17"/>
  <c r="FK38" i="17"/>
  <c r="FJ38" i="17"/>
  <c r="FI38" i="17"/>
  <c r="FF38" i="17"/>
  <c r="FE38" i="17"/>
  <c r="FG38" i="17" s="1"/>
  <c r="FH38" i="17" s="1"/>
  <c r="FC38" i="17"/>
  <c r="EZ38" i="17"/>
  <c r="EY38" i="17"/>
  <c r="EU38" i="17"/>
  <c r="ET38" i="17"/>
  <c r="ES38" i="17"/>
  <c r="ER38" i="17"/>
  <c r="EJ38" i="17"/>
  <c r="EF38" i="17"/>
  <c r="ED38" i="17"/>
  <c r="EH38" i="17" s="1"/>
  <c r="EB38" i="17"/>
  <c r="EA38" i="17"/>
  <c r="DZ38" i="17"/>
  <c r="DY38" i="17"/>
  <c r="DX38" i="17"/>
  <c r="DV38" i="17"/>
  <c r="DU38" i="17"/>
  <c r="DT38" i="17"/>
  <c r="DS38" i="17"/>
  <c r="DR38" i="17"/>
  <c r="DP38" i="17"/>
  <c r="DO38" i="17"/>
  <c r="DN38" i="17"/>
  <c r="DM38" i="17"/>
  <c r="DL38" i="17"/>
  <c r="DK38" i="17"/>
  <c r="DJ38" i="17"/>
  <c r="DI38" i="17"/>
  <c r="DH38" i="17"/>
  <c r="DF38" i="17"/>
  <c r="DE38" i="17"/>
  <c r="DD38" i="17"/>
  <c r="CX38" i="17"/>
  <c r="CW38" i="17"/>
  <c r="CV38" i="17"/>
  <c r="CT38" i="17"/>
  <c r="CQ38" i="17"/>
  <c r="CP38" i="17"/>
  <c r="JR38" i="17" s="1"/>
  <c r="CO38" i="17"/>
  <c r="CN38" i="17"/>
  <c r="CR38" i="17" s="1"/>
  <c r="CS38" i="17" s="1"/>
  <c r="CY38" i="17" s="1"/>
  <c r="CM38" i="17"/>
  <c r="CL38" i="17"/>
  <c r="CK38" i="17"/>
  <c r="CJ38" i="17"/>
  <c r="CH38" i="17"/>
  <c r="CG38" i="17"/>
  <c r="CF38" i="17"/>
  <c r="CE38" i="17"/>
  <c r="CD38" i="17"/>
  <c r="CC38" i="17"/>
  <c r="CB38" i="17"/>
  <c r="CA38" i="17"/>
  <c r="BZ38" i="17"/>
  <c r="BX38" i="17"/>
  <c r="BW38" i="17"/>
  <c r="BV38" i="17"/>
  <c r="BU38" i="17"/>
  <c r="BS38" i="17"/>
  <c r="BR38" i="17"/>
  <c r="BQ38" i="17"/>
  <c r="BP38" i="17"/>
  <c r="BO38" i="17"/>
  <c r="BN38" i="17"/>
  <c r="BM38" i="17"/>
  <c r="AL38" i="17"/>
  <c r="AJ38" i="17"/>
  <c r="KG37" i="17"/>
  <c r="KB37" i="17"/>
  <c r="KA37" i="17"/>
  <c r="JZ37" i="17"/>
  <c r="JY37" i="17"/>
  <c r="JV37" i="17"/>
  <c r="JU37" i="17"/>
  <c r="JS37" i="17"/>
  <c r="JQ37" i="17"/>
  <c r="JP37" i="17"/>
  <c r="JO37" i="17"/>
  <c r="JN37" i="17"/>
  <c r="HF37" i="17"/>
  <c r="HE37" i="17"/>
  <c r="GV37" i="17"/>
  <c r="GU37" i="17"/>
  <c r="GT37" i="17"/>
  <c r="GS37" i="17"/>
  <c r="GL37" i="17"/>
  <c r="GK37" i="17"/>
  <c r="GJ37" i="17"/>
  <c r="GI37" i="17"/>
  <c r="GH37" i="17"/>
  <c r="GG37" i="17"/>
  <c r="GF37" i="17"/>
  <c r="GE37" i="17"/>
  <c r="GD37" i="17"/>
  <c r="GC37" i="17"/>
  <c r="GB37" i="17"/>
  <c r="GA37" i="17"/>
  <c r="FZ37" i="17"/>
  <c r="FY37" i="17"/>
  <c r="FT37" i="17"/>
  <c r="FS37" i="17"/>
  <c r="FP37" i="17"/>
  <c r="FO37" i="17"/>
  <c r="FQ37" i="17" s="1"/>
  <c r="FN37" i="17"/>
  <c r="FK37" i="17"/>
  <c r="FJ37" i="17"/>
  <c r="FI37" i="17"/>
  <c r="FF37" i="17"/>
  <c r="FE37" i="17"/>
  <c r="FG37" i="17" s="1"/>
  <c r="FH37" i="17" s="1"/>
  <c r="FC37" i="17"/>
  <c r="EZ37" i="17"/>
  <c r="EY37" i="17"/>
  <c r="EU37" i="17"/>
  <c r="ET37" i="17"/>
  <c r="ES37" i="17"/>
  <c r="ER37" i="17"/>
  <c r="EJ37" i="17"/>
  <c r="EF37" i="17"/>
  <c r="ED37" i="17"/>
  <c r="EH37" i="17" s="1"/>
  <c r="EB37" i="17"/>
  <c r="EA37" i="17"/>
  <c r="DZ37" i="17"/>
  <c r="DY37" i="17"/>
  <c r="DX37" i="17"/>
  <c r="DV37" i="17"/>
  <c r="DU37" i="17"/>
  <c r="DT37" i="17"/>
  <c r="DS37" i="17"/>
  <c r="DR37" i="17"/>
  <c r="DP37" i="17"/>
  <c r="DO37" i="17"/>
  <c r="DN37" i="17"/>
  <c r="DM37" i="17"/>
  <c r="DL37" i="17"/>
  <c r="DK37" i="17"/>
  <c r="DJ37" i="17"/>
  <c r="DI37" i="17"/>
  <c r="DH37" i="17"/>
  <c r="DF37" i="17"/>
  <c r="DE37" i="17"/>
  <c r="DD37" i="17"/>
  <c r="CX37" i="17"/>
  <c r="CW37" i="17"/>
  <c r="CV37" i="17"/>
  <c r="CT37" i="17"/>
  <c r="CQ37" i="17"/>
  <c r="CP37" i="17"/>
  <c r="CO37" i="17"/>
  <c r="CN37" i="17"/>
  <c r="CM37" i="17"/>
  <c r="CL37" i="17"/>
  <c r="CK37" i="17"/>
  <c r="CJ37" i="17"/>
  <c r="CH37" i="17"/>
  <c r="CG37" i="17"/>
  <c r="CF37" i="17"/>
  <c r="CE37" i="17"/>
  <c r="CD37" i="17"/>
  <c r="CC37" i="17"/>
  <c r="CB37" i="17"/>
  <c r="CA37" i="17"/>
  <c r="BZ37" i="17"/>
  <c r="BX37" i="17"/>
  <c r="BW37" i="17"/>
  <c r="BV37" i="17"/>
  <c r="BU37" i="17"/>
  <c r="BS37" i="17"/>
  <c r="BR37" i="17"/>
  <c r="BQ37" i="17"/>
  <c r="BP37" i="17"/>
  <c r="BO37" i="17"/>
  <c r="BN37" i="17"/>
  <c r="BM37" i="17"/>
  <c r="AL37" i="17"/>
  <c r="AJ37" i="17"/>
  <c r="KG36" i="17"/>
  <c r="KB36" i="17"/>
  <c r="KA36" i="17"/>
  <c r="JZ36" i="17"/>
  <c r="JY36" i="17"/>
  <c r="JV36" i="17"/>
  <c r="JU36" i="17"/>
  <c r="JS36" i="17"/>
  <c r="JQ36" i="17"/>
  <c r="JP36" i="17"/>
  <c r="JO36" i="17"/>
  <c r="JN36" i="17"/>
  <c r="HF36" i="17"/>
  <c r="HE36" i="17"/>
  <c r="GV36" i="17"/>
  <c r="GU36" i="17"/>
  <c r="GT36" i="17"/>
  <c r="GS36" i="17"/>
  <c r="GL36" i="17"/>
  <c r="GK36" i="17"/>
  <c r="GJ36" i="17"/>
  <c r="GI36" i="17"/>
  <c r="GH36" i="17"/>
  <c r="GG36" i="17"/>
  <c r="GF36" i="17"/>
  <c r="GE36" i="17"/>
  <c r="GD36" i="17"/>
  <c r="GC36" i="17"/>
  <c r="GB36" i="17"/>
  <c r="GA36" i="17"/>
  <c r="FZ36" i="17"/>
  <c r="FY36" i="17"/>
  <c r="FT36" i="17"/>
  <c r="FS36" i="17"/>
  <c r="FP36" i="17"/>
  <c r="FO36" i="17"/>
  <c r="FQ36" i="17" s="1"/>
  <c r="FN36" i="17"/>
  <c r="FK36" i="17"/>
  <c r="FJ36" i="17"/>
  <c r="FI36" i="17"/>
  <c r="FF36" i="17"/>
  <c r="FE36" i="17"/>
  <c r="FG36" i="17" s="1"/>
  <c r="FH36" i="17" s="1"/>
  <c r="FC36" i="17"/>
  <c r="EZ36" i="17"/>
  <c r="EY36" i="17"/>
  <c r="EU36" i="17"/>
  <c r="ET36" i="17"/>
  <c r="ES36" i="17"/>
  <c r="ER36" i="17"/>
  <c r="EJ36" i="17"/>
  <c r="EF36" i="17"/>
  <c r="ED36" i="17"/>
  <c r="EH36" i="17" s="1"/>
  <c r="EB36" i="17"/>
  <c r="EA36" i="17"/>
  <c r="DZ36" i="17"/>
  <c r="DY36" i="17"/>
  <c r="DX36" i="17"/>
  <c r="DV36" i="17"/>
  <c r="DU36" i="17"/>
  <c r="DT36" i="17"/>
  <c r="DS36" i="17"/>
  <c r="DR36" i="17"/>
  <c r="DP36" i="17"/>
  <c r="DO36" i="17"/>
  <c r="DN36" i="17"/>
  <c r="DM36" i="17"/>
  <c r="DL36" i="17"/>
  <c r="DK36" i="17"/>
  <c r="DJ36" i="17"/>
  <c r="DI36" i="17"/>
  <c r="DH36" i="17"/>
  <c r="DF36" i="17"/>
  <c r="DE36" i="17"/>
  <c r="DD36" i="17"/>
  <c r="CX36" i="17"/>
  <c r="CW36" i="17"/>
  <c r="CV36" i="17"/>
  <c r="CT36" i="17"/>
  <c r="CQ36" i="17"/>
  <c r="CP36" i="17"/>
  <c r="JR36" i="17" s="1"/>
  <c r="CO36" i="17"/>
  <c r="CN36" i="17"/>
  <c r="CR36" i="17" s="1"/>
  <c r="CS36" i="17" s="1"/>
  <c r="CY36" i="17" s="1"/>
  <c r="CM36" i="17"/>
  <c r="CL36" i="17"/>
  <c r="CK36" i="17"/>
  <c r="CJ36" i="17"/>
  <c r="CH36" i="17"/>
  <c r="CG36" i="17"/>
  <c r="CF36" i="17"/>
  <c r="CE36" i="17"/>
  <c r="CD36" i="17"/>
  <c r="CC36" i="17"/>
  <c r="CB36" i="17"/>
  <c r="CA36" i="17"/>
  <c r="BZ36" i="17"/>
  <c r="BX36" i="17"/>
  <c r="BW36" i="17"/>
  <c r="BV36" i="17"/>
  <c r="BU36" i="17"/>
  <c r="BS36" i="17"/>
  <c r="BR36" i="17"/>
  <c r="BQ36" i="17"/>
  <c r="BP36" i="17"/>
  <c r="BO36" i="17"/>
  <c r="BN36" i="17"/>
  <c r="BM36" i="17"/>
  <c r="AL36" i="17"/>
  <c r="AJ36" i="17"/>
  <c r="KG35" i="17"/>
  <c r="KB35" i="17"/>
  <c r="KA35" i="17"/>
  <c r="JZ35" i="17"/>
  <c r="JY35" i="17"/>
  <c r="JV35" i="17"/>
  <c r="JU35" i="17"/>
  <c r="JS35" i="17"/>
  <c r="JQ35" i="17"/>
  <c r="JP35" i="17"/>
  <c r="JO35" i="17"/>
  <c r="JN35" i="17"/>
  <c r="HF35" i="17"/>
  <c r="HE35" i="17"/>
  <c r="GV35" i="17"/>
  <c r="GU35" i="17"/>
  <c r="GT35" i="17"/>
  <c r="GS35" i="17"/>
  <c r="GL35" i="17"/>
  <c r="GK35" i="17"/>
  <c r="GJ35" i="17"/>
  <c r="GI35" i="17"/>
  <c r="GH35" i="17"/>
  <c r="GG35" i="17"/>
  <c r="GF35" i="17"/>
  <c r="GE35" i="17"/>
  <c r="GD35" i="17"/>
  <c r="GC35" i="17"/>
  <c r="GB35" i="17"/>
  <c r="GA35" i="17"/>
  <c r="FZ35" i="17"/>
  <c r="FY35" i="17"/>
  <c r="FT35" i="17"/>
  <c r="FS35" i="17"/>
  <c r="FP35" i="17"/>
  <c r="FO35" i="17"/>
  <c r="FQ35" i="17" s="1"/>
  <c r="FN35" i="17"/>
  <c r="FK35" i="17"/>
  <c r="FJ35" i="17"/>
  <c r="FI35" i="17"/>
  <c r="FF35" i="17"/>
  <c r="FE35" i="17"/>
  <c r="FG35" i="17" s="1"/>
  <c r="FH35" i="17" s="1"/>
  <c r="FC35" i="17"/>
  <c r="EZ35" i="17"/>
  <c r="EY35" i="17"/>
  <c r="EU35" i="17"/>
  <c r="ET35" i="17"/>
  <c r="ES35" i="17"/>
  <c r="ER35" i="17"/>
  <c r="EJ35" i="17"/>
  <c r="EF35" i="17"/>
  <c r="ED35" i="17"/>
  <c r="EH35" i="17" s="1"/>
  <c r="EB35" i="17"/>
  <c r="EA35" i="17"/>
  <c r="DZ35" i="17"/>
  <c r="DY35" i="17"/>
  <c r="DX35" i="17"/>
  <c r="DV35" i="17"/>
  <c r="DU35" i="17"/>
  <c r="DT35" i="17"/>
  <c r="DS35" i="17"/>
  <c r="DR35" i="17"/>
  <c r="DP35" i="17"/>
  <c r="DO35" i="17"/>
  <c r="DN35" i="17"/>
  <c r="DM35" i="17"/>
  <c r="DL35" i="17"/>
  <c r="DK35" i="17"/>
  <c r="DJ35" i="17"/>
  <c r="DI35" i="17"/>
  <c r="DH35" i="17"/>
  <c r="DF35" i="17"/>
  <c r="DE35" i="17"/>
  <c r="DD35" i="17"/>
  <c r="CX35" i="17"/>
  <c r="CW35" i="17"/>
  <c r="CV35" i="17"/>
  <c r="CT35" i="17"/>
  <c r="CQ35" i="17"/>
  <c r="CP35" i="17"/>
  <c r="CO35" i="17"/>
  <c r="CN35" i="17"/>
  <c r="CM35" i="17"/>
  <c r="CL35" i="17"/>
  <c r="CK35" i="17"/>
  <c r="CJ35" i="17"/>
  <c r="CH35" i="17"/>
  <c r="CG35" i="17"/>
  <c r="CF35" i="17"/>
  <c r="CE35" i="17"/>
  <c r="CD35" i="17"/>
  <c r="CC35" i="17"/>
  <c r="CB35" i="17"/>
  <c r="CA35" i="17"/>
  <c r="BZ35" i="17"/>
  <c r="BX35" i="17"/>
  <c r="BW35" i="17"/>
  <c r="BV35" i="17"/>
  <c r="BU35" i="17"/>
  <c r="BS35" i="17"/>
  <c r="BR35" i="17"/>
  <c r="BQ35" i="17"/>
  <c r="BP35" i="17"/>
  <c r="BO35" i="17"/>
  <c r="BN35" i="17"/>
  <c r="BM35" i="17"/>
  <c r="AL35" i="17"/>
  <c r="AJ35" i="17"/>
  <c r="KG34" i="17"/>
  <c r="KB34" i="17"/>
  <c r="KA34" i="17"/>
  <c r="JZ34" i="17"/>
  <c r="JY34" i="17"/>
  <c r="JV34" i="17"/>
  <c r="JU34" i="17"/>
  <c r="JS34" i="17"/>
  <c r="JQ34" i="17"/>
  <c r="JP34" i="17"/>
  <c r="JO34" i="17"/>
  <c r="JN34" i="17"/>
  <c r="HF34" i="17"/>
  <c r="HE34" i="17"/>
  <c r="GV34" i="17"/>
  <c r="GU34" i="17"/>
  <c r="GT34" i="17"/>
  <c r="GS34" i="17"/>
  <c r="GL34" i="17"/>
  <c r="GK34" i="17"/>
  <c r="GJ34" i="17"/>
  <c r="GI34" i="17"/>
  <c r="GH34" i="17"/>
  <c r="GG34" i="17"/>
  <c r="GF34" i="17"/>
  <c r="GE34" i="17"/>
  <c r="GD34" i="17"/>
  <c r="GC34" i="17"/>
  <c r="GB34" i="17"/>
  <c r="GA34" i="17"/>
  <c r="FZ34" i="17"/>
  <c r="FY34" i="17"/>
  <c r="FT34" i="17"/>
  <c r="FS34" i="17"/>
  <c r="FP34" i="17"/>
  <c r="FO34" i="17"/>
  <c r="FQ34" i="17" s="1"/>
  <c r="FN34" i="17"/>
  <c r="FK34" i="17"/>
  <c r="FJ34" i="17"/>
  <c r="FI34" i="17"/>
  <c r="FF34" i="17"/>
  <c r="FE34" i="17"/>
  <c r="FG34" i="17" s="1"/>
  <c r="FH34" i="17" s="1"/>
  <c r="FC34" i="17"/>
  <c r="EZ34" i="17"/>
  <c r="EY34" i="17"/>
  <c r="EU34" i="17"/>
  <c r="ET34" i="17"/>
  <c r="ES34" i="17"/>
  <c r="ER34" i="17"/>
  <c r="EJ34" i="17"/>
  <c r="EF34" i="17"/>
  <c r="ED34" i="17"/>
  <c r="EH34" i="17" s="1"/>
  <c r="EB34" i="17"/>
  <c r="EA34" i="17"/>
  <c r="DZ34" i="17"/>
  <c r="DY34" i="17"/>
  <c r="DX34" i="17"/>
  <c r="DV34" i="17"/>
  <c r="DU34" i="17"/>
  <c r="DT34" i="17"/>
  <c r="DS34" i="17"/>
  <c r="DR34" i="17"/>
  <c r="DP34" i="17"/>
  <c r="DO34" i="17"/>
  <c r="DN34" i="17"/>
  <c r="DM34" i="17"/>
  <c r="DL34" i="17"/>
  <c r="DK34" i="17"/>
  <c r="DJ34" i="17"/>
  <c r="DI34" i="17"/>
  <c r="DH34" i="17"/>
  <c r="DF34" i="17"/>
  <c r="DE34" i="17"/>
  <c r="DD34" i="17"/>
  <c r="CX34" i="17"/>
  <c r="CW34" i="17"/>
  <c r="CV34" i="17"/>
  <c r="CT34" i="17"/>
  <c r="CQ34" i="17"/>
  <c r="CP34" i="17"/>
  <c r="JR34" i="17" s="1"/>
  <c r="CO34" i="17"/>
  <c r="CN34" i="17"/>
  <c r="CR34" i="17" s="1"/>
  <c r="CS34" i="17" s="1"/>
  <c r="CY34" i="17" s="1"/>
  <c r="CM34" i="17"/>
  <c r="CL34" i="17"/>
  <c r="CK34" i="17"/>
  <c r="CJ34" i="17"/>
  <c r="CH34" i="17"/>
  <c r="CG34" i="17"/>
  <c r="CF34" i="17"/>
  <c r="CE34" i="17"/>
  <c r="CD34" i="17"/>
  <c r="CC34" i="17"/>
  <c r="CB34" i="17"/>
  <c r="CA34" i="17"/>
  <c r="BZ34" i="17"/>
  <c r="BX34" i="17"/>
  <c r="BW34" i="17"/>
  <c r="BV34" i="17"/>
  <c r="BU34" i="17"/>
  <c r="BS34" i="17"/>
  <c r="BR34" i="17"/>
  <c r="BQ34" i="17"/>
  <c r="BP34" i="17"/>
  <c r="BO34" i="17"/>
  <c r="BN34" i="17"/>
  <c r="BM34" i="17"/>
  <c r="AL34" i="17"/>
  <c r="AJ34" i="17"/>
  <c r="KG33" i="17"/>
  <c r="KB33" i="17"/>
  <c r="KA33" i="17"/>
  <c r="JZ33" i="17"/>
  <c r="JY33" i="17"/>
  <c r="JV33" i="17"/>
  <c r="JU33" i="17"/>
  <c r="JS33" i="17"/>
  <c r="JQ33" i="17"/>
  <c r="JP33" i="17"/>
  <c r="JO33" i="17"/>
  <c r="JN33" i="17"/>
  <c r="HF33" i="17"/>
  <c r="HE33" i="17"/>
  <c r="GV33" i="17"/>
  <c r="GU33" i="17"/>
  <c r="GT33" i="17"/>
  <c r="GS33" i="17"/>
  <c r="GL33" i="17"/>
  <c r="GK33" i="17"/>
  <c r="GJ33" i="17"/>
  <c r="GI33" i="17"/>
  <c r="GH33" i="17"/>
  <c r="GG33" i="17"/>
  <c r="GF33" i="17"/>
  <c r="GE33" i="17"/>
  <c r="GD33" i="17"/>
  <c r="GC33" i="17"/>
  <c r="GB33" i="17"/>
  <c r="GA33" i="17"/>
  <c r="FZ33" i="17"/>
  <c r="FY33" i="17"/>
  <c r="FT33" i="17"/>
  <c r="FS33" i="17"/>
  <c r="FP33" i="17"/>
  <c r="FO33" i="17"/>
  <c r="FQ33" i="17" s="1"/>
  <c r="FN33" i="17"/>
  <c r="FK33" i="17"/>
  <c r="FJ33" i="17"/>
  <c r="FI33" i="17"/>
  <c r="FF33" i="17"/>
  <c r="FE33" i="17"/>
  <c r="FG33" i="17" s="1"/>
  <c r="FH33" i="17" s="1"/>
  <c r="FC33" i="17"/>
  <c r="EZ33" i="17"/>
  <c r="EY33" i="17"/>
  <c r="EU33" i="17"/>
  <c r="ET33" i="17"/>
  <c r="ES33" i="17"/>
  <c r="ER33" i="17"/>
  <c r="EJ33" i="17"/>
  <c r="EF33" i="17"/>
  <c r="ED33" i="17"/>
  <c r="EH33" i="17" s="1"/>
  <c r="EB33" i="17"/>
  <c r="EA33" i="17"/>
  <c r="DZ33" i="17"/>
  <c r="DY33" i="17"/>
  <c r="DX33" i="17"/>
  <c r="DV33" i="17"/>
  <c r="DU33" i="17"/>
  <c r="DT33" i="17"/>
  <c r="DS33" i="17"/>
  <c r="DR33" i="17"/>
  <c r="DP33" i="17"/>
  <c r="DO33" i="17"/>
  <c r="DN33" i="17"/>
  <c r="DM33" i="17"/>
  <c r="DL33" i="17"/>
  <c r="DK33" i="17"/>
  <c r="DJ33" i="17"/>
  <c r="DI33" i="17"/>
  <c r="DH33" i="17"/>
  <c r="DF33" i="17"/>
  <c r="DE33" i="17"/>
  <c r="DD33" i="17"/>
  <c r="CX33" i="17"/>
  <c r="CW33" i="17"/>
  <c r="CV33" i="17"/>
  <c r="CT33" i="17"/>
  <c r="CQ33" i="17"/>
  <c r="CP33" i="17"/>
  <c r="CO33" i="17"/>
  <c r="CN33" i="17"/>
  <c r="CM33" i="17"/>
  <c r="CL33" i="17"/>
  <c r="CK33" i="17"/>
  <c r="CJ33" i="17"/>
  <c r="CH33" i="17"/>
  <c r="CG33" i="17"/>
  <c r="CF33" i="17"/>
  <c r="CE33" i="17"/>
  <c r="CD33" i="17"/>
  <c r="CC33" i="17"/>
  <c r="CB33" i="17"/>
  <c r="CA33" i="17"/>
  <c r="BZ33" i="17"/>
  <c r="BX33" i="17"/>
  <c r="BW33" i="17"/>
  <c r="BV33" i="17"/>
  <c r="BU33" i="17"/>
  <c r="BS33" i="17"/>
  <c r="BR33" i="17"/>
  <c r="BQ33" i="17"/>
  <c r="BP33" i="17"/>
  <c r="BO33" i="17"/>
  <c r="BN33" i="17"/>
  <c r="BM33" i="17"/>
  <c r="AL33" i="17"/>
  <c r="AJ33" i="17"/>
  <c r="KG32" i="17"/>
  <c r="KB32" i="17"/>
  <c r="KA32" i="17"/>
  <c r="JZ32" i="17"/>
  <c r="JY32" i="17"/>
  <c r="JV32" i="17"/>
  <c r="JU32" i="17"/>
  <c r="JS32" i="17"/>
  <c r="JQ32" i="17"/>
  <c r="JP32" i="17"/>
  <c r="JO32" i="17"/>
  <c r="JN32" i="17"/>
  <c r="HF32" i="17"/>
  <c r="HE32" i="17"/>
  <c r="GV32" i="17"/>
  <c r="GU32" i="17"/>
  <c r="GT32" i="17"/>
  <c r="GS32" i="17"/>
  <c r="GL32" i="17"/>
  <c r="GK32" i="17"/>
  <c r="GJ32" i="17"/>
  <c r="GI32" i="17"/>
  <c r="GH32" i="17"/>
  <c r="GG32" i="17"/>
  <c r="GF32" i="17"/>
  <c r="GE32" i="17"/>
  <c r="GD32" i="17"/>
  <c r="GC32" i="17"/>
  <c r="GB32" i="17"/>
  <c r="GA32" i="17"/>
  <c r="FZ32" i="17"/>
  <c r="FY32" i="17"/>
  <c r="FT32" i="17"/>
  <c r="FS32" i="17"/>
  <c r="FP32" i="17"/>
  <c r="FO32" i="17"/>
  <c r="FQ32" i="17" s="1"/>
  <c r="FN32" i="17"/>
  <c r="FK32" i="17"/>
  <c r="FJ32" i="17"/>
  <c r="FI32" i="17"/>
  <c r="FF32" i="17"/>
  <c r="FE32" i="17"/>
  <c r="FG32" i="17" s="1"/>
  <c r="FH32" i="17" s="1"/>
  <c r="FC32" i="17"/>
  <c r="EZ32" i="17"/>
  <c r="EY32" i="17"/>
  <c r="EU32" i="17"/>
  <c r="ET32" i="17"/>
  <c r="ES32" i="17"/>
  <c r="ER32" i="17"/>
  <c r="EJ32" i="17"/>
  <c r="EF32" i="17"/>
  <c r="ED32" i="17"/>
  <c r="EH32" i="17" s="1"/>
  <c r="EB32" i="17"/>
  <c r="EA32" i="17"/>
  <c r="DZ32" i="17"/>
  <c r="DY32" i="17"/>
  <c r="DX32" i="17"/>
  <c r="DV32" i="17"/>
  <c r="DU32" i="17"/>
  <c r="DT32" i="17"/>
  <c r="DS32" i="17"/>
  <c r="DR32" i="17"/>
  <c r="DP32" i="17"/>
  <c r="DO32" i="17"/>
  <c r="DN32" i="17"/>
  <c r="DM32" i="17"/>
  <c r="DL32" i="17"/>
  <c r="DK32" i="17"/>
  <c r="DJ32" i="17"/>
  <c r="DI32" i="17"/>
  <c r="DH32" i="17"/>
  <c r="DF32" i="17"/>
  <c r="DE32" i="17"/>
  <c r="DD32" i="17"/>
  <c r="CX32" i="17"/>
  <c r="CW32" i="17"/>
  <c r="CV32" i="17"/>
  <c r="CT32" i="17"/>
  <c r="CQ32" i="17"/>
  <c r="CP32" i="17"/>
  <c r="JR32" i="17" s="1"/>
  <c r="CO32" i="17"/>
  <c r="CN32" i="17"/>
  <c r="CR32" i="17" s="1"/>
  <c r="CS32" i="17" s="1"/>
  <c r="CY32" i="17" s="1"/>
  <c r="CM32" i="17"/>
  <c r="CL32" i="17"/>
  <c r="CK32" i="17"/>
  <c r="CJ32" i="17"/>
  <c r="CH32" i="17"/>
  <c r="CG32" i="17"/>
  <c r="CF32" i="17"/>
  <c r="CE32" i="17"/>
  <c r="CD32" i="17"/>
  <c r="CC32" i="17"/>
  <c r="CB32" i="17"/>
  <c r="CA32" i="17"/>
  <c r="BZ32" i="17"/>
  <c r="BX32" i="17"/>
  <c r="BW32" i="17"/>
  <c r="BV32" i="17"/>
  <c r="BU32" i="17"/>
  <c r="BS32" i="17"/>
  <c r="BR32" i="17"/>
  <c r="BQ32" i="17"/>
  <c r="BP32" i="17"/>
  <c r="BO32" i="17"/>
  <c r="BN32" i="17"/>
  <c r="BM32" i="17"/>
  <c r="AL32" i="17"/>
  <c r="AJ32" i="17"/>
  <c r="KG31" i="17"/>
  <c r="KB31" i="17"/>
  <c r="KA31" i="17"/>
  <c r="JZ31" i="17"/>
  <c r="JY31" i="17"/>
  <c r="JV31" i="17"/>
  <c r="JU31" i="17"/>
  <c r="JS31" i="17"/>
  <c r="JQ31" i="17"/>
  <c r="JP31" i="17"/>
  <c r="JO31" i="17"/>
  <c r="JN31" i="17"/>
  <c r="HF31" i="17"/>
  <c r="HE31" i="17"/>
  <c r="GV31" i="17"/>
  <c r="GU31" i="17"/>
  <c r="GT31" i="17"/>
  <c r="GS31" i="17"/>
  <c r="GL31" i="17"/>
  <c r="GK31" i="17"/>
  <c r="GJ31" i="17"/>
  <c r="GI31" i="17"/>
  <c r="GH31" i="17"/>
  <c r="GG31" i="17"/>
  <c r="GF31" i="17"/>
  <c r="GE31" i="17"/>
  <c r="GD31" i="17"/>
  <c r="GC31" i="17"/>
  <c r="GB31" i="17"/>
  <c r="GA31" i="17"/>
  <c r="FZ31" i="17"/>
  <c r="FY31" i="17"/>
  <c r="FT31" i="17"/>
  <c r="FS31" i="17"/>
  <c r="FP31" i="17"/>
  <c r="FO31" i="17"/>
  <c r="FQ31" i="17" s="1"/>
  <c r="FN31" i="17"/>
  <c r="FK31" i="17"/>
  <c r="FJ31" i="17"/>
  <c r="FI31" i="17"/>
  <c r="FF31" i="17"/>
  <c r="FE31" i="17"/>
  <c r="FG31" i="17" s="1"/>
  <c r="FH31" i="17" s="1"/>
  <c r="FC31" i="17"/>
  <c r="EZ31" i="17"/>
  <c r="EY31" i="17"/>
  <c r="EU31" i="17"/>
  <c r="ET31" i="17"/>
  <c r="ES31" i="17"/>
  <c r="ER31" i="17"/>
  <c r="EJ31" i="17"/>
  <c r="EF31" i="17"/>
  <c r="ED31" i="17"/>
  <c r="EH31" i="17" s="1"/>
  <c r="EB31" i="17"/>
  <c r="EA31" i="17"/>
  <c r="DZ31" i="17"/>
  <c r="DY31" i="17"/>
  <c r="DX31" i="17"/>
  <c r="DV31" i="17"/>
  <c r="DU31" i="17"/>
  <c r="DT31" i="17"/>
  <c r="DS31" i="17"/>
  <c r="DR31" i="17"/>
  <c r="DP31" i="17"/>
  <c r="DO31" i="17"/>
  <c r="DN31" i="17"/>
  <c r="DM31" i="17"/>
  <c r="DL31" i="17"/>
  <c r="DK31" i="17"/>
  <c r="DJ31" i="17"/>
  <c r="DI31" i="17"/>
  <c r="DH31" i="17"/>
  <c r="DF31" i="17"/>
  <c r="DE31" i="17"/>
  <c r="DD31" i="17"/>
  <c r="CX31" i="17"/>
  <c r="CW31" i="17"/>
  <c r="CV31" i="17"/>
  <c r="CT31" i="17"/>
  <c r="CQ31" i="17"/>
  <c r="CP31" i="17"/>
  <c r="CO31" i="17"/>
  <c r="CN31" i="17"/>
  <c r="CM31" i="17"/>
  <c r="CL31" i="17"/>
  <c r="CK31" i="17"/>
  <c r="CJ31" i="17"/>
  <c r="CH31" i="17"/>
  <c r="CG31" i="17"/>
  <c r="CF31" i="17"/>
  <c r="CE31" i="17"/>
  <c r="CD31" i="17"/>
  <c r="CC31" i="17"/>
  <c r="CB31" i="17"/>
  <c r="CA31" i="17"/>
  <c r="BZ31" i="17"/>
  <c r="BX31" i="17"/>
  <c r="BW31" i="17"/>
  <c r="BV31" i="17"/>
  <c r="BU31" i="17"/>
  <c r="BS31" i="17"/>
  <c r="BR31" i="17"/>
  <c r="BQ31" i="17"/>
  <c r="BP31" i="17"/>
  <c r="BO31" i="17"/>
  <c r="BN31" i="17"/>
  <c r="BM31" i="17"/>
  <c r="AL31" i="17"/>
  <c r="AJ31" i="17"/>
  <c r="KG30" i="17"/>
  <c r="KB30" i="17"/>
  <c r="KA30" i="17"/>
  <c r="JZ30" i="17"/>
  <c r="JY30" i="17"/>
  <c r="JV30" i="17"/>
  <c r="JU30" i="17"/>
  <c r="JS30" i="17"/>
  <c r="JQ30" i="17"/>
  <c r="JP30" i="17"/>
  <c r="JO30" i="17"/>
  <c r="JN30" i="17"/>
  <c r="HF30" i="17"/>
  <c r="HE30" i="17"/>
  <c r="GV30" i="17"/>
  <c r="GU30" i="17"/>
  <c r="GT30" i="17"/>
  <c r="GS30" i="17"/>
  <c r="GL30" i="17"/>
  <c r="GK30" i="17"/>
  <c r="GJ30" i="17"/>
  <c r="GI30" i="17"/>
  <c r="GH30" i="17"/>
  <c r="GG30" i="17"/>
  <c r="GF30" i="17"/>
  <c r="GE30" i="17"/>
  <c r="GD30" i="17"/>
  <c r="GC30" i="17"/>
  <c r="GB30" i="17"/>
  <c r="GA30" i="17"/>
  <c r="FZ30" i="17"/>
  <c r="FY30" i="17"/>
  <c r="FT30" i="17"/>
  <c r="FS30" i="17"/>
  <c r="FP30" i="17"/>
  <c r="FO30" i="17"/>
  <c r="FQ30" i="17" s="1"/>
  <c r="FN30" i="17"/>
  <c r="FK30" i="17"/>
  <c r="FJ30" i="17"/>
  <c r="FI30" i="17"/>
  <c r="FF30" i="17"/>
  <c r="FE30" i="17"/>
  <c r="FG30" i="17" s="1"/>
  <c r="FH30" i="17" s="1"/>
  <c r="FC30" i="17"/>
  <c r="EZ30" i="17"/>
  <c r="EY30" i="17"/>
  <c r="EU30" i="17"/>
  <c r="ET30" i="17"/>
  <c r="ES30" i="17"/>
  <c r="ER30" i="17"/>
  <c r="EJ30" i="17"/>
  <c r="EF30" i="17"/>
  <c r="ED30" i="17"/>
  <c r="EH30" i="17" s="1"/>
  <c r="EB30" i="17"/>
  <c r="EA30" i="17"/>
  <c r="DZ30" i="17"/>
  <c r="DY30" i="17"/>
  <c r="DX30" i="17"/>
  <c r="DV30" i="17"/>
  <c r="DU30" i="17"/>
  <c r="DT30" i="17"/>
  <c r="DS30" i="17"/>
  <c r="DR30" i="17"/>
  <c r="DP30" i="17"/>
  <c r="DO30" i="17"/>
  <c r="DN30" i="17"/>
  <c r="DM30" i="17"/>
  <c r="DL30" i="17"/>
  <c r="DK30" i="17"/>
  <c r="DJ30" i="17"/>
  <c r="DI30" i="17"/>
  <c r="DH30" i="17"/>
  <c r="DF30" i="17"/>
  <c r="DE30" i="17"/>
  <c r="DD30" i="17"/>
  <c r="CX30" i="17"/>
  <c r="CW30" i="17"/>
  <c r="CV30" i="17"/>
  <c r="CT30" i="17"/>
  <c r="CQ30" i="17"/>
  <c r="CP30" i="17"/>
  <c r="JR30" i="17" s="1"/>
  <c r="CO30" i="17"/>
  <c r="CN30" i="17"/>
  <c r="CR30" i="17" s="1"/>
  <c r="CS30" i="17" s="1"/>
  <c r="CY30" i="17" s="1"/>
  <c r="CM30" i="17"/>
  <c r="CL30" i="17"/>
  <c r="CK30" i="17"/>
  <c r="CJ30" i="17"/>
  <c r="CH30" i="17"/>
  <c r="CG30" i="17"/>
  <c r="CF30" i="17"/>
  <c r="CE30" i="17"/>
  <c r="CD30" i="17"/>
  <c r="CC30" i="17"/>
  <c r="CB30" i="17"/>
  <c r="CA30" i="17"/>
  <c r="BZ30" i="17"/>
  <c r="BX30" i="17"/>
  <c r="BW30" i="17"/>
  <c r="BV30" i="17"/>
  <c r="BU30" i="17"/>
  <c r="BS30" i="17"/>
  <c r="BR30" i="17"/>
  <c r="BQ30" i="17"/>
  <c r="BP30" i="17"/>
  <c r="BO30" i="17"/>
  <c r="BN30" i="17"/>
  <c r="BM30" i="17"/>
  <c r="AL30" i="17"/>
  <c r="AJ30" i="17"/>
  <c r="KG29" i="17"/>
  <c r="KB29" i="17"/>
  <c r="KA29" i="17"/>
  <c r="JZ29" i="17"/>
  <c r="JY29" i="17"/>
  <c r="JV29" i="17"/>
  <c r="JU29" i="17"/>
  <c r="JS29" i="17"/>
  <c r="JQ29" i="17"/>
  <c r="JP29" i="17"/>
  <c r="JO29" i="17"/>
  <c r="JN29" i="17"/>
  <c r="HF29" i="17"/>
  <c r="HE29" i="17"/>
  <c r="GV29" i="17"/>
  <c r="GU29" i="17"/>
  <c r="GT29" i="17"/>
  <c r="GS29" i="17"/>
  <c r="GL29" i="17"/>
  <c r="GK29" i="17"/>
  <c r="GJ29" i="17"/>
  <c r="GI29" i="17"/>
  <c r="GH29" i="17"/>
  <c r="GG29" i="17"/>
  <c r="GF29" i="17"/>
  <c r="GE29" i="17"/>
  <c r="GD29" i="17"/>
  <c r="GC29" i="17"/>
  <c r="GB29" i="17"/>
  <c r="GA29" i="17"/>
  <c r="FZ29" i="17"/>
  <c r="FY29" i="17"/>
  <c r="FT29" i="17"/>
  <c r="FS29" i="17"/>
  <c r="FP29" i="17"/>
  <c r="FO29" i="17"/>
  <c r="FQ29" i="17" s="1"/>
  <c r="FN29" i="17"/>
  <c r="FK29" i="17"/>
  <c r="FJ29" i="17"/>
  <c r="FI29" i="17"/>
  <c r="FF29" i="17"/>
  <c r="FE29" i="17"/>
  <c r="FG29" i="17" s="1"/>
  <c r="FH29" i="17" s="1"/>
  <c r="FC29" i="17"/>
  <c r="EZ29" i="17"/>
  <c r="EY29" i="17"/>
  <c r="EU29" i="17"/>
  <c r="ET29" i="17"/>
  <c r="ES29" i="17"/>
  <c r="ER29" i="17"/>
  <c r="EJ29" i="17"/>
  <c r="EF29" i="17"/>
  <c r="ED29" i="17"/>
  <c r="EH29" i="17" s="1"/>
  <c r="EB29" i="17"/>
  <c r="EA29" i="17"/>
  <c r="DZ29" i="17"/>
  <c r="DY29" i="17"/>
  <c r="DX29" i="17"/>
  <c r="DV29" i="17"/>
  <c r="DU29" i="17"/>
  <c r="DT29" i="17"/>
  <c r="DS29" i="17"/>
  <c r="DR29" i="17"/>
  <c r="DP29" i="17"/>
  <c r="DO29" i="17"/>
  <c r="DN29" i="17"/>
  <c r="DM29" i="17"/>
  <c r="DL29" i="17"/>
  <c r="DK29" i="17"/>
  <c r="DJ29" i="17"/>
  <c r="DI29" i="17"/>
  <c r="DH29" i="17"/>
  <c r="DF29" i="17"/>
  <c r="DE29" i="17"/>
  <c r="DD29" i="17"/>
  <c r="CX29" i="17"/>
  <c r="CW29" i="17"/>
  <c r="CV29" i="17"/>
  <c r="CT29" i="17"/>
  <c r="CQ29" i="17"/>
  <c r="CP29" i="17"/>
  <c r="CO29" i="17"/>
  <c r="CN29" i="17"/>
  <c r="CM29" i="17"/>
  <c r="CL29" i="17"/>
  <c r="CK29" i="17"/>
  <c r="CJ29" i="17"/>
  <c r="CH29" i="17"/>
  <c r="CG29" i="17"/>
  <c r="CF29" i="17"/>
  <c r="CE29" i="17"/>
  <c r="CD29" i="17"/>
  <c r="CC29" i="17"/>
  <c r="CB29" i="17"/>
  <c r="CA29" i="17"/>
  <c r="BZ29" i="17"/>
  <c r="BX29" i="17"/>
  <c r="BW29" i="17"/>
  <c r="BV29" i="17"/>
  <c r="BU29" i="17"/>
  <c r="BS29" i="17"/>
  <c r="BR29" i="17"/>
  <c r="BQ29" i="17"/>
  <c r="BP29" i="17"/>
  <c r="BO29" i="17"/>
  <c r="BN29" i="17"/>
  <c r="BM29" i="17"/>
  <c r="AL29" i="17"/>
  <c r="AJ29" i="17"/>
  <c r="KG28" i="17"/>
  <c r="KB28" i="17"/>
  <c r="KA28" i="17"/>
  <c r="JZ28" i="17"/>
  <c r="JY28" i="17"/>
  <c r="JV28" i="17"/>
  <c r="JU28" i="17"/>
  <c r="JS28" i="17"/>
  <c r="JQ28" i="17"/>
  <c r="JP28" i="17"/>
  <c r="JO28" i="17"/>
  <c r="JN28" i="17"/>
  <c r="HF28" i="17"/>
  <c r="HE28" i="17"/>
  <c r="GV28" i="17"/>
  <c r="GU28" i="17"/>
  <c r="GT28" i="17"/>
  <c r="GS28" i="17"/>
  <c r="GL28" i="17"/>
  <c r="GK28" i="17"/>
  <c r="GJ28" i="17"/>
  <c r="GI28" i="17"/>
  <c r="GH28" i="17"/>
  <c r="GG28" i="17"/>
  <c r="GF28" i="17"/>
  <c r="GE28" i="17"/>
  <c r="GD28" i="17"/>
  <c r="GC28" i="17"/>
  <c r="GB28" i="17"/>
  <c r="GA28" i="17"/>
  <c r="FZ28" i="17"/>
  <c r="FY28" i="17"/>
  <c r="FT28" i="17"/>
  <c r="FS28" i="17"/>
  <c r="FP28" i="17"/>
  <c r="FO28" i="17"/>
  <c r="FQ28" i="17" s="1"/>
  <c r="FN28" i="17"/>
  <c r="FK28" i="17"/>
  <c r="FJ28" i="17"/>
  <c r="FI28" i="17"/>
  <c r="FF28" i="17"/>
  <c r="FE28" i="17"/>
  <c r="FG28" i="17" s="1"/>
  <c r="FH28" i="17" s="1"/>
  <c r="FC28" i="17"/>
  <c r="EZ28" i="17"/>
  <c r="EY28" i="17"/>
  <c r="EU28" i="17"/>
  <c r="ET28" i="17"/>
  <c r="ES28" i="17"/>
  <c r="ER28" i="17"/>
  <c r="EJ28" i="17"/>
  <c r="EF28" i="17"/>
  <c r="ED28" i="17"/>
  <c r="EH28" i="17" s="1"/>
  <c r="EB28" i="17"/>
  <c r="EA28" i="17"/>
  <c r="DZ28" i="17"/>
  <c r="DY28" i="17"/>
  <c r="DX28" i="17"/>
  <c r="DV28" i="17"/>
  <c r="DU28" i="17"/>
  <c r="DT28" i="17"/>
  <c r="DS28" i="17"/>
  <c r="DR28" i="17"/>
  <c r="DP28" i="17"/>
  <c r="DO28" i="17"/>
  <c r="DN28" i="17"/>
  <c r="DM28" i="17"/>
  <c r="DL28" i="17"/>
  <c r="DK28" i="17"/>
  <c r="DJ28" i="17"/>
  <c r="DI28" i="17"/>
  <c r="DH28" i="17"/>
  <c r="DF28" i="17"/>
  <c r="DE28" i="17"/>
  <c r="DD28" i="17"/>
  <c r="CX28" i="17"/>
  <c r="CW28" i="17"/>
  <c r="CV28" i="17"/>
  <c r="CT28" i="17"/>
  <c r="CQ28" i="17"/>
  <c r="CP28" i="17"/>
  <c r="JR28" i="17" s="1"/>
  <c r="CO28" i="17"/>
  <c r="CN28" i="17"/>
  <c r="CR28" i="17" s="1"/>
  <c r="CS28" i="17" s="1"/>
  <c r="CY28" i="17" s="1"/>
  <c r="CM28" i="17"/>
  <c r="CL28" i="17"/>
  <c r="CK28" i="17"/>
  <c r="CJ28" i="17"/>
  <c r="CH28" i="17"/>
  <c r="CG28" i="17"/>
  <c r="CF28" i="17"/>
  <c r="CE28" i="17"/>
  <c r="CD28" i="17"/>
  <c r="CC28" i="17"/>
  <c r="CB28" i="17"/>
  <c r="CA28" i="17"/>
  <c r="BZ28" i="17"/>
  <c r="BX28" i="17"/>
  <c r="BW28" i="17"/>
  <c r="BV28" i="17"/>
  <c r="BU28" i="17"/>
  <c r="BS28" i="17"/>
  <c r="BR28" i="17"/>
  <c r="BQ28" i="17"/>
  <c r="BP28" i="17"/>
  <c r="BO28" i="17"/>
  <c r="BN28" i="17"/>
  <c r="BM28" i="17"/>
  <c r="AL28" i="17"/>
  <c r="AJ28" i="17"/>
  <c r="KG27" i="17"/>
  <c r="KB27" i="17"/>
  <c r="KA27" i="17"/>
  <c r="JZ27" i="17"/>
  <c r="JY27" i="17"/>
  <c r="JV27" i="17"/>
  <c r="JU27" i="17"/>
  <c r="JS27" i="17"/>
  <c r="JQ27" i="17"/>
  <c r="JP27" i="17"/>
  <c r="JO27" i="17"/>
  <c r="JN27" i="17"/>
  <c r="HF27" i="17"/>
  <c r="HE27" i="17"/>
  <c r="GV27" i="17"/>
  <c r="GU27" i="17"/>
  <c r="GT27" i="17"/>
  <c r="GS27" i="17"/>
  <c r="GL27" i="17"/>
  <c r="GK27" i="17"/>
  <c r="GJ27" i="17"/>
  <c r="GI27" i="17"/>
  <c r="GH27" i="17"/>
  <c r="GG27" i="17"/>
  <c r="GF27" i="17"/>
  <c r="GE27" i="17"/>
  <c r="GD27" i="17"/>
  <c r="GC27" i="17"/>
  <c r="GB27" i="17"/>
  <c r="GA27" i="17"/>
  <c r="FZ27" i="17"/>
  <c r="FY27" i="17"/>
  <c r="FT27" i="17"/>
  <c r="FS27" i="17"/>
  <c r="FP27" i="17"/>
  <c r="FO27" i="17"/>
  <c r="FQ27" i="17" s="1"/>
  <c r="FN27" i="17"/>
  <c r="FK27" i="17"/>
  <c r="FJ27" i="17"/>
  <c r="FI27" i="17"/>
  <c r="FF27" i="17"/>
  <c r="FE27" i="17"/>
  <c r="FG27" i="17" s="1"/>
  <c r="FH27" i="17" s="1"/>
  <c r="FC27" i="17"/>
  <c r="EZ27" i="17"/>
  <c r="EY27" i="17"/>
  <c r="EU27" i="17"/>
  <c r="ET27" i="17"/>
  <c r="ES27" i="17"/>
  <c r="ER27" i="17"/>
  <c r="EJ27" i="17"/>
  <c r="EF27" i="17"/>
  <c r="ED27" i="17"/>
  <c r="EH27" i="17" s="1"/>
  <c r="EB27" i="17"/>
  <c r="EA27" i="17"/>
  <c r="DZ27" i="17"/>
  <c r="DY27" i="17"/>
  <c r="DX27" i="17"/>
  <c r="DV27" i="17"/>
  <c r="DU27" i="17"/>
  <c r="DT27" i="17"/>
  <c r="DS27" i="17"/>
  <c r="DR27" i="17"/>
  <c r="DP27" i="17"/>
  <c r="DO27" i="17"/>
  <c r="DN27" i="17"/>
  <c r="DM27" i="17"/>
  <c r="DL27" i="17"/>
  <c r="DK27" i="17"/>
  <c r="DJ27" i="17"/>
  <c r="DI27" i="17"/>
  <c r="DH27" i="17"/>
  <c r="DF27" i="17"/>
  <c r="DE27" i="17"/>
  <c r="DD27" i="17"/>
  <c r="CX27" i="17"/>
  <c r="CW27" i="17"/>
  <c r="CV27" i="17"/>
  <c r="CT27" i="17"/>
  <c r="CQ27" i="17"/>
  <c r="CP27" i="17"/>
  <c r="CO27" i="17"/>
  <c r="CN27" i="17"/>
  <c r="CM27" i="17"/>
  <c r="CL27" i="17"/>
  <c r="CK27" i="17"/>
  <c r="CJ27" i="17"/>
  <c r="CH27" i="17"/>
  <c r="CG27" i="17"/>
  <c r="CF27" i="17"/>
  <c r="CE27" i="17"/>
  <c r="CD27" i="17"/>
  <c r="CC27" i="17"/>
  <c r="CB27" i="17"/>
  <c r="CA27" i="17"/>
  <c r="BZ27" i="17"/>
  <c r="BX27" i="17"/>
  <c r="BW27" i="17"/>
  <c r="BV27" i="17"/>
  <c r="BU27" i="17"/>
  <c r="BS27" i="17"/>
  <c r="BR27" i="17"/>
  <c r="BQ27" i="17"/>
  <c r="BP27" i="17"/>
  <c r="BO27" i="17"/>
  <c r="BN27" i="17"/>
  <c r="BM27" i="17"/>
  <c r="AL27" i="17"/>
  <c r="AJ27" i="17"/>
  <c r="KG26" i="17"/>
  <c r="KB26" i="17"/>
  <c r="KA26" i="17"/>
  <c r="JZ26" i="17"/>
  <c r="JY26" i="17"/>
  <c r="JV26" i="17"/>
  <c r="JU26" i="17"/>
  <c r="JS26" i="17"/>
  <c r="JQ26" i="17"/>
  <c r="JP26" i="17"/>
  <c r="JO26" i="17"/>
  <c r="JN26" i="17"/>
  <c r="HF26" i="17"/>
  <c r="HE26" i="17"/>
  <c r="GV26" i="17"/>
  <c r="GU26" i="17"/>
  <c r="GT26" i="17"/>
  <c r="GS26" i="17"/>
  <c r="GL26" i="17"/>
  <c r="GK26" i="17"/>
  <c r="GJ26" i="17"/>
  <c r="GI26" i="17"/>
  <c r="GH26" i="17"/>
  <c r="GG26" i="17"/>
  <c r="GF26" i="17"/>
  <c r="GE26" i="17"/>
  <c r="GD26" i="17"/>
  <c r="GC26" i="17"/>
  <c r="GB26" i="17"/>
  <c r="GA26" i="17"/>
  <c r="FZ26" i="17"/>
  <c r="FY26" i="17"/>
  <c r="FT26" i="17"/>
  <c r="FS26" i="17"/>
  <c r="FP26" i="17"/>
  <c r="FO26" i="17"/>
  <c r="FQ26" i="17" s="1"/>
  <c r="FN26" i="17"/>
  <c r="FK26" i="17"/>
  <c r="FJ26" i="17"/>
  <c r="FI26" i="17"/>
  <c r="FF26" i="17"/>
  <c r="FE26" i="17"/>
  <c r="FG26" i="17" s="1"/>
  <c r="FH26" i="17" s="1"/>
  <c r="FC26" i="17"/>
  <c r="EZ26" i="17"/>
  <c r="EY26" i="17"/>
  <c r="EU26" i="17"/>
  <c r="ET26" i="17"/>
  <c r="ES26" i="17"/>
  <c r="ER26" i="17"/>
  <c r="EJ26" i="17"/>
  <c r="EF26" i="17"/>
  <c r="ED26" i="17"/>
  <c r="EH26" i="17" s="1"/>
  <c r="EB26" i="17"/>
  <c r="EA26" i="17"/>
  <c r="DZ26" i="17"/>
  <c r="DY26" i="17"/>
  <c r="DX26" i="17"/>
  <c r="DV26" i="17"/>
  <c r="DU26" i="17"/>
  <c r="DT26" i="17"/>
  <c r="DS26" i="17"/>
  <c r="DR26" i="17"/>
  <c r="DP26" i="17"/>
  <c r="DO26" i="17"/>
  <c r="DN26" i="17"/>
  <c r="DM26" i="17"/>
  <c r="DL26" i="17"/>
  <c r="DK26" i="17"/>
  <c r="DJ26" i="17"/>
  <c r="DI26" i="17"/>
  <c r="DH26" i="17"/>
  <c r="DF26" i="17"/>
  <c r="DE26" i="17"/>
  <c r="DD26" i="17"/>
  <c r="CX26" i="17"/>
  <c r="CW26" i="17"/>
  <c r="CV26" i="17"/>
  <c r="CT26" i="17"/>
  <c r="CQ26" i="17"/>
  <c r="CP26" i="17"/>
  <c r="JR26" i="17" s="1"/>
  <c r="CO26" i="17"/>
  <c r="CN26" i="17"/>
  <c r="CR26" i="17" s="1"/>
  <c r="CS26" i="17" s="1"/>
  <c r="CY26" i="17" s="1"/>
  <c r="CM26" i="17"/>
  <c r="CL26" i="17"/>
  <c r="CK26" i="17"/>
  <c r="CJ26" i="17"/>
  <c r="CH26" i="17"/>
  <c r="CG26" i="17"/>
  <c r="CF26" i="17"/>
  <c r="CE26" i="17"/>
  <c r="CD26" i="17"/>
  <c r="CC26" i="17"/>
  <c r="CB26" i="17"/>
  <c r="CA26" i="17"/>
  <c r="BZ26" i="17"/>
  <c r="BX26" i="17"/>
  <c r="BW26" i="17"/>
  <c r="BV26" i="17"/>
  <c r="BU26" i="17"/>
  <c r="BS26" i="17"/>
  <c r="BR26" i="17"/>
  <c r="BQ26" i="17"/>
  <c r="BP26" i="17"/>
  <c r="BO26" i="17"/>
  <c r="BN26" i="17"/>
  <c r="BM26" i="17"/>
  <c r="AL26" i="17"/>
  <c r="AJ26" i="17"/>
  <c r="KG25" i="17"/>
  <c r="KB25" i="17"/>
  <c r="KA25" i="17"/>
  <c r="JZ25" i="17"/>
  <c r="JY25" i="17"/>
  <c r="JV25" i="17"/>
  <c r="JU25" i="17"/>
  <c r="JS25" i="17"/>
  <c r="JQ25" i="17"/>
  <c r="JP25" i="17"/>
  <c r="JO25" i="17"/>
  <c r="JN25" i="17"/>
  <c r="HF25" i="17"/>
  <c r="HE25" i="17"/>
  <c r="GV25" i="17"/>
  <c r="GU25" i="17"/>
  <c r="GT25" i="17"/>
  <c r="GS25" i="17"/>
  <c r="GL25" i="17"/>
  <c r="GK25" i="17"/>
  <c r="GJ25" i="17"/>
  <c r="GI25" i="17"/>
  <c r="GH25" i="17"/>
  <c r="GG25" i="17"/>
  <c r="GF25" i="17"/>
  <c r="GE25" i="17"/>
  <c r="GD25" i="17"/>
  <c r="GC25" i="17"/>
  <c r="GB25" i="17"/>
  <c r="GA25" i="17"/>
  <c r="FZ25" i="17"/>
  <c r="FY25" i="17"/>
  <c r="FT25" i="17"/>
  <c r="FS25" i="17"/>
  <c r="FP25" i="17"/>
  <c r="FO25" i="17"/>
  <c r="FQ25" i="17" s="1"/>
  <c r="FN25" i="17"/>
  <c r="FK25" i="17"/>
  <c r="FJ25" i="17"/>
  <c r="FI25" i="17"/>
  <c r="FF25" i="17"/>
  <c r="FE25" i="17"/>
  <c r="FG25" i="17" s="1"/>
  <c r="FH25" i="17" s="1"/>
  <c r="FC25" i="17"/>
  <c r="EZ25" i="17"/>
  <c r="EY25" i="17"/>
  <c r="EU25" i="17"/>
  <c r="ET25" i="17"/>
  <c r="ES25" i="17"/>
  <c r="ER25" i="17"/>
  <c r="EJ25" i="17"/>
  <c r="EF25" i="17"/>
  <c r="ED25" i="17"/>
  <c r="EH25" i="17" s="1"/>
  <c r="EB25" i="17"/>
  <c r="EA25" i="17"/>
  <c r="DZ25" i="17"/>
  <c r="DY25" i="17"/>
  <c r="DX25" i="17"/>
  <c r="DV25" i="17"/>
  <c r="DU25" i="17"/>
  <c r="DT25" i="17"/>
  <c r="DS25" i="17"/>
  <c r="DR25" i="17"/>
  <c r="DP25" i="17"/>
  <c r="DO25" i="17"/>
  <c r="DN25" i="17"/>
  <c r="DM25" i="17"/>
  <c r="DL25" i="17"/>
  <c r="DK25" i="17"/>
  <c r="DJ25" i="17"/>
  <c r="DI25" i="17"/>
  <c r="DH25" i="17"/>
  <c r="DF25" i="17"/>
  <c r="DE25" i="17"/>
  <c r="DD25" i="17"/>
  <c r="CX25" i="17"/>
  <c r="CW25" i="17"/>
  <c r="CV25" i="17"/>
  <c r="CT25" i="17"/>
  <c r="CQ25" i="17"/>
  <c r="CP25" i="17"/>
  <c r="CO25" i="17"/>
  <c r="CN25" i="17"/>
  <c r="CM25" i="17"/>
  <c r="CL25" i="17"/>
  <c r="CK25" i="17"/>
  <c r="CJ25" i="17"/>
  <c r="CH25" i="17"/>
  <c r="CG25" i="17"/>
  <c r="CF25" i="17"/>
  <c r="CE25" i="17"/>
  <c r="CD25" i="17"/>
  <c r="CC25" i="17"/>
  <c r="CB25" i="17"/>
  <c r="CA25" i="17"/>
  <c r="BZ25" i="17"/>
  <c r="BX25" i="17"/>
  <c r="BW25" i="17"/>
  <c r="BV25" i="17"/>
  <c r="BU25" i="17"/>
  <c r="BS25" i="17"/>
  <c r="BR25" i="17"/>
  <c r="BQ25" i="17"/>
  <c r="BP25" i="17"/>
  <c r="BO25" i="17"/>
  <c r="BN25" i="17"/>
  <c r="BM25" i="17"/>
  <c r="AL25" i="17"/>
  <c r="AJ25" i="17"/>
  <c r="KG24" i="17"/>
  <c r="KB24" i="17"/>
  <c r="KA24" i="17"/>
  <c r="JZ24" i="17"/>
  <c r="JY24" i="17"/>
  <c r="JV24" i="17"/>
  <c r="JU24" i="17"/>
  <c r="JS24" i="17"/>
  <c r="JQ24" i="17"/>
  <c r="JP24" i="17"/>
  <c r="JO24" i="17"/>
  <c r="JN24" i="17"/>
  <c r="HF24" i="17"/>
  <c r="HE24" i="17"/>
  <c r="GV24" i="17"/>
  <c r="GU24" i="17"/>
  <c r="GT24" i="17"/>
  <c r="GS24" i="17"/>
  <c r="GL24" i="17"/>
  <c r="GK24" i="17"/>
  <c r="GJ24" i="17"/>
  <c r="GI24" i="17"/>
  <c r="GH24" i="17"/>
  <c r="GG24" i="17"/>
  <c r="GF24" i="17"/>
  <c r="GE24" i="17"/>
  <c r="GD24" i="17"/>
  <c r="GC24" i="17"/>
  <c r="GB24" i="17"/>
  <c r="GA24" i="17"/>
  <c r="FZ24" i="17"/>
  <c r="FY24" i="17"/>
  <c r="FT24" i="17"/>
  <c r="FS24" i="17"/>
  <c r="FP24" i="17"/>
  <c r="FO24" i="17"/>
  <c r="FQ24" i="17" s="1"/>
  <c r="FN24" i="17"/>
  <c r="FK24" i="17"/>
  <c r="FJ24" i="17"/>
  <c r="FI24" i="17"/>
  <c r="FF24" i="17"/>
  <c r="FE24" i="17"/>
  <c r="FG24" i="17" s="1"/>
  <c r="FH24" i="17" s="1"/>
  <c r="FC24" i="17"/>
  <c r="EZ24" i="17"/>
  <c r="EY24" i="17"/>
  <c r="EU24" i="17"/>
  <c r="ET24" i="17"/>
  <c r="ES24" i="17"/>
  <c r="ER24" i="17"/>
  <c r="EJ24" i="17"/>
  <c r="EF24" i="17"/>
  <c r="ED24" i="17"/>
  <c r="EH24" i="17" s="1"/>
  <c r="EB24" i="17"/>
  <c r="EA24" i="17"/>
  <c r="DZ24" i="17"/>
  <c r="DY24" i="17"/>
  <c r="DX24" i="17"/>
  <c r="DV24" i="17"/>
  <c r="DU24" i="17"/>
  <c r="DT24" i="17"/>
  <c r="DS24" i="17"/>
  <c r="DR24" i="17"/>
  <c r="DP24" i="17"/>
  <c r="DO24" i="17"/>
  <c r="DN24" i="17"/>
  <c r="DM24" i="17"/>
  <c r="DL24" i="17"/>
  <c r="DK24" i="17"/>
  <c r="DJ24" i="17"/>
  <c r="DI24" i="17"/>
  <c r="DH24" i="17"/>
  <c r="DF24" i="17"/>
  <c r="DE24" i="17"/>
  <c r="DD24" i="17"/>
  <c r="CX24" i="17"/>
  <c r="CW24" i="17"/>
  <c r="CV24" i="17"/>
  <c r="CT24" i="17"/>
  <c r="CQ24" i="17"/>
  <c r="CP24" i="17"/>
  <c r="JR24" i="17" s="1"/>
  <c r="CO24" i="17"/>
  <c r="CN24" i="17"/>
  <c r="CR24" i="17" s="1"/>
  <c r="CS24" i="17" s="1"/>
  <c r="CY24" i="17" s="1"/>
  <c r="CM24" i="17"/>
  <c r="CL24" i="17"/>
  <c r="CK24" i="17"/>
  <c r="CJ24" i="17"/>
  <c r="CH24" i="17"/>
  <c r="CG24" i="17"/>
  <c r="CF24" i="17"/>
  <c r="CE24" i="17"/>
  <c r="CD24" i="17"/>
  <c r="CC24" i="17"/>
  <c r="CB24" i="17"/>
  <c r="CA24" i="17"/>
  <c r="BZ24" i="17"/>
  <c r="BX24" i="17"/>
  <c r="BW24" i="17"/>
  <c r="BV24" i="17"/>
  <c r="BU24" i="17"/>
  <c r="BS24" i="17"/>
  <c r="BR24" i="17"/>
  <c r="BQ24" i="17"/>
  <c r="BP24" i="17"/>
  <c r="BO24" i="17"/>
  <c r="BN24" i="17"/>
  <c r="BM24" i="17"/>
  <c r="AL24" i="17"/>
  <c r="AJ24" i="17"/>
  <c r="KG23" i="17"/>
  <c r="KB23" i="17"/>
  <c r="KA23" i="17"/>
  <c r="JZ23" i="17"/>
  <c r="JY23" i="17"/>
  <c r="JV23" i="17"/>
  <c r="JU23" i="17"/>
  <c r="JS23" i="17"/>
  <c r="JQ23" i="17"/>
  <c r="JP23" i="17"/>
  <c r="JO23" i="17"/>
  <c r="JN23" i="17"/>
  <c r="HF23" i="17"/>
  <c r="HE23" i="17"/>
  <c r="GV23" i="17"/>
  <c r="GU23" i="17"/>
  <c r="GT23" i="17"/>
  <c r="GS23" i="17"/>
  <c r="GL23" i="17"/>
  <c r="GK23" i="17"/>
  <c r="GJ23" i="17"/>
  <c r="GI23" i="17"/>
  <c r="GH23" i="17"/>
  <c r="GG23" i="17"/>
  <c r="GF23" i="17"/>
  <c r="GE23" i="17"/>
  <c r="GD23" i="17"/>
  <c r="GC23" i="17"/>
  <c r="GB23" i="17"/>
  <c r="GA23" i="17"/>
  <c r="FZ23" i="17"/>
  <c r="FY23" i="17"/>
  <c r="FT23" i="17"/>
  <c r="FS23" i="17"/>
  <c r="FP23" i="17"/>
  <c r="FO23" i="17"/>
  <c r="FQ23" i="17" s="1"/>
  <c r="FN23" i="17"/>
  <c r="FK23" i="17"/>
  <c r="FJ23" i="17"/>
  <c r="FI23" i="17"/>
  <c r="FF23" i="17"/>
  <c r="FE23" i="17"/>
  <c r="FG23" i="17" s="1"/>
  <c r="FH23" i="17" s="1"/>
  <c r="FC23" i="17"/>
  <c r="EZ23" i="17"/>
  <c r="EY23" i="17"/>
  <c r="EU23" i="17"/>
  <c r="ET23" i="17"/>
  <c r="ES23" i="17"/>
  <c r="ER23" i="17"/>
  <c r="EJ23" i="17"/>
  <c r="EF23" i="17"/>
  <c r="ED23" i="17"/>
  <c r="EH23" i="17" s="1"/>
  <c r="EB23" i="17"/>
  <c r="EA23" i="17"/>
  <c r="DZ23" i="17"/>
  <c r="DY23" i="17"/>
  <c r="DX23" i="17"/>
  <c r="DV23" i="17"/>
  <c r="DU23" i="17"/>
  <c r="DT23" i="17"/>
  <c r="DS23" i="17"/>
  <c r="DR23" i="17"/>
  <c r="DP23" i="17"/>
  <c r="DO23" i="17"/>
  <c r="DN23" i="17"/>
  <c r="DM23" i="17"/>
  <c r="DL23" i="17"/>
  <c r="DK23" i="17"/>
  <c r="DJ23" i="17"/>
  <c r="DI23" i="17"/>
  <c r="DH23" i="17"/>
  <c r="DF23" i="17"/>
  <c r="DE23" i="17"/>
  <c r="DD23" i="17"/>
  <c r="CX23" i="17"/>
  <c r="CW23" i="17"/>
  <c r="CV23" i="17"/>
  <c r="CT23" i="17"/>
  <c r="CQ23" i="17"/>
  <c r="CP23" i="17"/>
  <c r="CO23" i="17"/>
  <c r="CN23" i="17"/>
  <c r="CM23" i="17"/>
  <c r="CL23" i="17"/>
  <c r="CK23" i="17"/>
  <c r="CJ23" i="17"/>
  <c r="CH23" i="17"/>
  <c r="CG23" i="17"/>
  <c r="CF23" i="17"/>
  <c r="CE23" i="17"/>
  <c r="CD23" i="17"/>
  <c r="CC23" i="17"/>
  <c r="CB23" i="17"/>
  <c r="CA23" i="17"/>
  <c r="BZ23" i="17"/>
  <c r="BX23" i="17"/>
  <c r="BW23" i="17"/>
  <c r="BV23" i="17"/>
  <c r="BU23" i="17"/>
  <c r="BS23" i="17"/>
  <c r="BR23" i="17"/>
  <c r="BQ23" i="17"/>
  <c r="BP23" i="17"/>
  <c r="BO23" i="17"/>
  <c r="BN23" i="17"/>
  <c r="BM23" i="17"/>
  <c r="AL23" i="17"/>
  <c r="AJ23" i="17"/>
  <c r="KG22" i="17"/>
  <c r="KB22" i="17"/>
  <c r="KA22" i="17"/>
  <c r="JZ22" i="17"/>
  <c r="JY22" i="17"/>
  <c r="JV22" i="17"/>
  <c r="JU22" i="17"/>
  <c r="JS22" i="17"/>
  <c r="JQ22" i="17"/>
  <c r="JP22" i="17"/>
  <c r="JO22" i="17"/>
  <c r="JN22" i="17"/>
  <c r="HF22" i="17"/>
  <c r="HE22" i="17"/>
  <c r="GV22" i="17"/>
  <c r="GU22" i="17"/>
  <c r="GT22" i="17"/>
  <c r="GS22" i="17"/>
  <c r="GL22" i="17"/>
  <c r="GK22" i="17"/>
  <c r="GJ22" i="17"/>
  <c r="GI22" i="17"/>
  <c r="GH22" i="17"/>
  <c r="GG22" i="17"/>
  <c r="GF22" i="17"/>
  <c r="GE22" i="17"/>
  <c r="GD22" i="17"/>
  <c r="GC22" i="17"/>
  <c r="GB22" i="17"/>
  <c r="GA22" i="17"/>
  <c r="FZ22" i="17"/>
  <c r="FY22" i="17"/>
  <c r="FT22" i="17"/>
  <c r="FS22" i="17"/>
  <c r="FP22" i="17"/>
  <c r="FO22" i="17"/>
  <c r="FQ22" i="17" s="1"/>
  <c r="FN22" i="17"/>
  <c r="FK22" i="17"/>
  <c r="FJ22" i="17"/>
  <c r="FI22" i="17"/>
  <c r="FF22" i="17"/>
  <c r="FE22" i="17"/>
  <c r="FG22" i="17" s="1"/>
  <c r="FH22" i="17" s="1"/>
  <c r="FC22" i="17"/>
  <c r="EZ22" i="17"/>
  <c r="EY22" i="17"/>
  <c r="EU22" i="17"/>
  <c r="ET22" i="17"/>
  <c r="ES22" i="17"/>
  <c r="ER22" i="17"/>
  <c r="EJ22" i="17"/>
  <c r="EF22" i="17"/>
  <c r="ED22" i="17"/>
  <c r="EH22" i="17" s="1"/>
  <c r="EB22" i="17"/>
  <c r="EA22" i="17"/>
  <c r="DZ22" i="17"/>
  <c r="DY22" i="17"/>
  <c r="DX22" i="17"/>
  <c r="DV22" i="17"/>
  <c r="DU22" i="17"/>
  <c r="DT22" i="17"/>
  <c r="DS22" i="17"/>
  <c r="DR22" i="17"/>
  <c r="DP22" i="17"/>
  <c r="DO22" i="17"/>
  <c r="DN22" i="17"/>
  <c r="DM22" i="17"/>
  <c r="DL22" i="17"/>
  <c r="DK22" i="17"/>
  <c r="DJ22" i="17"/>
  <c r="DI22" i="17"/>
  <c r="DH22" i="17"/>
  <c r="DF22" i="17"/>
  <c r="DE22" i="17"/>
  <c r="DD22" i="17"/>
  <c r="CX22" i="17"/>
  <c r="CW22" i="17"/>
  <c r="CV22" i="17"/>
  <c r="CT22" i="17"/>
  <c r="CQ22" i="17"/>
  <c r="CP22" i="17"/>
  <c r="JR22" i="17" s="1"/>
  <c r="CO22" i="17"/>
  <c r="CN22" i="17"/>
  <c r="CR22" i="17" s="1"/>
  <c r="CS22" i="17" s="1"/>
  <c r="CY22" i="17" s="1"/>
  <c r="CM22" i="17"/>
  <c r="CL22" i="17"/>
  <c r="CK22" i="17"/>
  <c r="CJ22" i="17"/>
  <c r="CH22" i="17"/>
  <c r="CG22" i="17"/>
  <c r="CF22" i="17"/>
  <c r="CE22" i="17"/>
  <c r="CD22" i="17"/>
  <c r="CC22" i="17"/>
  <c r="CB22" i="17"/>
  <c r="CA22" i="17"/>
  <c r="BZ22" i="17"/>
  <c r="BX22" i="17"/>
  <c r="BW22" i="17"/>
  <c r="BV22" i="17"/>
  <c r="BU22" i="17"/>
  <c r="BS22" i="17"/>
  <c r="BR22" i="17"/>
  <c r="BQ22" i="17"/>
  <c r="BP22" i="17"/>
  <c r="BO22" i="17"/>
  <c r="BN22" i="17"/>
  <c r="BM22" i="17"/>
  <c r="AL22" i="17"/>
  <c r="AJ22" i="17"/>
  <c r="KG21" i="17"/>
  <c r="KB21" i="17"/>
  <c r="KA21" i="17"/>
  <c r="JZ21" i="17"/>
  <c r="JY21" i="17"/>
  <c r="JV21" i="17"/>
  <c r="JU21" i="17"/>
  <c r="JS21" i="17"/>
  <c r="JQ21" i="17"/>
  <c r="JP21" i="17"/>
  <c r="JO21" i="17"/>
  <c r="JN21" i="17"/>
  <c r="HF21" i="17"/>
  <c r="HE21" i="17"/>
  <c r="GV21" i="17"/>
  <c r="GU21" i="17"/>
  <c r="GT21" i="17"/>
  <c r="GS21" i="17"/>
  <c r="GL21" i="17"/>
  <c r="GK21" i="17"/>
  <c r="GJ21" i="17"/>
  <c r="GI21" i="17"/>
  <c r="GH21" i="17"/>
  <c r="GG21" i="17"/>
  <c r="GF21" i="17"/>
  <c r="GE21" i="17"/>
  <c r="GD21" i="17"/>
  <c r="GC21" i="17"/>
  <c r="GB21" i="17"/>
  <c r="GA21" i="17"/>
  <c r="FZ21" i="17"/>
  <c r="FY21" i="17"/>
  <c r="FT21" i="17"/>
  <c r="FS21" i="17"/>
  <c r="FP21" i="17"/>
  <c r="FO21" i="17"/>
  <c r="FQ21" i="17" s="1"/>
  <c r="FN21" i="17"/>
  <c r="FK21" i="17"/>
  <c r="FJ21" i="17"/>
  <c r="FI21" i="17"/>
  <c r="FF21" i="17"/>
  <c r="FE21" i="17"/>
  <c r="FG21" i="17" s="1"/>
  <c r="FH21" i="17" s="1"/>
  <c r="FC21" i="17"/>
  <c r="EZ21" i="17"/>
  <c r="EY21" i="17"/>
  <c r="EU21" i="17"/>
  <c r="ET21" i="17"/>
  <c r="ES21" i="17"/>
  <c r="ER21" i="17"/>
  <c r="EJ21" i="17"/>
  <c r="EF21" i="17"/>
  <c r="ED21" i="17"/>
  <c r="EH21" i="17" s="1"/>
  <c r="EB21" i="17"/>
  <c r="EA21" i="17"/>
  <c r="DZ21" i="17"/>
  <c r="DY21" i="17"/>
  <c r="DX21" i="17"/>
  <c r="DV21" i="17"/>
  <c r="DU21" i="17"/>
  <c r="DT21" i="17"/>
  <c r="DS21" i="17"/>
  <c r="DR21" i="17"/>
  <c r="DP21" i="17"/>
  <c r="DO21" i="17"/>
  <c r="DN21" i="17"/>
  <c r="DM21" i="17"/>
  <c r="DL21" i="17"/>
  <c r="DK21" i="17"/>
  <c r="DJ21" i="17"/>
  <c r="DI21" i="17"/>
  <c r="DH21" i="17"/>
  <c r="DF21" i="17"/>
  <c r="DE21" i="17"/>
  <c r="DD21" i="17"/>
  <c r="CX21" i="17"/>
  <c r="CW21" i="17"/>
  <c r="CV21" i="17"/>
  <c r="CT21" i="17"/>
  <c r="CQ21" i="17"/>
  <c r="CP21" i="17"/>
  <c r="CO21" i="17"/>
  <c r="CN21" i="17"/>
  <c r="CM21" i="17"/>
  <c r="CL21" i="17"/>
  <c r="CK21" i="17"/>
  <c r="CJ21" i="17"/>
  <c r="CH21" i="17"/>
  <c r="CG21" i="17"/>
  <c r="CF21" i="17"/>
  <c r="CE21" i="17"/>
  <c r="CD21" i="17"/>
  <c r="CC21" i="17"/>
  <c r="CB21" i="17"/>
  <c r="CA21" i="17"/>
  <c r="BZ21" i="17"/>
  <c r="BX21" i="17"/>
  <c r="BW21" i="17"/>
  <c r="BV21" i="17"/>
  <c r="BU21" i="17"/>
  <c r="BS21" i="17"/>
  <c r="BR21" i="17"/>
  <c r="BQ21" i="17"/>
  <c r="BP21" i="17"/>
  <c r="BO21" i="17"/>
  <c r="BN21" i="17"/>
  <c r="BM21" i="17"/>
  <c r="AL21" i="17"/>
  <c r="AJ21" i="17"/>
  <c r="KG20" i="17"/>
  <c r="KB20" i="17"/>
  <c r="KA20" i="17"/>
  <c r="JZ20" i="17"/>
  <c r="JY20" i="17"/>
  <c r="JV20" i="17"/>
  <c r="JU20" i="17"/>
  <c r="JS20" i="17"/>
  <c r="JQ20" i="17"/>
  <c r="JP20" i="17"/>
  <c r="JO20" i="17"/>
  <c r="JN20" i="17"/>
  <c r="HF20" i="17"/>
  <c r="HE20" i="17"/>
  <c r="GV20" i="17"/>
  <c r="GU20" i="17"/>
  <c r="GT20" i="17"/>
  <c r="GS20" i="17"/>
  <c r="GL20" i="17"/>
  <c r="GK20" i="17"/>
  <c r="GJ20" i="17"/>
  <c r="GI20" i="17"/>
  <c r="GH20" i="17"/>
  <c r="GG20" i="17"/>
  <c r="GF20" i="17"/>
  <c r="GE20" i="17"/>
  <c r="GD20" i="17"/>
  <c r="GC20" i="17"/>
  <c r="GB20" i="17"/>
  <c r="GA20" i="17"/>
  <c r="FZ20" i="17"/>
  <c r="FY20" i="17"/>
  <c r="FT20" i="17"/>
  <c r="FS20" i="17"/>
  <c r="FP20" i="17"/>
  <c r="FO20" i="17"/>
  <c r="FQ20" i="17" s="1"/>
  <c r="FN20" i="17"/>
  <c r="FK20" i="17"/>
  <c r="FJ20" i="17"/>
  <c r="FI20" i="17"/>
  <c r="FF20" i="17"/>
  <c r="FE20" i="17"/>
  <c r="FG20" i="17" s="1"/>
  <c r="FH20" i="17" s="1"/>
  <c r="FC20" i="17"/>
  <c r="EZ20" i="17"/>
  <c r="EY20" i="17"/>
  <c r="EU20" i="17"/>
  <c r="ET20" i="17"/>
  <c r="ES20" i="17"/>
  <c r="ER20" i="17"/>
  <c r="EJ20" i="17"/>
  <c r="EF20" i="17"/>
  <c r="ED20" i="17"/>
  <c r="EH20" i="17" s="1"/>
  <c r="EB20" i="17"/>
  <c r="EA20" i="17"/>
  <c r="DZ20" i="17"/>
  <c r="DY20" i="17"/>
  <c r="DX20" i="17"/>
  <c r="DV20" i="17"/>
  <c r="DU20" i="17"/>
  <c r="DT20" i="17"/>
  <c r="DS20" i="17"/>
  <c r="DR20" i="17"/>
  <c r="DP20" i="17"/>
  <c r="DO20" i="17"/>
  <c r="DN20" i="17"/>
  <c r="DM20" i="17"/>
  <c r="DL20" i="17"/>
  <c r="DK20" i="17"/>
  <c r="DJ20" i="17"/>
  <c r="DI20" i="17"/>
  <c r="DH20" i="17"/>
  <c r="DF20" i="17"/>
  <c r="DE20" i="17"/>
  <c r="DD20" i="17"/>
  <c r="CX20" i="17"/>
  <c r="CW20" i="17"/>
  <c r="CV20" i="17"/>
  <c r="CT20" i="17"/>
  <c r="CQ20" i="17"/>
  <c r="CP20" i="17"/>
  <c r="JR20" i="17" s="1"/>
  <c r="CO20" i="17"/>
  <c r="CN20" i="17"/>
  <c r="CR20" i="17" s="1"/>
  <c r="CS20" i="17" s="1"/>
  <c r="CY20" i="17" s="1"/>
  <c r="CM20" i="17"/>
  <c r="CL20" i="17"/>
  <c r="CK20" i="17"/>
  <c r="CJ20" i="17"/>
  <c r="CH20" i="17"/>
  <c r="CG20" i="17"/>
  <c r="CF20" i="17"/>
  <c r="CE20" i="17"/>
  <c r="CD20" i="17"/>
  <c r="CC20" i="17"/>
  <c r="CB20" i="17"/>
  <c r="CA20" i="17"/>
  <c r="BZ20" i="17"/>
  <c r="BX20" i="17"/>
  <c r="BW20" i="17"/>
  <c r="BV20" i="17"/>
  <c r="BU20" i="17"/>
  <c r="BS20" i="17"/>
  <c r="BR20" i="17"/>
  <c r="BQ20" i="17"/>
  <c r="BP20" i="17"/>
  <c r="BO20" i="17"/>
  <c r="BN20" i="17"/>
  <c r="BM20" i="17"/>
  <c r="AL20" i="17"/>
  <c r="AJ20" i="17"/>
  <c r="KG19" i="17"/>
  <c r="KB19" i="17"/>
  <c r="KA19" i="17"/>
  <c r="JZ19" i="17"/>
  <c r="JY19" i="17"/>
  <c r="JV19" i="17"/>
  <c r="JU19" i="17"/>
  <c r="JS19" i="17"/>
  <c r="JQ19" i="17"/>
  <c r="JP19" i="17"/>
  <c r="JO19" i="17"/>
  <c r="JN19" i="17"/>
  <c r="HF19" i="17"/>
  <c r="HE19" i="17"/>
  <c r="GV19" i="17"/>
  <c r="GU19" i="17"/>
  <c r="GT19" i="17"/>
  <c r="GS19" i="17"/>
  <c r="GL19" i="17"/>
  <c r="GK19" i="17"/>
  <c r="GJ19" i="17"/>
  <c r="GI19" i="17"/>
  <c r="GH19" i="17"/>
  <c r="GG19" i="17"/>
  <c r="GF19" i="17"/>
  <c r="GE19" i="17"/>
  <c r="GD19" i="17"/>
  <c r="GC19" i="17"/>
  <c r="GB19" i="17"/>
  <c r="GA19" i="17"/>
  <c r="FZ19" i="17"/>
  <c r="FY19" i="17"/>
  <c r="FT19" i="17"/>
  <c r="FS19" i="17"/>
  <c r="FP19" i="17"/>
  <c r="FO19" i="17"/>
  <c r="FQ19" i="17" s="1"/>
  <c r="FN19" i="17"/>
  <c r="FK19" i="17"/>
  <c r="FJ19" i="17"/>
  <c r="FI19" i="17"/>
  <c r="FF19" i="17"/>
  <c r="FE19" i="17"/>
  <c r="FG19" i="17" s="1"/>
  <c r="FH19" i="17" s="1"/>
  <c r="FC19" i="17"/>
  <c r="EZ19" i="17"/>
  <c r="EY19" i="17"/>
  <c r="EU19" i="17"/>
  <c r="ET19" i="17"/>
  <c r="ES19" i="17"/>
  <c r="ER19" i="17"/>
  <c r="EJ19" i="17"/>
  <c r="EF19" i="17"/>
  <c r="ED19" i="17"/>
  <c r="EH19" i="17" s="1"/>
  <c r="EB19" i="17"/>
  <c r="EA19" i="17"/>
  <c r="DZ19" i="17"/>
  <c r="DY19" i="17"/>
  <c r="DX19" i="17"/>
  <c r="DV19" i="17"/>
  <c r="DU19" i="17"/>
  <c r="DT19" i="17"/>
  <c r="DS19" i="17"/>
  <c r="DR19" i="17"/>
  <c r="DP19" i="17"/>
  <c r="DO19" i="17"/>
  <c r="DN19" i="17"/>
  <c r="DM19" i="17"/>
  <c r="DL19" i="17"/>
  <c r="DK19" i="17"/>
  <c r="DJ19" i="17"/>
  <c r="DI19" i="17"/>
  <c r="DH19" i="17"/>
  <c r="DF19" i="17"/>
  <c r="DE19" i="17"/>
  <c r="DD19" i="17"/>
  <c r="CX19" i="17"/>
  <c r="CW19" i="17"/>
  <c r="CV19" i="17"/>
  <c r="CT19" i="17"/>
  <c r="CQ19" i="17"/>
  <c r="CP19" i="17"/>
  <c r="CO19" i="17"/>
  <c r="CN19" i="17"/>
  <c r="CM19" i="17"/>
  <c r="CL19" i="17"/>
  <c r="CK19" i="17"/>
  <c r="CJ19" i="17"/>
  <c r="CH19" i="17"/>
  <c r="CG19" i="17"/>
  <c r="CF19" i="17"/>
  <c r="CE19" i="17"/>
  <c r="CD19" i="17"/>
  <c r="CC19" i="17"/>
  <c r="CB19" i="17"/>
  <c r="CA19" i="17"/>
  <c r="BZ19" i="17"/>
  <c r="BX19" i="17"/>
  <c r="BW19" i="17"/>
  <c r="BV19" i="17"/>
  <c r="BU19" i="17"/>
  <c r="BS19" i="17"/>
  <c r="BR19" i="17"/>
  <c r="BQ19" i="17"/>
  <c r="BP19" i="17"/>
  <c r="BO19" i="17"/>
  <c r="BN19" i="17"/>
  <c r="BM19" i="17"/>
  <c r="AL19" i="17"/>
  <c r="AJ19" i="17"/>
  <c r="KG18" i="17"/>
  <c r="KB18" i="17"/>
  <c r="KA18" i="17"/>
  <c r="JZ18" i="17"/>
  <c r="JY18" i="17"/>
  <c r="JV18" i="17"/>
  <c r="JU18" i="17"/>
  <c r="JS18" i="17"/>
  <c r="JQ18" i="17"/>
  <c r="JP18" i="17"/>
  <c r="JO18" i="17"/>
  <c r="JN18" i="17"/>
  <c r="HF18" i="17"/>
  <c r="HE18" i="17"/>
  <c r="GV18" i="17"/>
  <c r="GU18" i="17"/>
  <c r="GT18" i="17"/>
  <c r="GS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T18" i="17"/>
  <c r="FS18" i="17"/>
  <c r="FP18" i="17"/>
  <c r="FO18" i="17"/>
  <c r="FQ18" i="17" s="1"/>
  <c r="FN18" i="17"/>
  <c r="FK18" i="17"/>
  <c r="FJ18" i="17"/>
  <c r="FI18" i="17"/>
  <c r="FF18" i="17"/>
  <c r="FE18" i="17"/>
  <c r="FG18" i="17" s="1"/>
  <c r="FH18" i="17" s="1"/>
  <c r="FC18" i="17"/>
  <c r="EZ18" i="17"/>
  <c r="EY18" i="17"/>
  <c r="EU18" i="17"/>
  <c r="ET18" i="17"/>
  <c r="ES18" i="17"/>
  <c r="ER18" i="17"/>
  <c r="EJ18" i="17"/>
  <c r="EF18" i="17"/>
  <c r="ED18" i="17"/>
  <c r="EH18" i="17" s="1"/>
  <c r="EB18" i="17"/>
  <c r="EA18" i="17"/>
  <c r="DZ18" i="17"/>
  <c r="DY18" i="17"/>
  <c r="DX18" i="17"/>
  <c r="DV18" i="17"/>
  <c r="DU18" i="17"/>
  <c r="DT18" i="17"/>
  <c r="DS18" i="17"/>
  <c r="DR18" i="17"/>
  <c r="DP18" i="17"/>
  <c r="DO18" i="17"/>
  <c r="DN18" i="17"/>
  <c r="DM18" i="17"/>
  <c r="DL18" i="17"/>
  <c r="DK18" i="17"/>
  <c r="DJ18" i="17"/>
  <c r="DI18" i="17"/>
  <c r="DH18" i="17"/>
  <c r="DF18" i="17"/>
  <c r="DE18" i="17"/>
  <c r="DD18" i="17"/>
  <c r="CX18" i="17"/>
  <c r="CW18" i="17"/>
  <c r="CV18" i="17"/>
  <c r="CT18" i="17"/>
  <c r="CQ18" i="17"/>
  <c r="CP18" i="17"/>
  <c r="JR18" i="17" s="1"/>
  <c r="CO18" i="17"/>
  <c r="CN18" i="17"/>
  <c r="CR18" i="17" s="1"/>
  <c r="CS18" i="17" s="1"/>
  <c r="CY18" i="17" s="1"/>
  <c r="CM18" i="17"/>
  <c r="CL18" i="17"/>
  <c r="CK18" i="17"/>
  <c r="CJ18" i="17"/>
  <c r="CH18" i="17"/>
  <c r="CG18" i="17"/>
  <c r="CF18" i="17"/>
  <c r="CE18" i="17"/>
  <c r="CD18" i="17"/>
  <c r="CC18" i="17"/>
  <c r="CB18" i="17"/>
  <c r="CA18" i="17"/>
  <c r="BZ18" i="17"/>
  <c r="BX18" i="17"/>
  <c r="BW18" i="17"/>
  <c r="BV18" i="17"/>
  <c r="BU18" i="17"/>
  <c r="BS18" i="17"/>
  <c r="BR18" i="17"/>
  <c r="BQ18" i="17"/>
  <c r="BP18" i="17"/>
  <c r="BO18" i="17"/>
  <c r="BN18" i="17"/>
  <c r="BM18" i="17"/>
  <c r="AL18" i="17"/>
  <c r="AJ18" i="17"/>
  <c r="KG17" i="17"/>
  <c r="KB17" i="17"/>
  <c r="KA17" i="17"/>
  <c r="JZ17" i="17"/>
  <c r="JY17" i="17"/>
  <c r="JV17" i="17"/>
  <c r="JU17" i="17"/>
  <c r="JS17" i="17"/>
  <c r="JQ17" i="17"/>
  <c r="JP17" i="17"/>
  <c r="JO17" i="17"/>
  <c r="JN17" i="17"/>
  <c r="HF17" i="17"/>
  <c r="HE17" i="17"/>
  <c r="GV17" i="17"/>
  <c r="GU17" i="17"/>
  <c r="GT17" i="17"/>
  <c r="GS17" i="17"/>
  <c r="GL17" i="17"/>
  <c r="GK17" i="17"/>
  <c r="GJ17" i="17"/>
  <c r="GI17" i="17"/>
  <c r="GH17" i="17"/>
  <c r="GG17" i="17"/>
  <c r="GF17" i="17"/>
  <c r="GE17" i="17"/>
  <c r="GD17" i="17"/>
  <c r="GC17" i="17"/>
  <c r="GB17" i="17"/>
  <c r="GA17" i="17"/>
  <c r="FZ17" i="17"/>
  <c r="FY17" i="17"/>
  <c r="FT17" i="17"/>
  <c r="FS17" i="17"/>
  <c r="FP17" i="17"/>
  <c r="FO17" i="17"/>
  <c r="FQ17" i="17" s="1"/>
  <c r="FN17" i="17"/>
  <c r="FK17" i="17"/>
  <c r="FJ17" i="17"/>
  <c r="FI17" i="17"/>
  <c r="FF17" i="17"/>
  <c r="FE17" i="17"/>
  <c r="FG17" i="17" s="1"/>
  <c r="FH17" i="17" s="1"/>
  <c r="FC17" i="17"/>
  <c r="EZ17" i="17"/>
  <c r="EY17" i="17"/>
  <c r="EU17" i="17"/>
  <c r="ET17" i="17"/>
  <c r="ES17" i="17"/>
  <c r="ER17" i="17"/>
  <c r="EJ17" i="17"/>
  <c r="EF17" i="17"/>
  <c r="ED17" i="17"/>
  <c r="EH17" i="17" s="1"/>
  <c r="EB17" i="17"/>
  <c r="EA17" i="17"/>
  <c r="DZ17" i="17"/>
  <c r="DY17" i="17"/>
  <c r="DX17" i="17"/>
  <c r="DV17" i="17"/>
  <c r="DU17" i="17"/>
  <c r="DT17" i="17"/>
  <c r="DS17" i="17"/>
  <c r="DR17" i="17"/>
  <c r="DP17" i="17"/>
  <c r="DO17" i="17"/>
  <c r="DN17" i="17"/>
  <c r="DM17" i="17"/>
  <c r="DL17" i="17"/>
  <c r="DK17" i="17"/>
  <c r="DJ17" i="17"/>
  <c r="DI17" i="17"/>
  <c r="DH17" i="17"/>
  <c r="DF17" i="17"/>
  <c r="DE17" i="17"/>
  <c r="DD17" i="17"/>
  <c r="CX17" i="17"/>
  <c r="CW17" i="17"/>
  <c r="CV17" i="17"/>
  <c r="CT17" i="17"/>
  <c r="CQ17" i="17"/>
  <c r="CP17" i="17"/>
  <c r="CO17" i="17"/>
  <c r="CN17" i="17"/>
  <c r="CM17" i="17"/>
  <c r="CL17" i="17"/>
  <c r="CK17" i="17"/>
  <c r="CJ17" i="17"/>
  <c r="CH17" i="17"/>
  <c r="CG17" i="17"/>
  <c r="CF17" i="17"/>
  <c r="CE17" i="17"/>
  <c r="CD17" i="17"/>
  <c r="CC17" i="17"/>
  <c r="CB17" i="17"/>
  <c r="CA17" i="17"/>
  <c r="BZ17" i="17"/>
  <c r="BX17" i="17"/>
  <c r="BW17" i="17"/>
  <c r="BV17" i="17"/>
  <c r="BU17" i="17"/>
  <c r="BS17" i="17"/>
  <c r="BR17" i="17"/>
  <c r="BQ17" i="17"/>
  <c r="BP17" i="17"/>
  <c r="BO17" i="17"/>
  <c r="BN17" i="17"/>
  <c r="BM17" i="17"/>
  <c r="AL17" i="17"/>
  <c r="AJ17" i="17"/>
  <c r="KG16" i="17"/>
  <c r="KB16" i="17"/>
  <c r="KA16" i="17"/>
  <c r="JZ16" i="17"/>
  <c r="JY16" i="17"/>
  <c r="JV16" i="17"/>
  <c r="JU16" i="17"/>
  <c r="JS16" i="17"/>
  <c r="JQ16" i="17"/>
  <c r="JP16" i="17"/>
  <c r="JO16" i="17"/>
  <c r="JN16" i="17"/>
  <c r="HF16" i="17"/>
  <c r="HE16" i="17"/>
  <c r="GV16" i="17"/>
  <c r="GU16" i="17"/>
  <c r="GT16" i="17"/>
  <c r="GS16" i="17"/>
  <c r="GL16" i="17"/>
  <c r="GK16" i="17"/>
  <c r="GJ16" i="17"/>
  <c r="GI16" i="17"/>
  <c r="GH16" i="17"/>
  <c r="GG16" i="17"/>
  <c r="GF16" i="17"/>
  <c r="GE16" i="17"/>
  <c r="GD16" i="17"/>
  <c r="GC16" i="17"/>
  <c r="GB16" i="17"/>
  <c r="GA16" i="17"/>
  <c r="FZ16" i="17"/>
  <c r="FY16" i="17"/>
  <c r="FT16" i="17"/>
  <c r="FS16" i="17"/>
  <c r="FP16" i="17"/>
  <c r="FO16" i="17"/>
  <c r="FQ16" i="17" s="1"/>
  <c r="FN16" i="17"/>
  <c r="FK16" i="17"/>
  <c r="FJ16" i="17"/>
  <c r="FI16" i="17"/>
  <c r="FF16" i="17"/>
  <c r="FE16" i="17"/>
  <c r="FG16" i="17" s="1"/>
  <c r="FH16" i="17" s="1"/>
  <c r="FC16" i="17"/>
  <c r="EZ16" i="17"/>
  <c r="EY16" i="17"/>
  <c r="EU16" i="17"/>
  <c r="ET16" i="17"/>
  <c r="ES16" i="17"/>
  <c r="ER16" i="17"/>
  <c r="EJ16" i="17"/>
  <c r="EF16" i="17"/>
  <c r="ED16" i="17"/>
  <c r="EH16" i="17" s="1"/>
  <c r="EB16" i="17"/>
  <c r="EA16" i="17"/>
  <c r="DZ16" i="17"/>
  <c r="DY16" i="17"/>
  <c r="DX16" i="17"/>
  <c r="DV16" i="17"/>
  <c r="DU16" i="17"/>
  <c r="DT16" i="17"/>
  <c r="DS16" i="17"/>
  <c r="DR16" i="17"/>
  <c r="DP16" i="17"/>
  <c r="DO16" i="17"/>
  <c r="DN16" i="17"/>
  <c r="DM16" i="17"/>
  <c r="DL16" i="17"/>
  <c r="DK16" i="17"/>
  <c r="DJ16" i="17"/>
  <c r="DI16" i="17"/>
  <c r="DH16" i="17"/>
  <c r="DF16" i="17"/>
  <c r="DE16" i="17"/>
  <c r="DD16" i="17"/>
  <c r="CX16" i="17"/>
  <c r="CW16" i="17"/>
  <c r="CV16" i="17"/>
  <c r="CT16" i="17"/>
  <c r="CQ16" i="17"/>
  <c r="CP16" i="17"/>
  <c r="JR16" i="17" s="1"/>
  <c r="CO16" i="17"/>
  <c r="CN16" i="17"/>
  <c r="CR16" i="17" s="1"/>
  <c r="CS16" i="17" s="1"/>
  <c r="CY16" i="17" s="1"/>
  <c r="CM16" i="17"/>
  <c r="CL16" i="17"/>
  <c r="CK16" i="17"/>
  <c r="CJ16" i="17"/>
  <c r="CH16" i="17"/>
  <c r="CG16" i="17"/>
  <c r="CF16" i="17"/>
  <c r="CE16" i="17"/>
  <c r="CD16" i="17"/>
  <c r="CC16" i="17"/>
  <c r="CB16" i="17"/>
  <c r="CA16" i="17"/>
  <c r="BZ16" i="17"/>
  <c r="BX16" i="17"/>
  <c r="BW16" i="17"/>
  <c r="BV16" i="17"/>
  <c r="BU16" i="17"/>
  <c r="BS16" i="17"/>
  <c r="BR16" i="17"/>
  <c r="BQ16" i="17"/>
  <c r="BP16" i="17"/>
  <c r="BO16" i="17"/>
  <c r="BN16" i="17"/>
  <c r="BM16" i="17"/>
  <c r="AL16" i="17"/>
  <c r="AJ16" i="17"/>
  <c r="KG15" i="17"/>
  <c r="KB15" i="17"/>
  <c r="KA15" i="17"/>
  <c r="JZ15" i="17"/>
  <c r="JY15" i="17"/>
  <c r="JV15" i="17"/>
  <c r="JU15" i="17"/>
  <c r="JS15" i="17"/>
  <c r="JQ15" i="17"/>
  <c r="JP15" i="17"/>
  <c r="JO15" i="17"/>
  <c r="JN15" i="17"/>
  <c r="HF15" i="17"/>
  <c r="HE15" i="17"/>
  <c r="GV15" i="17"/>
  <c r="GU15" i="17"/>
  <c r="GT15" i="17"/>
  <c r="GS15" i="17"/>
  <c r="GL15" i="17"/>
  <c r="GK15" i="17"/>
  <c r="GJ15" i="17"/>
  <c r="GI15" i="17"/>
  <c r="GH15" i="17"/>
  <c r="GG15" i="17"/>
  <c r="GF15" i="17"/>
  <c r="GE15" i="17"/>
  <c r="GD15" i="17"/>
  <c r="GC15" i="17"/>
  <c r="GB15" i="17"/>
  <c r="GA15" i="17"/>
  <c r="FZ15" i="17"/>
  <c r="FY15" i="17"/>
  <c r="FT15" i="17"/>
  <c r="FS15" i="17"/>
  <c r="FP15" i="17"/>
  <c r="FO15" i="17"/>
  <c r="FQ15" i="17" s="1"/>
  <c r="FN15" i="17"/>
  <c r="FK15" i="17"/>
  <c r="FJ15" i="17"/>
  <c r="FI15" i="17"/>
  <c r="FF15" i="17"/>
  <c r="FE15" i="17"/>
  <c r="FG15" i="17" s="1"/>
  <c r="FH15" i="17" s="1"/>
  <c r="FC15" i="17"/>
  <c r="EZ15" i="17"/>
  <c r="EY15" i="17"/>
  <c r="EU15" i="17"/>
  <c r="ET15" i="17"/>
  <c r="ES15" i="17"/>
  <c r="ER15" i="17"/>
  <c r="EJ15" i="17"/>
  <c r="EF15" i="17"/>
  <c r="ED15" i="17"/>
  <c r="EH15" i="17" s="1"/>
  <c r="EB15" i="17"/>
  <c r="EA15" i="17"/>
  <c r="DZ15" i="17"/>
  <c r="DY15" i="17"/>
  <c r="DX15" i="17"/>
  <c r="DV15" i="17"/>
  <c r="DU15" i="17"/>
  <c r="DT15" i="17"/>
  <c r="DS15" i="17"/>
  <c r="DR15" i="17"/>
  <c r="DP15" i="17"/>
  <c r="DO15" i="17"/>
  <c r="DN15" i="17"/>
  <c r="DM15" i="17"/>
  <c r="DL15" i="17"/>
  <c r="DK15" i="17"/>
  <c r="DJ15" i="17"/>
  <c r="DI15" i="17"/>
  <c r="DH15" i="17"/>
  <c r="DF15" i="17"/>
  <c r="DE15" i="17"/>
  <c r="DD15" i="17"/>
  <c r="CX15" i="17"/>
  <c r="CW15" i="17"/>
  <c r="CV15" i="17"/>
  <c r="CT15" i="17"/>
  <c r="CQ15" i="17"/>
  <c r="CP15" i="17"/>
  <c r="CO15" i="17"/>
  <c r="CN15" i="17"/>
  <c r="CM15" i="17"/>
  <c r="CL15" i="17"/>
  <c r="CK15" i="17"/>
  <c r="CJ15" i="17"/>
  <c r="CH15" i="17"/>
  <c r="CG15" i="17"/>
  <c r="CF15" i="17"/>
  <c r="CE15" i="17"/>
  <c r="CD15" i="17"/>
  <c r="CC15" i="17"/>
  <c r="CB15" i="17"/>
  <c r="CA15" i="17"/>
  <c r="BZ15" i="17"/>
  <c r="BX15" i="17"/>
  <c r="BW15" i="17"/>
  <c r="BV15" i="17"/>
  <c r="BU15" i="17"/>
  <c r="BS15" i="17"/>
  <c r="BR15" i="17"/>
  <c r="BQ15" i="17"/>
  <c r="BP15" i="17"/>
  <c r="BO15" i="17"/>
  <c r="BN15" i="17"/>
  <c r="BM15" i="17"/>
  <c r="AL15" i="17"/>
  <c r="AJ15" i="17"/>
  <c r="KG14" i="17"/>
  <c r="KB14" i="17"/>
  <c r="KA14" i="17"/>
  <c r="JZ14" i="17"/>
  <c r="JY14" i="17"/>
  <c r="JV14" i="17"/>
  <c r="JU14" i="17"/>
  <c r="JS14" i="17"/>
  <c r="JQ14" i="17"/>
  <c r="JP14" i="17"/>
  <c r="JO14" i="17"/>
  <c r="JN14" i="17"/>
  <c r="HF14" i="17"/>
  <c r="HE14" i="17"/>
  <c r="GV14" i="17"/>
  <c r="GU14" i="17"/>
  <c r="GT14" i="17"/>
  <c r="GS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FZ14" i="17"/>
  <c r="FY14" i="17"/>
  <c r="FT14" i="17"/>
  <c r="FS14" i="17"/>
  <c r="FP14" i="17"/>
  <c r="FO14" i="17"/>
  <c r="FQ14" i="17" s="1"/>
  <c r="FN14" i="17"/>
  <c r="FK14" i="17"/>
  <c r="FJ14" i="17"/>
  <c r="FI14" i="17"/>
  <c r="FF14" i="17"/>
  <c r="FE14" i="17"/>
  <c r="FG14" i="17" s="1"/>
  <c r="FH14" i="17" s="1"/>
  <c r="FC14" i="17"/>
  <c r="EZ14" i="17"/>
  <c r="EY14" i="17"/>
  <c r="EU14" i="17"/>
  <c r="ET14" i="17"/>
  <c r="ES14" i="17"/>
  <c r="ER14" i="17"/>
  <c r="EJ14" i="17"/>
  <c r="EF14" i="17"/>
  <c r="ED14" i="17"/>
  <c r="EH14" i="17" s="1"/>
  <c r="EI14" i="17" s="1"/>
  <c r="EB14" i="17"/>
  <c r="EA14" i="17"/>
  <c r="DZ14" i="17"/>
  <c r="DY14" i="17"/>
  <c r="DX14" i="17"/>
  <c r="DV14" i="17"/>
  <c r="DU14" i="17"/>
  <c r="DT14" i="17"/>
  <c r="DS14" i="17"/>
  <c r="DR14" i="17"/>
  <c r="DP14" i="17"/>
  <c r="DO14" i="17"/>
  <c r="DN14" i="17"/>
  <c r="DM14" i="17"/>
  <c r="DL14" i="17"/>
  <c r="DK14" i="17"/>
  <c r="DJ14" i="17"/>
  <c r="DI14" i="17"/>
  <c r="DH14" i="17"/>
  <c r="DF14" i="17"/>
  <c r="DE14" i="17"/>
  <c r="DD14" i="17"/>
  <c r="CX14" i="17"/>
  <c r="CW14" i="17"/>
  <c r="CV14" i="17"/>
  <c r="CT14" i="17"/>
  <c r="CQ14" i="17"/>
  <c r="CP14" i="17"/>
  <c r="JR14" i="17" s="1"/>
  <c r="CO14" i="17"/>
  <c r="CN14" i="17"/>
  <c r="CR14" i="17" s="1"/>
  <c r="CS14" i="17" s="1"/>
  <c r="CY14" i="17" s="1"/>
  <c r="CM14" i="17"/>
  <c r="CL14" i="17"/>
  <c r="CK14" i="17"/>
  <c r="CJ14" i="17"/>
  <c r="CH14" i="17"/>
  <c r="CG14" i="17"/>
  <c r="CF14" i="17"/>
  <c r="CE14" i="17"/>
  <c r="CD14" i="17"/>
  <c r="CC14" i="17"/>
  <c r="CB14" i="17"/>
  <c r="CA14" i="17"/>
  <c r="BZ14" i="17"/>
  <c r="BX14" i="17"/>
  <c r="BW14" i="17"/>
  <c r="BV14" i="17"/>
  <c r="BU14" i="17"/>
  <c r="BS14" i="17"/>
  <c r="BR14" i="17"/>
  <c r="BQ14" i="17"/>
  <c r="BP14" i="17"/>
  <c r="BO14" i="17"/>
  <c r="BN14" i="17"/>
  <c r="BM14" i="17"/>
  <c r="AL14" i="17"/>
  <c r="AJ14" i="17"/>
  <c r="KG13" i="17"/>
  <c r="KB13" i="17"/>
  <c r="KA13" i="17"/>
  <c r="JZ13" i="17"/>
  <c r="JY13" i="17"/>
  <c r="JV13" i="17"/>
  <c r="JU13" i="17"/>
  <c r="JS13" i="17"/>
  <c r="JQ13" i="17"/>
  <c r="JP13" i="17"/>
  <c r="JO13" i="17"/>
  <c r="JN13" i="17"/>
  <c r="HF13" i="17"/>
  <c r="HE13" i="17"/>
  <c r="GV13" i="17"/>
  <c r="GU13" i="17"/>
  <c r="GT13" i="17"/>
  <c r="GS13" i="17"/>
  <c r="GL13" i="17"/>
  <c r="GK13" i="17"/>
  <c r="GJ13" i="17"/>
  <c r="GI13" i="17"/>
  <c r="GH13" i="17"/>
  <c r="GG13" i="17"/>
  <c r="GF13" i="17"/>
  <c r="GE13" i="17"/>
  <c r="GD13" i="17"/>
  <c r="GC13" i="17"/>
  <c r="GB13" i="17"/>
  <c r="GA13" i="17"/>
  <c r="FZ13" i="17"/>
  <c r="FY13" i="17"/>
  <c r="FT13" i="17"/>
  <c r="FS13" i="17"/>
  <c r="FP13" i="17"/>
  <c r="FO13" i="17"/>
  <c r="FQ13" i="17" s="1"/>
  <c r="FN13" i="17"/>
  <c r="FK13" i="17"/>
  <c r="FJ13" i="17"/>
  <c r="FI13" i="17"/>
  <c r="FF13" i="17"/>
  <c r="FE13" i="17"/>
  <c r="FG13" i="17" s="1"/>
  <c r="FH13" i="17" s="1"/>
  <c r="FC13" i="17"/>
  <c r="EZ13" i="17"/>
  <c r="EY13" i="17"/>
  <c r="EU13" i="17"/>
  <c r="ET13" i="17"/>
  <c r="ES13" i="17"/>
  <c r="ER13" i="17"/>
  <c r="EJ13" i="17"/>
  <c r="EF13" i="17"/>
  <c r="ED13" i="17"/>
  <c r="EH13" i="17" s="1"/>
  <c r="EB13" i="17"/>
  <c r="EA13" i="17"/>
  <c r="DZ13" i="17"/>
  <c r="DY13" i="17"/>
  <c r="DX13" i="17"/>
  <c r="DV13" i="17"/>
  <c r="DU13" i="17"/>
  <c r="DT13" i="17"/>
  <c r="DS13" i="17"/>
  <c r="DR13" i="17"/>
  <c r="DP13" i="17"/>
  <c r="DO13" i="17"/>
  <c r="DN13" i="17"/>
  <c r="DM13" i="17"/>
  <c r="DL13" i="17"/>
  <c r="DK13" i="17"/>
  <c r="DJ13" i="17"/>
  <c r="DI13" i="17"/>
  <c r="DH13" i="17"/>
  <c r="DF13" i="17"/>
  <c r="DE13" i="17"/>
  <c r="DD13" i="17"/>
  <c r="CX13" i="17"/>
  <c r="CW13" i="17"/>
  <c r="CV13" i="17"/>
  <c r="CT13" i="17"/>
  <c r="CQ13" i="17"/>
  <c r="CP13" i="17"/>
  <c r="CO13" i="17"/>
  <c r="CR13" i="17" s="1"/>
  <c r="CS13" i="17" s="1"/>
  <c r="CY13" i="17" s="1"/>
  <c r="CN13" i="17"/>
  <c r="CM13" i="17"/>
  <c r="JR13" i="17" s="1"/>
  <c r="CL13" i="17"/>
  <c r="CK13" i="17"/>
  <c r="CJ13" i="17"/>
  <c r="CH13" i="17"/>
  <c r="CG13" i="17"/>
  <c r="CF13" i="17"/>
  <c r="CE13" i="17"/>
  <c r="CD13" i="17"/>
  <c r="CC13" i="17"/>
  <c r="CB13" i="17"/>
  <c r="CA13" i="17"/>
  <c r="BZ13" i="17"/>
  <c r="BX13" i="17"/>
  <c r="BW13" i="17"/>
  <c r="BV13" i="17"/>
  <c r="BU13" i="17"/>
  <c r="BS13" i="17"/>
  <c r="BR13" i="17"/>
  <c r="BQ13" i="17"/>
  <c r="BP13" i="17"/>
  <c r="BO13" i="17"/>
  <c r="BN13" i="17"/>
  <c r="BM13" i="17"/>
  <c r="AL13" i="17"/>
  <c r="AJ13" i="17"/>
  <c r="KG12" i="17"/>
  <c r="KB12" i="17"/>
  <c r="KA12" i="17"/>
  <c r="JZ12" i="17"/>
  <c r="JY12" i="17"/>
  <c r="JV12" i="17"/>
  <c r="JU12" i="17"/>
  <c r="JS12" i="17"/>
  <c r="JQ12" i="17"/>
  <c r="JP12" i="17"/>
  <c r="JO12" i="17"/>
  <c r="JN12" i="17"/>
  <c r="HF12" i="17"/>
  <c r="HE12" i="17"/>
  <c r="GV12" i="17"/>
  <c r="GU12" i="17"/>
  <c r="GT12" i="17"/>
  <c r="GS12" i="17"/>
  <c r="GL12" i="17"/>
  <c r="GK12" i="17"/>
  <c r="GJ12" i="17"/>
  <c r="GI12" i="17"/>
  <c r="GH12" i="17"/>
  <c r="GG12" i="17"/>
  <c r="GF12" i="17"/>
  <c r="GE12" i="17"/>
  <c r="GD12" i="17"/>
  <c r="GC12" i="17"/>
  <c r="GB12" i="17"/>
  <c r="GA12" i="17"/>
  <c r="FZ12" i="17"/>
  <c r="FY12" i="17"/>
  <c r="FT12" i="17"/>
  <c r="FS12" i="17"/>
  <c r="FP12" i="17"/>
  <c r="FO12" i="17"/>
  <c r="FN12" i="17"/>
  <c r="FK12" i="17"/>
  <c r="FJ12" i="17"/>
  <c r="FL12" i="17" s="1"/>
  <c r="FI12" i="17"/>
  <c r="FF12" i="17"/>
  <c r="FE12" i="17"/>
  <c r="FC12" i="17"/>
  <c r="EZ12" i="17"/>
  <c r="EY12" i="17"/>
  <c r="FA12" i="17" s="1"/>
  <c r="FB12" i="17" s="1"/>
  <c r="EU12" i="17"/>
  <c r="ET12" i="17"/>
  <c r="EV12" i="17" s="1"/>
  <c r="ES12" i="17"/>
  <c r="ER12" i="17"/>
  <c r="EJ12" i="17"/>
  <c r="EF12" i="17"/>
  <c r="ED12" i="17"/>
  <c r="EB12" i="17"/>
  <c r="EA12" i="17"/>
  <c r="DZ12" i="17"/>
  <c r="DY12" i="17"/>
  <c r="DX12" i="17"/>
  <c r="DV12" i="17"/>
  <c r="DU12" i="17"/>
  <c r="DT12" i="17"/>
  <c r="DS12" i="17"/>
  <c r="DR12" i="17"/>
  <c r="DP12" i="17"/>
  <c r="DO12" i="17"/>
  <c r="DN12" i="17"/>
  <c r="DM12" i="17"/>
  <c r="DL12" i="17"/>
  <c r="DK12" i="17"/>
  <c r="DJ12" i="17"/>
  <c r="DI12" i="17"/>
  <c r="DH12" i="17"/>
  <c r="DF12" i="17"/>
  <c r="DE12" i="17"/>
  <c r="DD12" i="17"/>
  <c r="CX12" i="17"/>
  <c r="CW12" i="17"/>
  <c r="CV12" i="17"/>
  <c r="CT12" i="17"/>
  <c r="CQ12" i="17"/>
  <c r="CP12" i="17"/>
  <c r="CO12" i="17"/>
  <c r="CR12" i="17" s="1"/>
  <c r="CS12" i="17" s="1"/>
  <c r="CY12" i="17" s="1"/>
  <c r="CN12" i="17"/>
  <c r="CM12" i="17"/>
  <c r="JR12" i="17" s="1"/>
  <c r="CL12" i="17"/>
  <c r="CK12" i="17"/>
  <c r="CJ12" i="17"/>
  <c r="CH12" i="17"/>
  <c r="CG12" i="17"/>
  <c r="CF12" i="17"/>
  <c r="CE12" i="17"/>
  <c r="CD12" i="17"/>
  <c r="CC12" i="17"/>
  <c r="CB12" i="17"/>
  <c r="CA12" i="17"/>
  <c r="BZ12" i="17"/>
  <c r="BX12" i="17"/>
  <c r="BW12" i="17"/>
  <c r="BV12" i="17"/>
  <c r="BU12" i="17"/>
  <c r="BS12" i="17"/>
  <c r="BR12" i="17"/>
  <c r="BQ12" i="17"/>
  <c r="BP12" i="17"/>
  <c r="BO12" i="17"/>
  <c r="BN12" i="17"/>
  <c r="BM12" i="17"/>
  <c r="AL12" i="17"/>
  <c r="AJ12" i="17"/>
  <c r="KG11" i="17"/>
  <c r="KB11" i="17"/>
  <c r="KA11" i="17"/>
  <c r="JZ11" i="17"/>
  <c r="JY11" i="17"/>
  <c r="JV11" i="17"/>
  <c r="JU11" i="17"/>
  <c r="JS11" i="17"/>
  <c r="JQ11" i="17"/>
  <c r="JP11" i="17"/>
  <c r="JO11" i="17"/>
  <c r="JN11" i="17"/>
  <c r="HF11" i="17"/>
  <c r="HE11" i="17"/>
  <c r="GV11" i="17"/>
  <c r="GU11" i="17"/>
  <c r="GT11" i="17"/>
  <c r="GS11" i="17"/>
  <c r="GL11" i="17"/>
  <c r="GK11" i="17"/>
  <c r="GJ11" i="17"/>
  <c r="GI11" i="17"/>
  <c r="GH11" i="17"/>
  <c r="GG11" i="17"/>
  <c r="GF11" i="17"/>
  <c r="GE11" i="17"/>
  <c r="GD11" i="17"/>
  <c r="GC11" i="17"/>
  <c r="GB11" i="17"/>
  <c r="GA11" i="17"/>
  <c r="FZ11" i="17"/>
  <c r="FY11" i="17"/>
  <c r="FT11" i="17"/>
  <c r="FS11" i="17"/>
  <c r="FP11" i="17"/>
  <c r="FO11" i="17"/>
  <c r="FN11" i="17"/>
  <c r="FK11" i="17"/>
  <c r="FJ11" i="17"/>
  <c r="FL11" i="17" s="1"/>
  <c r="FI11" i="17"/>
  <c r="FF11" i="17"/>
  <c r="FE11" i="17"/>
  <c r="FC11" i="17"/>
  <c r="EZ11" i="17"/>
  <c r="EY11" i="17"/>
  <c r="FA11" i="17" s="1"/>
  <c r="FB11" i="17" s="1"/>
  <c r="EU11" i="17"/>
  <c r="ET11" i="17"/>
  <c r="EV11" i="17" s="1"/>
  <c r="ES11" i="17"/>
  <c r="ER11" i="17"/>
  <c r="EJ11" i="17"/>
  <c r="EF11" i="17"/>
  <c r="ED11" i="17"/>
  <c r="EB11" i="17"/>
  <c r="EA11" i="17"/>
  <c r="DZ11" i="17"/>
  <c r="DY11" i="17"/>
  <c r="DX11" i="17"/>
  <c r="DV11" i="17"/>
  <c r="DU11" i="17"/>
  <c r="DT11" i="17"/>
  <c r="DS11" i="17"/>
  <c r="DR11" i="17"/>
  <c r="DP11" i="17"/>
  <c r="DO11" i="17"/>
  <c r="DN11" i="17"/>
  <c r="DM11" i="17"/>
  <c r="DL11" i="17"/>
  <c r="DK11" i="17"/>
  <c r="DJ11" i="17"/>
  <c r="DI11" i="17"/>
  <c r="DH11" i="17"/>
  <c r="DF11" i="17"/>
  <c r="DE11" i="17"/>
  <c r="DD11" i="17"/>
  <c r="CX11" i="17"/>
  <c r="CW11" i="17"/>
  <c r="CV11" i="17"/>
  <c r="CT11" i="17"/>
  <c r="CQ11" i="17"/>
  <c r="CP11" i="17"/>
  <c r="CO11" i="17"/>
  <c r="CN11" i="17"/>
  <c r="CM11" i="17"/>
  <c r="JR11" i="17" s="1"/>
  <c r="CL11" i="17"/>
  <c r="CK11" i="17"/>
  <c r="CJ11" i="17"/>
  <c r="CH11" i="17"/>
  <c r="CG11" i="17"/>
  <c r="CF11" i="17"/>
  <c r="CE11" i="17"/>
  <c r="CD11" i="17"/>
  <c r="CC11" i="17"/>
  <c r="CB11" i="17"/>
  <c r="CA11" i="17"/>
  <c r="BZ11" i="17"/>
  <c r="BX11" i="17"/>
  <c r="BW11" i="17"/>
  <c r="BV11" i="17"/>
  <c r="BU11" i="17"/>
  <c r="BS11" i="17"/>
  <c r="BR11" i="17"/>
  <c r="BQ11" i="17"/>
  <c r="BP11" i="17"/>
  <c r="BO11" i="17"/>
  <c r="BN11" i="17"/>
  <c r="BM11" i="17"/>
  <c r="AL11" i="17"/>
  <c r="AJ11" i="17"/>
  <c r="KG10" i="17"/>
  <c r="KB10" i="17"/>
  <c r="KA10" i="17"/>
  <c r="JZ10" i="17"/>
  <c r="JY10" i="17"/>
  <c r="JV10" i="17"/>
  <c r="JU10" i="17"/>
  <c r="JS10" i="17"/>
  <c r="JQ10" i="17"/>
  <c r="JP10" i="17"/>
  <c r="JO10" i="17"/>
  <c r="JN10" i="17"/>
  <c r="HF10" i="17"/>
  <c r="HE10" i="17"/>
  <c r="GV10" i="17"/>
  <c r="GU10" i="17"/>
  <c r="GT10" i="17"/>
  <c r="GS10" i="17"/>
  <c r="GL10" i="17"/>
  <c r="GK10" i="17"/>
  <c r="GJ10" i="17"/>
  <c r="GI10" i="17"/>
  <c r="GH10" i="17"/>
  <c r="GG10" i="17"/>
  <c r="GF10" i="17"/>
  <c r="GE10" i="17"/>
  <c r="GD10" i="17"/>
  <c r="GC10" i="17"/>
  <c r="GB10" i="17"/>
  <c r="GA10" i="17"/>
  <c r="FZ10" i="17"/>
  <c r="FY10" i="17"/>
  <c r="FT10" i="17"/>
  <c r="FS10" i="17"/>
  <c r="FP10" i="17"/>
  <c r="FO10" i="17"/>
  <c r="FN10" i="17"/>
  <c r="FK10" i="17"/>
  <c r="FJ10" i="17"/>
  <c r="FL10" i="17" s="1"/>
  <c r="FI10" i="17"/>
  <c r="FF10" i="17"/>
  <c r="FE10" i="17"/>
  <c r="FC10" i="17"/>
  <c r="EZ10" i="17"/>
  <c r="EY10" i="17"/>
  <c r="FA10" i="17" s="1"/>
  <c r="FB10" i="17" s="1"/>
  <c r="EU10" i="17"/>
  <c r="ET10" i="17"/>
  <c r="EV10" i="17" s="1"/>
  <c r="ES10" i="17"/>
  <c r="ER10" i="17"/>
  <c r="EJ10" i="17"/>
  <c r="EF10" i="17"/>
  <c r="ED10" i="17"/>
  <c r="EB10" i="17"/>
  <c r="EA10" i="17"/>
  <c r="DZ10" i="17"/>
  <c r="DY10" i="17"/>
  <c r="DX10" i="17"/>
  <c r="DV10" i="17"/>
  <c r="DU10" i="17"/>
  <c r="DT10" i="17"/>
  <c r="DS10" i="17"/>
  <c r="DR10" i="17"/>
  <c r="DP10" i="17"/>
  <c r="DO10" i="17"/>
  <c r="DN10" i="17"/>
  <c r="DM10" i="17"/>
  <c r="DL10" i="17"/>
  <c r="DK10" i="17"/>
  <c r="DJ10" i="17"/>
  <c r="DI10" i="17"/>
  <c r="DH10" i="17"/>
  <c r="DF10" i="17"/>
  <c r="DE10" i="17"/>
  <c r="DD10" i="17"/>
  <c r="CX10" i="17"/>
  <c r="CW10" i="17"/>
  <c r="CV10" i="17"/>
  <c r="CT10" i="17"/>
  <c r="CQ10" i="17"/>
  <c r="CP10" i="17"/>
  <c r="CO10" i="17"/>
  <c r="CR10" i="17" s="1"/>
  <c r="CS10" i="17" s="1"/>
  <c r="CY10" i="17" s="1"/>
  <c r="CN10" i="17"/>
  <c r="CM10" i="17"/>
  <c r="CL10" i="17"/>
  <c r="CK10" i="17"/>
  <c r="CJ10" i="17"/>
  <c r="CH10" i="17"/>
  <c r="CG10" i="17"/>
  <c r="CF10" i="17"/>
  <c r="CE10" i="17"/>
  <c r="CD10" i="17"/>
  <c r="CC10" i="17"/>
  <c r="CB10" i="17"/>
  <c r="CA10" i="17"/>
  <c r="BZ10" i="17"/>
  <c r="BX10" i="17"/>
  <c r="BW10" i="17"/>
  <c r="BV10" i="17"/>
  <c r="BU10" i="17"/>
  <c r="BS10" i="17"/>
  <c r="BR10" i="17"/>
  <c r="BQ10" i="17"/>
  <c r="BP10" i="17"/>
  <c r="BO10" i="17"/>
  <c r="BN10" i="17"/>
  <c r="BM10" i="17"/>
  <c r="AL10" i="17"/>
  <c r="AJ10" i="17"/>
  <c r="KG9" i="17"/>
  <c r="KB9" i="17"/>
  <c r="KA9" i="17"/>
  <c r="JZ9" i="17"/>
  <c r="JY9" i="17"/>
  <c r="JV9" i="17"/>
  <c r="JU9" i="17"/>
  <c r="JS9" i="17"/>
  <c r="JQ9" i="17"/>
  <c r="JP9" i="17"/>
  <c r="JO9" i="17"/>
  <c r="JN9" i="17"/>
  <c r="HF9" i="17"/>
  <c r="HE9" i="17"/>
  <c r="GV9" i="17"/>
  <c r="GU9" i="17"/>
  <c r="GT9" i="17"/>
  <c r="GS9" i="17"/>
  <c r="GL9" i="17"/>
  <c r="GK9" i="17"/>
  <c r="GJ9" i="17"/>
  <c r="GI9" i="17"/>
  <c r="GH9" i="17"/>
  <c r="GG9" i="17"/>
  <c r="GF9" i="17"/>
  <c r="GE9" i="17"/>
  <c r="GD9" i="17"/>
  <c r="GC9" i="17"/>
  <c r="GB9" i="17"/>
  <c r="GA9" i="17"/>
  <c r="FZ9" i="17"/>
  <c r="FY9" i="17"/>
  <c r="FT9" i="17"/>
  <c r="FS9" i="17"/>
  <c r="FP9" i="17"/>
  <c r="FO9" i="17"/>
  <c r="FN9" i="17"/>
  <c r="FK9" i="17"/>
  <c r="FJ9" i="17"/>
  <c r="FL9" i="17" s="1"/>
  <c r="FI9" i="17"/>
  <c r="FF9" i="17"/>
  <c r="FE9" i="17"/>
  <c r="FC9" i="17"/>
  <c r="EZ9" i="17"/>
  <c r="EY9" i="17"/>
  <c r="FA9" i="17" s="1"/>
  <c r="FB9" i="17" s="1"/>
  <c r="EU9" i="17"/>
  <c r="ET9" i="17"/>
  <c r="EV9" i="17" s="1"/>
  <c r="ES9" i="17"/>
  <c r="ER9" i="17"/>
  <c r="EJ9" i="17"/>
  <c r="EF9" i="17"/>
  <c r="ED9" i="17"/>
  <c r="EB9" i="17"/>
  <c r="EA9" i="17"/>
  <c r="DZ9" i="17"/>
  <c r="DY9" i="17"/>
  <c r="DX9" i="17"/>
  <c r="DV9" i="17"/>
  <c r="DU9" i="17"/>
  <c r="DT9" i="17"/>
  <c r="DS9" i="17"/>
  <c r="DR9" i="17"/>
  <c r="DP9" i="17"/>
  <c r="DO9" i="17"/>
  <c r="DN9" i="17"/>
  <c r="DM9" i="17"/>
  <c r="DL9" i="17"/>
  <c r="DK9" i="17"/>
  <c r="DJ9" i="17"/>
  <c r="DI9" i="17"/>
  <c r="DH9" i="17"/>
  <c r="DF9" i="17"/>
  <c r="DE9" i="17"/>
  <c r="DD9" i="17"/>
  <c r="CX9" i="17"/>
  <c r="CW9" i="17"/>
  <c r="CV9" i="17"/>
  <c r="CT9" i="17"/>
  <c r="CQ9" i="17"/>
  <c r="CP9" i="17"/>
  <c r="CO9" i="17"/>
  <c r="CN9" i="17"/>
  <c r="CM9" i="17"/>
  <c r="CL9" i="17"/>
  <c r="CK9" i="17"/>
  <c r="CJ9" i="17"/>
  <c r="CH9" i="17"/>
  <c r="CG9" i="17"/>
  <c r="CF9" i="17"/>
  <c r="CE9" i="17"/>
  <c r="CD9" i="17"/>
  <c r="CC9" i="17"/>
  <c r="CB9" i="17"/>
  <c r="CA9" i="17"/>
  <c r="BZ9" i="17"/>
  <c r="BX9" i="17"/>
  <c r="BW9" i="17"/>
  <c r="BV9" i="17"/>
  <c r="BU9" i="17"/>
  <c r="BS9" i="17"/>
  <c r="BR9" i="17"/>
  <c r="BQ9" i="17"/>
  <c r="BP9" i="17"/>
  <c r="BO9" i="17"/>
  <c r="BN9" i="17"/>
  <c r="BM9" i="17"/>
  <c r="AL9" i="17"/>
  <c r="AJ9" i="17"/>
  <c r="KG8" i="17"/>
  <c r="KB8" i="17"/>
  <c r="KA8" i="17"/>
  <c r="JZ8" i="17"/>
  <c r="JY8" i="17"/>
  <c r="JV8" i="17"/>
  <c r="JU8" i="17"/>
  <c r="JS8" i="17"/>
  <c r="JQ8" i="17"/>
  <c r="JP8" i="17"/>
  <c r="JO8" i="17"/>
  <c r="JN8" i="17"/>
  <c r="HF8" i="17"/>
  <c r="HE8" i="17"/>
  <c r="GV8" i="17"/>
  <c r="GU8" i="17"/>
  <c r="GT8" i="17"/>
  <c r="GS8" i="17"/>
  <c r="GL8" i="17"/>
  <c r="GK8" i="17"/>
  <c r="GJ8" i="17"/>
  <c r="GI8" i="17"/>
  <c r="GH8" i="17"/>
  <c r="GG8" i="17"/>
  <c r="GF8" i="17"/>
  <c r="GE8" i="17"/>
  <c r="GD8" i="17"/>
  <c r="GC8" i="17"/>
  <c r="GB8" i="17"/>
  <c r="GA8" i="17"/>
  <c r="FZ8" i="17"/>
  <c r="FY8" i="17"/>
  <c r="FT8" i="17"/>
  <c r="FS8" i="17"/>
  <c r="FP8" i="17"/>
  <c r="FO8" i="17"/>
  <c r="FN8" i="17"/>
  <c r="FK8" i="17"/>
  <c r="FJ8" i="17"/>
  <c r="FL8" i="17" s="1"/>
  <c r="FI8" i="17"/>
  <c r="FF8" i="17"/>
  <c r="FE8" i="17"/>
  <c r="FC8" i="17"/>
  <c r="EZ8" i="17"/>
  <c r="EY8" i="17"/>
  <c r="FA8" i="17" s="1"/>
  <c r="FB8" i="17" s="1"/>
  <c r="EU8" i="17"/>
  <c r="ET8" i="17"/>
  <c r="EV8" i="17" s="1"/>
  <c r="ES8" i="17"/>
  <c r="ER8" i="17"/>
  <c r="EJ8" i="17"/>
  <c r="EF8" i="17"/>
  <c r="ED8" i="17"/>
  <c r="EB8" i="17"/>
  <c r="EA8" i="17"/>
  <c r="DZ8" i="17"/>
  <c r="DY8" i="17"/>
  <c r="DX8" i="17"/>
  <c r="DV8" i="17"/>
  <c r="DU8" i="17"/>
  <c r="DT8" i="17"/>
  <c r="DS8" i="17"/>
  <c r="DR8" i="17"/>
  <c r="DP8" i="17"/>
  <c r="DO8" i="17"/>
  <c r="DN8" i="17"/>
  <c r="DM8" i="17"/>
  <c r="DL8" i="17"/>
  <c r="DK8" i="17"/>
  <c r="DJ8" i="17"/>
  <c r="DI8" i="17"/>
  <c r="DH8" i="17"/>
  <c r="DF8" i="17"/>
  <c r="DE8" i="17"/>
  <c r="DD8" i="17"/>
  <c r="CX8" i="17"/>
  <c r="CW8" i="17"/>
  <c r="CV8" i="17"/>
  <c r="CT8" i="17"/>
  <c r="CQ8" i="17"/>
  <c r="CP8" i="17"/>
  <c r="CO8" i="17"/>
  <c r="CR8" i="17" s="1"/>
  <c r="CS8" i="17" s="1"/>
  <c r="CY8" i="17" s="1"/>
  <c r="CN8" i="17"/>
  <c r="CM8" i="17"/>
  <c r="CL8" i="17"/>
  <c r="CK8" i="17"/>
  <c r="CJ8" i="17"/>
  <c r="CH8" i="17"/>
  <c r="CG8" i="17"/>
  <c r="CF8" i="17"/>
  <c r="CE8" i="17"/>
  <c r="CD8" i="17"/>
  <c r="CC8" i="17"/>
  <c r="CB8" i="17"/>
  <c r="CA8" i="17"/>
  <c r="BZ8" i="17"/>
  <c r="BX8" i="17"/>
  <c r="BW8" i="17"/>
  <c r="BV8" i="17"/>
  <c r="BU8" i="17"/>
  <c r="BS8" i="17"/>
  <c r="BR8" i="17"/>
  <c r="BQ8" i="17"/>
  <c r="BP8" i="17"/>
  <c r="BO8" i="17"/>
  <c r="BN8" i="17"/>
  <c r="BM8" i="17"/>
  <c r="AL8" i="17"/>
  <c r="AJ8" i="17"/>
  <c r="KG7" i="17"/>
  <c r="KB7" i="17"/>
  <c r="KA7" i="17"/>
  <c r="JZ7" i="17"/>
  <c r="JY7" i="17"/>
  <c r="JV7" i="17"/>
  <c r="JU7" i="17"/>
  <c r="JS7" i="17"/>
  <c r="JQ7" i="17"/>
  <c r="JP7" i="17"/>
  <c r="JO7" i="17"/>
  <c r="JN7" i="17"/>
  <c r="HF7" i="17"/>
  <c r="HE7" i="17"/>
  <c r="GV7" i="17"/>
  <c r="GU7" i="17"/>
  <c r="GT7" i="17"/>
  <c r="GS7" i="17"/>
  <c r="GL7" i="17"/>
  <c r="GK7" i="17"/>
  <c r="GJ7" i="17"/>
  <c r="GI7" i="17"/>
  <c r="GH7" i="17"/>
  <c r="GG7" i="17"/>
  <c r="GF7" i="17"/>
  <c r="GE7" i="17"/>
  <c r="GD7" i="17"/>
  <c r="GC7" i="17"/>
  <c r="GB7" i="17"/>
  <c r="GA7" i="17"/>
  <c r="FZ7" i="17"/>
  <c r="FY7" i="17"/>
  <c r="FT7" i="17"/>
  <c r="FS7" i="17"/>
  <c r="FP7" i="17"/>
  <c r="FO7" i="17"/>
  <c r="FN7" i="17"/>
  <c r="FK7" i="17"/>
  <c r="FJ7" i="17"/>
  <c r="FL7" i="17" s="1"/>
  <c r="FI7" i="17"/>
  <c r="FF7" i="17"/>
  <c r="FE7" i="17"/>
  <c r="FC7" i="17"/>
  <c r="EZ7" i="17"/>
  <c r="EY7" i="17"/>
  <c r="FA7" i="17" s="1"/>
  <c r="FB7" i="17" s="1"/>
  <c r="EU7" i="17"/>
  <c r="ET7" i="17"/>
  <c r="EV7" i="17" s="1"/>
  <c r="ES7" i="17"/>
  <c r="ER7" i="17"/>
  <c r="EJ7" i="17"/>
  <c r="EF7" i="17"/>
  <c r="ED7" i="17"/>
  <c r="EB7" i="17"/>
  <c r="EA7" i="17"/>
  <c r="DZ7" i="17"/>
  <c r="DY7" i="17"/>
  <c r="DX7" i="17"/>
  <c r="DV7" i="17"/>
  <c r="DU7" i="17"/>
  <c r="DT7" i="17"/>
  <c r="DS7" i="17"/>
  <c r="DR7" i="17"/>
  <c r="DP7" i="17"/>
  <c r="DO7" i="17"/>
  <c r="DN7" i="17"/>
  <c r="DM7" i="17"/>
  <c r="DL7" i="17"/>
  <c r="DK7" i="17"/>
  <c r="DJ7" i="17"/>
  <c r="DI7" i="17"/>
  <c r="DH7" i="17"/>
  <c r="DF7" i="17"/>
  <c r="DE7" i="17"/>
  <c r="DD7" i="17"/>
  <c r="CX7" i="17"/>
  <c r="CW7" i="17"/>
  <c r="CV7" i="17"/>
  <c r="CT7" i="17"/>
  <c r="CQ7" i="17"/>
  <c r="CP7" i="17"/>
  <c r="CO7" i="17"/>
  <c r="CR7" i="17" s="1"/>
  <c r="CS7" i="17" s="1"/>
  <c r="CY7" i="17" s="1"/>
  <c r="CN7" i="17"/>
  <c r="CM7" i="17"/>
  <c r="JR7" i="17" s="1"/>
  <c r="CL7" i="17"/>
  <c r="CK7" i="17"/>
  <c r="CJ7" i="17"/>
  <c r="CH7" i="17"/>
  <c r="CG7" i="17"/>
  <c r="CF7" i="17"/>
  <c r="CE7" i="17"/>
  <c r="CD7" i="17"/>
  <c r="CC7" i="17"/>
  <c r="CB7" i="17"/>
  <c r="CA7" i="17"/>
  <c r="BZ7" i="17"/>
  <c r="BX7" i="17"/>
  <c r="BW7" i="17"/>
  <c r="BV7" i="17"/>
  <c r="BU7" i="17"/>
  <c r="BS7" i="17"/>
  <c r="BR7" i="17"/>
  <c r="BQ7" i="17"/>
  <c r="BP7" i="17"/>
  <c r="BO7" i="17"/>
  <c r="BN7" i="17"/>
  <c r="BM7" i="17"/>
  <c r="AL7" i="17"/>
  <c r="AJ7" i="17"/>
  <c r="KG6" i="17"/>
  <c r="KB6" i="17"/>
  <c r="KA6" i="17"/>
  <c r="JZ6" i="17"/>
  <c r="JY6" i="17"/>
  <c r="JV6" i="17"/>
  <c r="JU6" i="17"/>
  <c r="JS6" i="17"/>
  <c r="JQ6" i="17"/>
  <c r="JP6" i="17"/>
  <c r="JO6" i="17"/>
  <c r="JN6" i="17"/>
  <c r="HF6" i="17"/>
  <c r="HE6" i="17"/>
  <c r="GV6" i="17"/>
  <c r="GU6" i="17"/>
  <c r="GT6" i="17"/>
  <c r="GS6" i="17"/>
  <c r="GL6" i="17"/>
  <c r="GK6" i="17"/>
  <c r="GJ6" i="17"/>
  <c r="GI6" i="17"/>
  <c r="GH6" i="17"/>
  <c r="GG6" i="17"/>
  <c r="GF6" i="17"/>
  <c r="GE6" i="17"/>
  <c r="GD6" i="17"/>
  <c r="GC6" i="17"/>
  <c r="GB6" i="17"/>
  <c r="GA6" i="17"/>
  <c r="FZ6" i="17"/>
  <c r="FY6" i="17"/>
  <c r="FT6" i="17"/>
  <c r="FS6" i="17"/>
  <c r="FP6" i="17"/>
  <c r="FO6" i="17"/>
  <c r="FN6" i="17"/>
  <c r="FK6" i="17"/>
  <c r="FJ6" i="17"/>
  <c r="FL6" i="17" s="1"/>
  <c r="FI6" i="17"/>
  <c r="FF6" i="17"/>
  <c r="FE6" i="17"/>
  <c r="FC6" i="17"/>
  <c r="EZ6" i="17"/>
  <c r="EY6" i="17"/>
  <c r="FA6" i="17" s="1"/>
  <c r="FB6" i="17" s="1"/>
  <c r="EU6" i="17"/>
  <c r="ET6" i="17"/>
  <c r="EV6" i="17" s="1"/>
  <c r="ES6" i="17"/>
  <c r="ER6" i="17"/>
  <c r="EJ6" i="17"/>
  <c r="EF6" i="17"/>
  <c r="ED6" i="17"/>
  <c r="EB6" i="17"/>
  <c r="EA6" i="17"/>
  <c r="DZ6" i="17"/>
  <c r="DY6" i="17"/>
  <c r="DX6" i="17"/>
  <c r="DV6" i="17"/>
  <c r="DU6" i="17"/>
  <c r="DT6" i="17"/>
  <c r="DS6" i="17"/>
  <c r="DR6" i="17"/>
  <c r="DP6" i="17"/>
  <c r="DO6" i="17"/>
  <c r="DN6" i="17"/>
  <c r="DM6" i="17"/>
  <c r="DL6" i="17"/>
  <c r="DK6" i="17"/>
  <c r="DJ6" i="17"/>
  <c r="DI6" i="17"/>
  <c r="DH6" i="17"/>
  <c r="DF6" i="17"/>
  <c r="DE6" i="17"/>
  <c r="DD6" i="17"/>
  <c r="CX6" i="17"/>
  <c r="CW6" i="17"/>
  <c r="CV6" i="17"/>
  <c r="CT6" i="17"/>
  <c r="CQ6" i="17"/>
  <c r="CP6" i="17"/>
  <c r="CO6" i="17"/>
  <c r="CN6" i="17"/>
  <c r="CM6" i="17"/>
  <c r="CL6" i="17"/>
  <c r="CK6" i="17"/>
  <c r="CJ6" i="17"/>
  <c r="CH6" i="17"/>
  <c r="CG6" i="17"/>
  <c r="CF6" i="17"/>
  <c r="CE6" i="17"/>
  <c r="CD6" i="17"/>
  <c r="CC6" i="17"/>
  <c r="CB6" i="17"/>
  <c r="CA6" i="17"/>
  <c r="BZ6" i="17"/>
  <c r="BX6" i="17"/>
  <c r="BW6" i="17"/>
  <c r="BV6" i="17"/>
  <c r="BU6" i="17"/>
  <c r="BS6" i="17"/>
  <c r="BR6" i="17"/>
  <c r="BQ6" i="17"/>
  <c r="BP6" i="17"/>
  <c r="BO6" i="17"/>
  <c r="BN6" i="17"/>
  <c r="BM6" i="17"/>
  <c r="AL6" i="17"/>
  <c r="AJ6" i="17"/>
  <c r="KG5" i="17"/>
  <c r="KB5" i="17"/>
  <c r="KA5" i="17"/>
  <c r="JZ5" i="17"/>
  <c r="JY5" i="17"/>
  <c r="JV5" i="17"/>
  <c r="JU5" i="17"/>
  <c r="JS5" i="17"/>
  <c r="JQ5" i="17"/>
  <c r="JP5" i="17"/>
  <c r="JO5" i="17"/>
  <c r="JN5" i="17"/>
  <c r="HF5" i="17"/>
  <c r="HE5" i="17"/>
  <c r="GV5" i="17"/>
  <c r="GU5" i="17"/>
  <c r="GT5" i="17"/>
  <c r="GS5" i="17"/>
  <c r="GL5" i="17"/>
  <c r="GK5" i="17"/>
  <c r="GJ5" i="17"/>
  <c r="GI5" i="17"/>
  <c r="GH5" i="17"/>
  <c r="GG5" i="17"/>
  <c r="GF5" i="17"/>
  <c r="GE5" i="17"/>
  <c r="GD5" i="17"/>
  <c r="GC5" i="17"/>
  <c r="GB5" i="17"/>
  <c r="GA5" i="17"/>
  <c r="FZ5" i="17"/>
  <c r="FY5" i="17"/>
  <c r="FT5" i="17"/>
  <c r="FS5" i="17"/>
  <c r="FP5" i="17"/>
  <c r="FO5" i="17"/>
  <c r="FN5" i="17"/>
  <c r="FK5" i="17"/>
  <c r="FJ5" i="17"/>
  <c r="FL5" i="17" s="1"/>
  <c r="FI5" i="17"/>
  <c r="FF5" i="17"/>
  <c r="FE5" i="17"/>
  <c r="FC5" i="17"/>
  <c r="EZ5" i="17"/>
  <c r="EY5" i="17"/>
  <c r="FA5" i="17" s="1"/>
  <c r="FB5" i="17" s="1"/>
  <c r="EU5" i="17"/>
  <c r="ET5" i="17"/>
  <c r="EV5" i="17" s="1"/>
  <c r="ES5" i="17"/>
  <c r="ER5" i="17"/>
  <c r="EJ5" i="17"/>
  <c r="EF5" i="17"/>
  <c r="ED5" i="17"/>
  <c r="EB5" i="17"/>
  <c r="EA5" i="17"/>
  <c r="DZ5" i="17"/>
  <c r="DY5" i="17"/>
  <c r="DX5" i="17"/>
  <c r="DV5" i="17"/>
  <c r="DU5" i="17"/>
  <c r="DT5" i="17"/>
  <c r="DS5" i="17"/>
  <c r="DR5" i="17"/>
  <c r="DP5" i="17"/>
  <c r="DO5" i="17"/>
  <c r="DN5" i="17"/>
  <c r="DM5" i="17"/>
  <c r="DL5" i="17"/>
  <c r="DK5" i="17"/>
  <c r="DJ5" i="17"/>
  <c r="DI5" i="17"/>
  <c r="DH5" i="17"/>
  <c r="DF5" i="17"/>
  <c r="DE5" i="17"/>
  <c r="DD5" i="17"/>
  <c r="CX5" i="17"/>
  <c r="CW5" i="17"/>
  <c r="CV5" i="17"/>
  <c r="CT5" i="17"/>
  <c r="CQ5" i="17"/>
  <c r="CP5" i="17"/>
  <c r="CO5" i="17"/>
  <c r="CR5" i="17" s="1"/>
  <c r="CS5" i="17" s="1"/>
  <c r="CY5" i="17" s="1"/>
  <c r="CN5" i="17"/>
  <c r="CM5" i="17"/>
  <c r="JR5" i="17" s="1"/>
  <c r="CL5" i="17"/>
  <c r="CK5" i="17"/>
  <c r="CJ5" i="17"/>
  <c r="CH5" i="17"/>
  <c r="CG5" i="17"/>
  <c r="CF5" i="17"/>
  <c r="CE5" i="17"/>
  <c r="CD5" i="17"/>
  <c r="CC5" i="17"/>
  <c r="CB5" i="17"/>
  <c r="CA5" i="17"/>
  <c r="BZ5" i="17"/>
  <c r="BY5" i="17"/>
  <c r="BX5" i="17"/>
  <c r="BW5" i="17"/>
  <c r="BV5" i="17"/>
  <c r="BU5" i="17"/>
  <c r="BS5" i="17"/>
  <c r="BR5" i="17"/>
  <c r="BQ5" i="17"/>
  <c r="BP5" i="17"/>
  <c r="BO5" i="17"/>
  <c r="BN5" i="17"/>
  <c r="BM5" i="17"/>
  <c r="AL5" i="17"/>
  <c r="AJ5" i="17"/>
  <c r="EH5" i="17" l="1"/>
  <c r="FG5" i="17"/>
  <c r="FH5" i="17" s="1"/>
  <c r="FQ5" i="17"/>
  <c r="CR6" i="17"/>
  <c r="CS6" i="17" s="1"/>
  <c r="CY6" i="17" s="1"/>
  <c r="JR6" i="17"/>
  <c r="EH6" i="17"/>
  <c r="FG6" i="17"/>
  <c r="FH6" i="17" s="1"/>
  <c r="FQ6" i="17"/>
  <c r="EH7" i="17"/>
  <c r="FG7" i="17"/>
  <c r="FH7" i="17" s="1"/>
  <c r="FQ7" i="17"/>
  <c r="EH8" i="17"/>
  <c r="FG8" i="17"/>
  <c r="FH8" i="17" s="1"/>
  <c r="FQ8" i="17"/>
  <c r="CR9" i="17"/>
  <c r="CS9" i="17" s="1"/>
  <c r="CY9" i="17" s="1"/>
  <c r="JR9" i="17"/>
  <c r="EH9" i="17"/>
  <c r="FG9" i="17"/>
  <c r="FH9" i="17" s="1"/>
  <c r="FQ9" i="17"/>
  <c r="EH10" i="17"/>
  <c r="FG10" i="17"/>
  <c r="FH10" i="17" s="1"/>
  <c r="FQ10" i="17"/>
  <c r="CR11" i="17"/>
  <c r="CS11" i="17" s="1"/>
  <c r="CY11" i="17" s="1"/>
  <c r="EH11" i="17"/>
  <c r="FG11" i="17"/>
  <c r="FH11" i="17" s="1"/>
  <c r="FQ11" i="17"/>
  <c r="EH12" i="17"/>
  <c r="FG12" i="17"/>
  <c r="FH12" i="17" s="1"/>
  <c r="FQ12" i="17"/>
  <c r="EV13" i="17"/>
  <c r="FA13" i="17"/>
  <c r="FB13" i="17" s="1"/>
  <c r="FL13" i="17"/>
  <c r="FA14" i="17"/>
  <c r="FB14" i="17" s="1"/>
  <c r="FL14" i="17"/>
  <c r="CR15" i="17"/>
  <c r="CS15" i="17" s="1"/>
  <c r="CY15" i="17" s="1"/>
  <c r="EV15" i="17"/>
  <c r="FA15" i="17"/>
  <c r="FB15" i="17" s="1"/>
  <c r="FL15" i="17"/>
  <c r="EV16" i="17"/>
  <c r="FA16" i="17"/>
  <c r="FB16" i="17" s="1"/>
  <c r="FL16" i="17"/>
  <c r="CR17" i="17"/>
  <c r="CS17" i="17" s="1"/>
  <c r="CY17" i="17" s="1"/>
  <c r="EV17" i="17"/>
  <c r="FA17" i="17"/>
  <c r="FB17" i="17" s="1"/>
  <c r="FL17" i="17"/>
  <c r="EV18" i="17"/>
  <c r="FA18" i="17"/>
  <c r="FB18" i="17" s="1"/>
  <c r="FL18" i="17"/>
  <c r="CR19" i="17"/>
  <c r="CS19" i="17" s="1"/>
  <c r="CY19" i="17" s="1"/>
  <c r="EV19" i="17"/>
  <c r="FA19" i="17"/>
  <c r="FB19" i="17" s="1"/>
  <c r="FL19" i="17"/>
  <c r="EV20" i="17"/>
  <c r="FA20" i="17"/>
  <c r="FB20" i="17" s="1"/>
  <c r="FL20" i="17"/>
  <c r="CR21" i="17"/>
  <c r="CS21" i="17" s="1"/>
  <c r="CY21" i="17" s="1"/>
  <c r="EV21" i="17"/>
  <c r="FA21" i="17"/>
  <c r="FB21" i="17" s="1"/>
  <c r="FL21" i="17"/>
  <c r="EV22" i="17"/>
  <c r="FA22" i="17"/>
  <c r="FB22" i="17" s="1"/>
  <c r="FL22" i="17"/>
  <c r="CR23" i="17"/>
  <c r="CS23" i="17" s="1"/>
  <c r="CY23" i="17" s="1"/>
  <c r="EV23" i="17"/>
  <c r="FA23" i="17"/>
  <c r="FB23" i="17" s="1"/>
  <c r="FL23" i="17"/>
  <c r="EV24" i="17"/>
  <c r="FA24" i="17"/>
  <c r="FB24" i="17" s="1"/>
  <c r="FL24" i="17"/>
  <c r="CR25" i="17"/>
  <c r="CS25" i="17" s="1"/>
  <c r="CY25" i="17" s="1"/>
  <c r="EV25" i="17"/>
  <c r="FA25" i="17"/>
  <c r="FB25" i="17" s="1"/>
  <c r="FL25" i="17"/>
  <c r="EV26" i="17"/>
  <c r="FA26" i="17"/>
  <c r="FB26" i="17" s="1"/>
  <c r="FL26" i="17"/>
  <c r="CR27" i="17"/>
  <c r="CS27" i="17" s="1"/>
  <c r="CY27" i="17" s="1"/>
  <c r="EV27" i="17"/>
  <c r="FA27" i="17"/>
  <c r="FB27" i="17" s="1"/>
  <c r="FL27" i="17"/>
  <c r="EV28" i="17"/>
  <c r="FA28" i="17"/>
  <c r="FB28" i="17" s="1"/>
  <c r="FL28" i="17"/>
  <c r="CR29" i="17"/>
  <c r="CS29" i="17" s="1"/>
  <c r="CY29" i="17" s="1"/>
  <c r="EV29" i="17"/>
  <c r="FA29" i="17"/>
  <c r="FB29" i="17" s="1"/>
  <c r="FL29" i="17"/>
  <c r="EV30" i="17"/>
  <c r="FA30" i="17"/>
  <c r="FB30" i="17" s="1"/>
  <c r="FL30" i="17"/>
  <c r="CR31" i="17"/>
  <c r="CS31" i="17" s="1"/>
  <c r="CY31" i="17" s="1"/>
  <c r="EV31" i="17"/>
  <c r="FA31" i="17"/>
  <c r="FB31" i="17" s="1"/>
  <c r="FL31" i="17"/>
  <c r="EV32" i="17"/>
  <c r="FA32" i="17"/>
  <c r="FB32" i="17" s="1"/>
  <c r="FL32" i="17"/>
  <c r="CR33" i="17"/>
  <c r="CS33" i="17" s="1"/>
  <c r="CY33" i="17" s="1"/>
  <c r="EV33" i="17"/>
  <c r="FA33" i="17"/>
  <c r="FB33" i="17" s="1"/>
  <c r="FL33" i="17"/>
  <c r="EV34" i="17"/>
  <c r="FA34" i="17"/>
  <c r="FB34" i="17" s="1"/>
  <c r="FL34" i="17"/>
  <c r="CR35" i="17"/>
  <c r="CS35" i="17" s="1"/>
  <c r="CY35" i="17" s="1"/>
  <c r="EV35" i="17"/>
  <c r="FA35" i="17"/>
  <c r="FB35" i="17" s="1"/>
  <c r="FL35" i="17"/>
  <c r="EV36" i="17"/>
  <c r="FA36" i="17"/>
  <c r="FB36" i="17" s="1"/>
  <c r="FL36" i="17"/>
  <c r="CR37" i="17"/>
  <c r="CS37" i="17" s="1"/>
  <c r="CY37" i="17" s="1"/>
  <c r="EV37" i="17"/>
  <c r="FA37" i="17"/>
  <c r="FB37" i="17" s="1"/>
  <c r="FL37" i="17"/>
  <c r="EV38" i="17"/>
  <c r="FA38" i="17"/>
  <c r="FB38" i="17" s="1"/>
  <c r="FL38" i="17"/>
  <c r="CR39" i="17"/>
  <c r="CS39" i="17" s="1"/>
  <c r="CY39" i="17" s="1"/>
  <c r="EV39" i="17"/>
  <c r="FA39" i="17"/>
  <c r="FB39" i="17" s="1"/>
  <c r="FL39" i="17"/>
  <c r="EV40" i="17"/>
  <c r="FA40" i="17"/>
  <c r="FB40" i="17" s="1"/>
  <c r="FL40" i="17"/>
  <c r="CR41" i="17"/>
  <c r="CS41" i="17" s="1"/>
  <c r="CY41" i="17" s="1"/>
  <c r="EV41" i="17"/>
  <c r="FA41" i="17"/>
  <c r="FB41" i="17" s="1"/>
  <c r="FL41" i="17"/>
  <c r="EV42" i="17"/>
  <c r="FA42" i="17"/>
  <c r="FB42" i="17" s="1"/>
  <c r="FL42" i="17"/>
  <c r="CR43" i="17"/>
  <c r="CS43" i="17" s="1"/>
  <c r="CY43" i="17" s="1"/>
  <c r="EV43" i="17"/>
  <c r="FA43" i="17"/>
  <c r="FB43" i="17" s="1"/>
  <c r="FL43" i="17"/>
  <c r="EV44" i="17"/>
  <c r="FA44" i="17"/>
  <c r="FB44" i="17" s="1"/>
  <c r="FL44" i="17"/>
  <c r="CR45" i="17"/>
  <c r="CS45" i="17" s="1"/>
  <c r="CY45" i="17" s="1"/>
  <c r="EV45" i="17"/>
  <c r="FA45" i="17"/>
  <c r="FB45" i="17" s="1"/>
  <c r="FL45" i="17"/>
  <c r="EV46" i="17"/>
  <c r="FA46" i="17"/>
  <c r="FB46" i="17" s="1"/>
  <c r="FL46" i="17"/>
  <c r="CR47" i="17"/>
  <c r="CS47" i="17" s="1"/>
  <c r="CY47" i="17" s="1"/>
  <c r="EV47" i="17"/>
  <c r="FA47" i="17"/>
  <c r="FB47" i="17" s="1"/>
  <c r="FL47" i="17"/>
  <c r="EV48" i="17"/>
  <c r="FA48" i="17"/>
  <c r="FB48" i="17" s="1"/>
  <c r="FL48" i="17"/>
  <c r="CR49" i="17"/>
  <c r="CS49" i="17" s="1"/>
  <c r="CY49" i="17" s="1"/>
  <c r="EV49" i="17"/>
  <c r="FA49" i="17"/>
  <c r="FB49" i="17" s="1"/>
  <c r="FL49" i="17"/>
  <c r="EV50" i="17"/>
  <c r="FA50" i="17"/>
  <c r="FB50" i="17" s="1"/>
  <c r="FL50" i="17"/>
  <c r="CR51" i="17"/>
  <c r="CS51" i="17" s="1"/>
  <c r="CY51" i="17" s="1"/>
  <c r="EV51" i="17"/>
  <c r="FA51" i="17"/>
  <c r="FB51" i="17" s="1"/>
  <c r="FL51" i="17"/>
  <c r="EV52" i="17"/>
  <c r="FA52" i="17"/>
  <c r="FB52" i="17" s="1"/>
  <c r="FL52" i="17"/>
  <c r="CR53" i="17"/>
  <c r="CS53" i="17" s="1"/>
  <c r="CY53" i="17" s="1"/>
  <c r="EV53" i="17"/>
  <c r="FA53" i="17"/>
  <c r="FB53" i="17" s="1"/>
  <c r="FL53" i="17"/>
  <c r="EV54" i="17"/>
  <c r="FA54" i="17"/>
  <c r="FB54" i="17" s="1"/>
  <c r="FL54" i="17"/>
  <c r="CR55" i="17"/>
  <c r="CS55" i="17" s="1"/>
  <c r="CY55" i="17" s="1"/>
  <c r="EV55" i="17"/>
  <c r="FA55" i="17"/>
  <c r="FB55" i="17" s="1"/>
  <c r="FL55" i="17"/>
  <c r="EV56" i="17"/>
  <c r="FA56" i="17"/>
  <c r="FB56" i="17" s="1"/>
  <c r="FL56" i="17"/>
  <c r="JR57" i="17"/>
  <c r="EW57" i="17" s="1"/>
  <c r="CR57" i="17"/>
  <c r="CS57" i="17" s="1"/>
  <c r="CY57" i="17" s="1"/>
  <c r="EV57" i="17"/>
  <c r="FA57" i="17"/>
  <c r="FB57" i="17" s="1"/>
  <c r="FL57" i="17"/>
  <c r="FA58" i="17"/>
  <c r="FB58" i="17" s="1"/>
  <c r="FL58" i="17"/>
  <c r="CR59" i="17"/>
  <c r="CS59" i="17" s="1"/>
  <c r="CY59" i="17" s="1"/>
  <c r="EV59" i="17"/>
  <c r="FA59" i="17"/>
  <c r="FB59" i="17" s="1"/>
  <c r="FL59" i="17"/>
  <c r="EV60" i="17"/>
  <c r="FA60" i="17"/>
  <c r="FB60" i="17" s="1"/>
  <c r="FL60" i="17"/>
  <c r="CR61" i="17"/>
  <c r="CS61" i="17" s="1"/>
  <c r="CY61" i="17" s="1"/>
  <c r="EV61" i="17"/>
  <c r="FA61" i="17"/>
  <c r="FB61" i="17" s="1"/>
  <c r="FL61" i="17"/>
  <c r="EV62" i="17"/>
  <c r="FA62" i="17"/>
  <c r="FB62" i="17" s="1"/>
  <c r="FL62" i="17"/>
  <c r="CR63" i="17"/>
  <c r="CS63" i="17" s="1"/>
  <c r="CY63" i="17" s="1"/>
  <c r="EV63" i="17"/>
  <c r="FA63" i="17"/>
  <c r="FB63" i="17" s="1"/>
  <c r="FL63" i="17"/>
  <c r="EV64" i="17"/>
  <c r="FA64" i="17"/>
  <c r="FB64" i="17" s="1"/>
  <c r="FL64" i="17"/>
  <c r="CR65" i="17"/>
  <c r="CS65" i="17" s="1"/>
  <c r="CY65" i="17" s="1"/>
  <c r="EV65" i="17"/>
  <c r="FA65" i="17"/>
  <c r="FB65" i="17" s="1"/>
  <c r="FL65" i="17"/>
  <c r="EV66" i="17"/>
  <c r="FA66" i="17"/>
  <c r="FB66" i="17" s="1"/>
  <c r="FL66" i="17"/>
  <c r="CR67" i="17"/>
  <c r="CS67" i="17" s="1"/>
  <c r="CY67" i="17" s="1"/>
  <c r="EV67" i="17"/>
  <c r="FA67" i="17"/>
  <c r="FB67" i="17" s="1"/>
  <c r="FL67" i="17"/>
  <c r="EV68" i="17"/>
  <c r="FA68" i="17"/>
  <c r="FB68" i="17" s="1"/>
  <c r="FL68" i="17"/>
  <c r="CR69" i="17"/>
  <c r="CS69" i="17" s="1"/>
  <c r="CY69" i="17" s="1"/>
  <c r="EV69" i="17"/>
  <c r="FA69" i="17"/>
  <c r="FB69" i="17" s="1"/>
  <c r="FL69" i="17"/>
  <c r="EV70" i="17"/>
  <c r="FA70" i="17"/>
  <c r="FB70" i="17" s="1"/>
  <c r="FL70" i="17"/>
  <c r="CR71" i="17"/>
  <c r="CS71" i="17" s="1"/>
  <c r="CY71" i="17" s="1"/>
  <c r="EV71" i="17"/>
  <c r="FA71" i="17"/>
  <c r="FB71" i="17" s="1"/>
  <c r="FL71" i="17"/>
  <c r="EV72" i="17"/>
  <c r="FA72" i="17"/>
  <c r="FB72" i="17" s="1"/>
  <c r="FL72" i="17"/>
  <c r="CR73" i="17"/>
  <c r="CS73" i="17" s="1"/>
  <c r="CY73" i="17" s="1"/>
  <c r="EV73" i="17"/>
  <c r="FA73" i="17"/>
  <c r="FB73" i="17" s="1"/>
  <c r="FL73" i="17"/>
  <c r="EV74" i="17"/>
  <c r="FA74" i="17"/>
  <c r="FB74" i="17" s="1"/>
  <c r="FL74" i="17"/>
  <c r="CR75" i="17"/>
  <c r="CS75" i="17" s="1"/>
  <c r="CY75" i="17" s="1"/>
  <c r="EV75" i="17"/>
  <c r="FA75" i="17"/>
  <c r="FB75" i="17" s="1"/>
  <c r="FL75" i="17"/>
  <c r="EV76" i="17"/>
  <c r="FA76" i="17"/>
  <c r="FB76" i="17" s="1"/>
  <c r="FL76" i="17"/>
  <c r="CR77" i="17"/>
  <c r="CS77" i="17" s="1"/>
  <c r="CY77" i="17" s="1"/>
  <c r="EV77" i="17"/>
  <c r="FA77" i="17"/>
  <c r="FB77" i="17" s="1"/>
  <c r="FL77" i="17"/>
  <c r="EV78" i="17"/>
  <c r="FA78" i="17"/>
  <c r="FB78" i="17" s="1"/>
  <c r="FL78" i="17"/>
  <c r="CR79" i="17"/>
  <c r="CS79" i="17" s="1"/>
  <c r="CY79" i="17" s="1"/>
  <c r="EV79" i="17"/>
  <c r="FA79" i="17"/>
  <c r="FB79" i="17" s="1"/>
  <c r="FL79" i="17"/>
  <c r="EV80" i="17"/>
  <c r="FA80" i="17"/>
  <c r="FB80" i="17" s="1"/>
  <c r="FL80" i="17"/>
  <c r="JR81" i="17"/>
  <c r="CR81" i="17"/>
  <c r="CS81" i="17" s="1"/>
  <c r="CY81" i="17" s="1"/>
  <c r="EV81" i="17"/>
  <c r="FA81" i="17"/>
  <c r="FB81" i="17" s="1"/>
  <c r="FL81" i="17"/>
  <c r="EV82" i="17"/>
  <c r="FA82" i="17"/>
  <c r="FB82" i="17" s="1"/>
  <c r="FL82" i="17"/>
  <c r="CR83" i="17"/>
  <c r="CS83" i="17" s="1"/>
  <c r="CY83" i="17" s="1"/>
  <c r="EV83" i="17"/>
  <c r="FA83" i="17"/>
  <c r="FB83" i="17" s="1"/>
  <c r="FL83" i="17"/>
  <c r="JR84" i="17"/>
  <c r="EV84" i="17"/>
  <c r="FA84" i="17"/>
  <c r="FB84" i="17" s="1"/>
  <c r="FL84" i="17"/>
  <c r="CR85" i="17"/>
  <c r="CS85" i="17" s="1"/>
  <c r="CY85" i="17" s="1"/>
  <c r="EV85" i="17"/>
  <c r="FA85" i="17"/>
  <c r="FB85" i="17" s="1"/>
  <c r="FL85" i="17"/>
  <c r="JR86" i="17"/>
  <c r="EV86" i="17"/>
  <c r="FA86" i="17"/>
  <c r="FB86" i="17" s="1"/>
  <c r="FL86" i="17"/>
  <c r="CR87" i="17"/>
  <c r="CS87" i="17" s="1"/>
  <c r="CY87" i="17" s="1"/>
  <c r="EV87" i="17"/>
  <c r="FA87" i="17"/>
  <c r="FB87" i="17" s="1"/>
  <c r="FL87" i="17"/>
  <c r="JR88" i="17"/>
  <c r="EV88" i="17"/>
  <c r="FA88" i="17"/>
  <c r="FB88" i="17" s="1"/>
  <c r="FL88" i="17"/>
  <c r="CR89" i="17"/>
  <c r="CS89" i="17" s="1"/>
  <c r="CY89" i="17" s="1"/>
  <c r="EV89" i="17"/>
  <c r="FA89" i="17"/>
  <c r="FB89" i="17" s="1"/>
  <c r="FL89" i="17"/>
  <c r="JR90" i="17"/>
  <c r="EV90" i="17"/>
  <c r="FA90" i="17"/>
  <c r="FB90" i="17" s="1"/>
  <c r="FL90" i="17"/>
  <c r="CR91" i="17"/>
  <c r="CS91" i="17" s="1"/>
  <c r="CY91" i="17" s="1"/>
  <c r="EV91" i="17"/>
  <c r="FA91" i="17"/>
  <c r="FB91" i="17" s="1"/>
  <c r="FL91" i="17"/>
  <c r="JR92" i="17"/>
  <c r="EV92" i="17"/>
  <c r="FA92" i="17"/>
  <c r="FB92" i="17" s="1"/>
  <c r="FL92" i="17"/>
  <c r="CR93" i="17"/>
  <c r="CS93" i="17" s="1"/>
  <c r="CY93" i="17" s="1"/>
  <c r="EV93" i="17"/>
  <c r="FA93" i="17"/>
  <c r="FB93" i="17" s="1"/>
  <c r="FL93" i="17"/>
  <c r="JR94" i="17"/>
  <c r="EV94" i="17"/>
  <c r="FA94" i="17"/>
  <c r="FB94" i="17" s="1"/>
  <c r="FL94" i="17"/>
  <c r="CR95" i="17"/>
  <c r="CS95" i="17" s="1"/>
  <c r="CY95" i="17" s="1"/>
  <c r="EV95" i="17"/>
  <c r="FA95" i="17"/>
  <c r="FB95" i="17" s="1"/>
  <c r="FL95" i="17"/>
  <c r="JR96" i="17"/>
  <c r="EV96" i="17"/>
  <c r="FA96" i="17"/>
  <c r="FB96" i="17" s="1"/>
  <c r="FL96" i="17"/>
  <c r="CR97" i="17"/>
  <c r="CS97" i="17" s="1"/>
  <c r="CY97" i="17" s="1"/>
  <c r="EV97" i="17"/>
  <c r="FA97" i="17"/>
  <c r="FB97" i="17" s="1"/>
  <c r="FL97" i="17"/>
  <c r="JR98" i="17"/>
  <c r="EV98" i="17"/>
  <c r="FA98" i="17"/>
  <c r="FB98" i="17" s="1"/>
  <c r="FL98" i="17"/>
  <c r="CR99" i="17"/>
  <c r="CS99" i="17" s="1"/>
  <c r="CY99" i="17" s="1"/>
  <c r="EV99" i="17"/>
  <c r="FA99" i="17"/>
  <c r="FB99" i="17" s="1"/>
  <c r="FL99" i="17"/>
  <c r="JR100" i="17"/>
  <c r="EV100" i="17"/>
  <c r="FA100" i="17"/>
  <c r="FB100" i="17" s="1"/>
  <c r="FL100" i="17"/>
  <c r="CR101" i="17"/>
  <c r="CS101" i="17" s="1"/>
  <c r="CY101" i="17" s="1"/>
  <c r="EV101" i="17"/>
  <c r="FA101" i="17"/>
  <c r="FB101" i="17" s="1"/>
  <c r="FL101" i="17"/>
  <c r="JR102" i="17"/>
  <c r="EV102" i="17"/>
  <c r="FA102" i="17"/>
  <c r="FB102" i="17" s="1"/>
  <c r="FL102" i="17"/>
  <c r="CR103" i="17"/>
  <c r="CS103" i="17" s="1"/>
  <c r="CY103" i="17" s="1"/>
  <c r="EV103" i="17"/>
  <c r="CR104" i="17"/>
  <c r="CS104" i="17" s="1"/>
  <c r="CY104" i="17" s="1"/>
  <c r="EV104" i="17"/>
  <c r="FA104" i="17"/>
  <c r="FB104" i="17" s="1"/>
  <c r="FL104" i="17"/>
  <c r="JR105" i="17"/>
  <c r="EV105" i="17"/>
  <c r="FA105" i="17"/>
  <c r="FB105" i="17" s="1"/>
  <c r="FL105" i="17"/>
  <c r="CR106" i="17"/>
  <c r="CS106" i="17" s="1"/>
  <c r="CY106" i="17" s="1"/>
  <c r="EV106" i="17"/>
  <c r="FA106" i="17"/>
  <c r="FB106" i="17" s="1"/>
  <c r="FL106" i="17"/>
  <c r="JR107" i="17"/>
  <c r="EV107" i="17"/>
  <c r="FA107" i="17"/>
  <c r="FB107" i="17" s="1"/>
  <c r="FL107" i="17"/>
  <c r="CR108" i="17"/>
  <c r="CS108" i="17" s="1"/>
  <c r="CY108" i="17" s="1"/>
  <c r="EV108" i="17"/>
  <c r="FA108" i="17"/>
  <c r="FB108" i="17" s="1"/>
  <c r="FL108" i="17"/>
  <c r="JR109" i="17"/>
  <c r="EV109" i="17"/>
  <c r="FA109" i="17"/>
  <c r="FB109" i="17" s="1"/>
  <c r="FL109" i="17"/>
  <c r="CR110" i="17"/>
  <c r="CS110" i="17" s="1"/>
  <c r="CY110" i="17" s="1"/>
  <c r="EV110" i="17"/>
  <c r="FA110" i="17"/>
  <c r="FB110" i="17" s="1"/>
  <c r="FL110" i="17"/>
  <c r="JR111" i="17"/>
  <c r="EV111" i="17"/>
  <c r="FA111" i="17"/>
  <c r="FB111" i="17" s="1"/>
  <c r="FL111" i="17"/>
  <c r="CR112" i="17"/>
  <c r="CS112" i="17" s="1"/>
  <c r="CY112" i="17" s="1"/>
  <c r="EV112" i="17"/>
  <c r="FA112" i="17"/>
  <c r="FB112" i="17" s="1"/>
  <c r="FL112" i="17"/>
  <c r="JR113" i="17"/>
  <c r="EV113" i="17"/>
  <c r="FA113" i="17"/>
  <c r="FB113" i="17" s="1"/>
  <c r="FL113" i="17"/>
  <c r="CR114" i="17"/>
  <c r="CS114" i="17" s="1"/>
  <c r="CY114" i="17" s="1"/>
  <c r="EV114" i="17"/>
  <c r="FA114" i="17"/>
  <c r="FB114" i="17" s="1"/>
  <c r="FL114" i="17"/>
  <c r="EV115" i="17"/>
  <c r="JR116" i="17"/>
  <c r="CR116" i="17"/>
  <c r="CS116" i="17" s="1"/>
  <c r="CY116" i="17" s="1"/>
  <c r="EH116" i="17"/>
  <c r="FG116" i="17"/>
  <c r="FH116" i="17" s="1"/>
  <c r="FQ116" i="17"/>
  <c r="CR117" i="17"/>
  <c r="CS117" i="17" s="1"/>
  <c r="CY117" i="17" s="1"/>
  <c r="JR117" i="17"/>
  <c r="EH117" i="17"/>
  <c r="FG117" i="17"/>
  <c r="FH117" i="17" s="1"/>
  <c r="FQ117" i="17"/>
  <c r="EH118" i="17"/>
  <c r="CR119" i="17"/>
  <c r="CS119" i="17" s="1"/>
  <c r="CY119" i="17" s="1"/>
  <c r="JR119" i="17"/>
  <c r="FG119" i="17"/>
  <c r="FH119" i="17" s="1"/>
  <c r="FQ119" i="17"/>
  <c r="EV120" i="17"/>
  <c r="FA120" i="17"/>
  <c r="FB120" i="17" s="1"/>
  <c r="FL120" i="17"/>
  <c r="FA121" i="17"/>
  <c r="FB121" i="17" s="1"/>
  <c r="FL121" i="17"/>
  <c r="JR122" i="17"/>
  <c r="CR122" i="17"/>
  <c r="CS122" i="17" s="1"/>
  <c r="CY122" i="17" s="1"/>
  <c r="EV122" i="17"/>
  <c r="FA122" i="17"/>
  <c r="FB122" i="17" s="1"/>
  <c r="FL122" i="17"/>
  <c r="FV4" i="4"/>
  <c r="FX4" i="4"/>
  <c r="FZ5" i="4"/>
  <c r="FV7" i="4"/>
  <c r="FX7" i="4"/>
  <c r="FV8" i="4"/>
  <c r="FX8" i="4"/>
  <c r="FZ9" i="4"/>
  <c r="FV11" i="4"/>
  <c r="FX11" i="4"/>
  <c r="FV12" i="4"/>
  <c r="FX12" i="4"/>
  <c r="FV13" i="4"/>
  <c r="FX13" i="4"/>
  <c r="FZ14" i="4"/>
  <c r="FV16" i="4"/>
  <c r="FX16" i="4"/>
  <c r="FV17" i="4"/>
  <c r="FX17" i="4"/>
  <c r="FZ18" i="4"/>
  <c r="FZ19" i="4"/>
  <c r="FZ20" i="4"/>
  <c r="FZ21" i="4"/>
  <c r="FZ22" i="4"/>
  <c r="FZ23" i="4"/>
  <c r="FZ24" i="4"/>
  <c r="FZ25" i="4"/>
  <c r="FZ26" i="4"/>
  <c r="FZ27" i="4"/>
  <c r="FZ28" i="4"/>
  <c r="FY29" i="4"/>
  <c r="FV31" i="4"/>
  <c r="FX31" i="4"/>
  <c r="FZ31" i="4"/>
  <c r="FV32" i="4"/>
  <c r="FX32" i="4"/>
  <c r="FZ32" i="4"/>
  <c r="FY33" i="4"/>
  <c r="EL5" i="17"/>
  <c r="CZ5" i="17"/>
  <c r="CU5" i="17" s="1"/>
  <c r="HM5" i="17"/>
  <c r="HK5" i="17"/>
  <c r="FW5" i="17"/>
  <c r="KF5" i="17"/>
  <c r="HO5" i="17"/>
  <c r="GM5" i="17"/>
  <c r="GN5" i="17" s="1"/>
  <c r="GO5" i="17" s="1"/>
  <c r="HM6" i="17"/>
  <c r="FW6" i="17"/>
  <c r="HK6" i="17"/>
  <c r="KF6" i="17"/>
  <c r="HO6" i="17"/>
  <c r="GM6" i="17"/>
  <c r="GN6" i="17" s="1"/>
  <c r="GO6" i="17" s="1"/>
  <c r="JT7" i="17"/>
  <c r="EW7" i="17"/>
  <c r="EL7" i="17"/>
  <c r="CZ7" i="17"/>
  <c r="CU7" i="17" s="1"/>
  <c r="JX7" i="17" s="1"/>
  <c r="HM7" i="17"/>
  <c r="HK7" i="17"/>
  <c r="FW7" i="17"/>
  <c r="KF7" i="17"/>
  <c r="HO7" i="17"/>
  <c r="GM7" i="17"/>
  <c r="GN7" i="17" s="1"/>
  <c r="GO7" i="17" s="1"/>
  <c r="EL8" i="17"/>
  <c r="CZ8" i="17"/>
  <c r="CU8" i="17" s="1"/>
  <c r="JW8" i="17" s="1"/>
  <c r="HM8" i="17"/>
  <c r="HK8" i="17"/>
  <c r="FW8" i="17"/>
  <c r="KF8" i="17"/>
  <c r="HO8" i="17"/>
  <c r="GM8" i="17"/>
  <c r="GN8" i="17" s="1"/>
  <c r="GO8" i="17" s="1"/>
  <c r="HM9" i="17"/>
  <c r="HK9" i="17"/>
  <c r="FW9" i="17"/>
  <c r="KF9" i="17"/>
  <c r="HO9" i="17"/>
  <c r="GM9" i="17"/>
  <c r="GN9" i="17" s="1"/>
  <c r="GO9" i="17" s="1"/>
  <c r="EL10" i="17"/>
  <c r="CZ10" i="17"/>
  <c r="CU10" i="17" s="1"/>
  <c r="JW10" i="17" s="1"/>
  <c r="HM10" i="17"/>
  <c r="HK10" i="17"/>
  <c r="FW10" i="17"/>
  <c r="KF10" i="17"/>
  <c r="HO10" i="17"/>
  <c r="GM10" i="17"/>
  <c r="GN10" i="17" s="1"/>
  <c r="GO10" i="17" s="1"/>
  <c r="JT11" i="17"/>
  <c r="EW11" i="17"/>
  <c r="HM11" i="17"/>
  <c r="HK11" i="17"/>
  <c r="FW11" i="17"/>
  <c r="KF11" i="17"/>
  <c r="HO11" i="17"/>
  <c r="GM11" i="17"/>
  <c r="GN11" i="17" s="1"/>
  <c r="GO11" i="17" s="1"/>
  <c r="JT12" i="17"/>
  <c r="EW12" i="17"/>
  <c r="EL12" i="17"/>
  <c r="CZ12" i="17"/>
  <c r="CU12" i="17" s="1"/>
  <c r="JX12" i="17" s="1"/>
  <c r="HK12" i="17"/>
  <c r="HM12" i="17"/>
  <c r="FW12" i="17"/>
  <c r="KF12" i="17"/>
  <c r="HO12" i="17"/>
  <c r="GM12" i="17"/>
  <c r="GN12" i="17" s="1"/>
  <c r="GO12" i="17" s="1"/>
  <c r="EI13" i="17"/>
  <c r="EL14" i="17"/>
  <c r="CZ14" i="17"/>
  <c r="CU14" i="17" s="1"/>
  <c r="JT14" i="17"/>
  <c r="JX14" i="17"/>
  <c r="EW14" i="17"/>
  <c r="JX5" i="17"/>
  <c r="JT5" i="17"/>
  <c r="EW5" i="17"/>
  <c r="EI5" i="17"/>
  <c r="CZ6" i="17"/>
  <c r="CU6" i="17" s="1"/>
  <c r="JW6" i="17" s="1"/>
  <c r="EL6" i="17"/>
  <c r="EW6" i="17"/>
  <c r="JT6" i="17"/>
  <c r="EI6" i="17"/>
  <c r="EI7" i="17"/>
  <c r="EI8" i="17"/>
  <c r="EL9" i="17"/>
  <c r="CZ9" i="17"/>
  <c r="CU9" i="17" s="1"/>
  <c r="JW9" i="17" s="1"/>
  <c r="JT9" i="17"/>
  <c r="EW9" i="17"/>
  <c r="EI9" i="17"/>
  <c r="EI10" i="17"/>
  <c r="EL11" i="17"/>
  <c r="CZ11" i="17"/>
  <c r="CU11" i="17" s="1"/>
  <c r="JX11" i="17" s="1"/>
  <c r="EI11" i="17"/>
  <c r="EI12" i="17"/>
  <c r="EL13" i="17"/>
  <c r="CZ13" i="17"/>
  <c r="CU13" i="17" s="1"/>
  <c r="HM13" i="17"/>
  <c r="HK13" i="17"/>
  <c r="FW13" i="17"/>
  <c r="KF13" i="17"/>
  <c r="HO13" i="17"/>
  <c r="GM13" i="17"/>
  <c r="GN13" i="17" s="1"/>
  <c r="GO13" i="17" s="1"/>
  <c r="EL15" i="17"/>
  <c r="CZ15" i="17"/>
  <c r="CU15" i="17" s="1"/>
  <c r="JW7" i="17"/>
  <c r="JR8" i="17"/>
  <c r="JR10" i="17"/>
  <c r="JW11" i="17"/>
  <c r="JX13" i="17"/>
  <c r="JT13" i="17"/>
  <c r="EW13" i="17"/>
  <c r="JW13" i="17"/>
  <c r="JW14" i="17"/>
  <c r="EV14" i="17"/>
  <c r="GM14" i="17"/>
  <c r="GN14" i="17" s="1"/>
  <c r="GO14" i="17" s="1"/>
  <c r="HO14" i="17"/>
  <c r="EI15" i="17"/>
  <c r="EL16" i="17"/>
  <c r="CZ16" i="17"/>
  <c r="CU16" i="17" s="1"/>
  <c r="JX16" i="17" s="1"/>
  <c r="JT16" i="17"/>
  <c r="EW16" i="17"/>
  <c r="EI16" i="17"/>
  <c r="EI17" i="17"/>
  <c r="EL18" i="17"/>
  <c r="CZ18" i="17"/>
  <c r="CU18" i="17" s="1"/>
  <c r="JX18" i="17" s="1"/>
  <c r="JT18" i="17"/>
  <c r="EW18" i="17"/>
  <c r="EI18" i="17"/>
  <c r="EI19" i="17"/>
  <c r="EL20" i="17"/>
  <c r="CZ20" i="17"/>
  <c r="CU20" i="17" s="1"/>
  <c r="JX20" i="17" s="1"/>
  <c r="JT20" i="17"/>
  <c r="EW20" i="17"/>
  <c r="EI20" i="17"/>
  <c r="EI21" i="17"/>
  <c r="EL22" i="17"/>
  <c r="CZ22" i="17"/>
  <c r="CU22" i="17" s="1"/>
  <c r="JX22" i="17" s="1"/>
  <c r="JT22" i="17"/>
  <c r="EW22" i="17"/>
  <c r="EI22" i="17"/>
  <c r="EI23" i="17"/>
  <c r="EL24" i="17"/>
  <c r="CZ24" i="17"/>
  <c r="CU24" i="17" s="1"/>
  <c r="JX24" i="17" s="1"/>
  <c r="JT24" i="17"/>
  <c r="EW24" i="17"/>
  <c r="EI24" i="17"/>
  <c r="EI25" i="17"/>
  <c r="EL26" i="17"/>
  <c r="CZ26" i="17"/>
  <c r="CU26" i="17" s="1"/>
  <c r="JX26" i="17"/>
  <c r="JT26" i="17"/>
  <c r="EW26" i="17"/>
  <c r="EI26" i="17"/>
  <c r="EI27" i="17"/>
  <c r="EL28" i="17"/>
  <c r="CZ28" i="17"/>
  <c r="CU28" i="17" s="1"/>
  <c r="JX28" i="17" s="1"/>
  <c r="JT28" i="17"/>
  <c r="EW28" i="17"/>
  <c r="EI28" i="17"/>
  <c r="EI29" i="17"/>
  <c r="EL30" i="17"/>
  <c r="CZ30" i="17"/>
  <c r="CU30" i="17" s="1"/>
  <c r="JX30" i="17" s="1"/>
  <c r="JT30" i="17"/>
  <c r="EW30" i="17"/>
  <c r="EI30" i="17"/>
  <c r="EI31" i="17"/>
  <c r="EL32" i="17"/>
  <c r="CZ32" i="17"/>
  <c r="CU32" i="17" s="1"/>
  <c r="JX32" i="17" s="1"/>
  <c r="JT32" i="17"/>
  <c r="EW32" i="17"/>
  <c r="EI32" i="17"/>
  <c r="EI33" i="17"/>
  <c r="EL34" i="17"/>
  <c r="CZ34" i="17"/>
  <c r="CU34" i="17" s="1"/>
  <c r="JX34" i="17"/>
  <c r="JT34" i="17"/>
  <c r="EW34" i="17"/>
  <c r="EI34" i="17"/>
  <c r="EI35" i="17"/>
  <c r="EL36" i="17"/>
  <c r="CZ36" i="17"/>
  <c r="CU36" i="17" s="1"/>
  <c r="JX36" i="17" s="1"/>
  <c r="JT36" i="17"/>
  <c r="EW36" i="17"/>
  <c r="EI36" i="17"/>
  <c r="EI37" i="17"/>
  <c r="EL38" i="17"/>
  <c r="CZ38" i="17"/>
  <c r="CU38" i="17" s="1"/>
  <c r="JX38" i="17" s="1"/>
  <c r="JT38" i="17"/>
  <c r="EW38" i="17"/>
  <c r="EI38" i="17"/>
  <c r="EI39" i="17"/>
  <c r="EL40" i="17"/>
  <c r="CZ40" i="17"/>
  <c r="CU40" i="17" s="1"/>
  <c r="JX40" i="17" s="1"/>
  <c r="JT40" i="17"/>
  <c r="EW40" i="17"/>
  <c r="EI40" i="17"/>
  <c r="EI41" i="17"/>
  <c r="EL42" i="17"/>
  <c r="CZ42" i="17"/>
  <c r="CU42" i="17" s="1"/>
  <c r="JX42" i="17"/>
  <c r="JT42" i="17"/>
  <c r="EW42" i="17"/>
  <c r="EI42" i="17"/>
  <c r="EI43" i="17"/>
  <c r="EL44" i="17"/>
  <c r="CZ44" i="17"/>
  <c r="CU44" i="17" s="1"/>
  <c r="JX44" i="17" s="1"/>
  <c r="JT44" i="17"/>
  <c r="EW44" i="17"/>
  <c r="EI44" i="17"/>
  <c r="EI45" i="17"/>
  <c r="EL46" i="17"/>
  <c r="CZ46" i="17"/>
  <c r="CU46" i="17" s="1"/>
  <c r="JX46" i="17" s="1"/>
  <c r="JT46" i="17"/>
  <c r="EW46" i="17"/>
  <c r="EI46" i="17"/>
  <c r="EI47" i="17"/>
  <c r="EL48" i="17"/>
  <c r="CZ48" i="17"/>
  <c r="CU48" i="17" s="1"/>
  <c r="JX48" i="17" s="1"/>
  <c r="JT48" i="17"/>
  <c r="EW48" i="17"/>
  <c r="EI48" i="17"/>
  <c r="EI49" i="17"/>
  <c r="EL50" i="17"/>
  <c r="CZ50" i="17"/>
  <c r="CU50" i="17" s="1"/>
  <c r="JX50" i="17"/>
  <c r="JT50" i="17"/>
  <c r="EW50" i="17"/>
  <c r="EI50" i="17"/>
  <c r="EI51" i="17"/>
  <c r="EL52" i="17"/>
  <c r="CZ52" i="17"/>
  <c r="CU52" i="17" s="1"/>
  <c r="JX52" i="17" s="1"/>
  <c r="JT52" i="17"/>
  <c r="EW52" i="17"/>
  <c r="EI52" i="17"/>
  <c r="EI53" i="17"/>
  <c r="EL54" i="17"/>
  <c r="CZ54" i="17"/>
  <c r="CU54" i="17" s="1"/>
  <c r="JX54" i="17" s="1"/>
  <c r="JT54" i="17"/>
  <c r="EW54" i="17"/>
  <c r="EI54" i="17"/>
  <c r="EI55" i="17"/>
  <c r="EL56" i="17"/>
  <c r="CZ56" i="17"/>
  <c r="CU56" i="17" s="1"/>
  <c r="JX56" i="17" s="1"/>
  <c r="JT56" i="17"/>
  <c r="EW56" i="17"/>
  <c r="EI56" i="17"/>
  <c r="EI57" i="17"/>
  <c r="EL58" i="17"/>
  <c r="CZ58" i="17"/>
  <c r="CU58" i="17" s="1"/>
  <c r="JT58" i="17"/>
  <c r="JX58" i="17"/>
  <c r="EW58" i="17"/>
  <c r="JW5" i="17"/>
  <c r="JW12" i="17"/>
  <c r="JW15" i="17"/>
  <c r="JR15" i="17"/>
  <c r="HM15" i="17"/>
  <c r="HK15" i="17"/>
  <c r="FW15" i="17"/>
  <c r="KF15" i="17"/>
  <c r="HO15" i="17"/>
  <c r="GM15" i="17"/>
  <c r="GN15" i="17" s="1"/>
  <c r="GO15" i="17" s="1"/>
  <c r="JW16" i="17"/>
  <c r="HM16" i="17"/>
  <c r="HK16" i="17"/>
  <c r="FW16" i="17"/>
  <c r="KF16" i="17"/>
  <c r="HO16" i="17"/>
  <c r="GM16" i="17"/>
  <c r="GN16" i="17" s="1"/>
  <c r="GO16" i="17" s="1"/>
  <c r="EL17" i="17"/>
  <c r="CZ17" i="17"/>
  <c r="CU17" i="17" s="1"/>
  <c r="JW17" i="17" s="1"/>
  <c r="HM17" i="17"/>
  <c r="HK17" i="17"/>
  <c r="FW17" i="17"/>
  <c r="KF17" i="17"/>
  <c r="HO17" i="17"/>
  <c r="GM17" i="17"/>
  <c r="GN17" i="17" s="1"/>
  <c r="GO17" i="17" s="1"/>
  <c r="JW18" i="17"/>
  <c r="HM18" i="17"/>
  <c r="HK18" i="17"/>
  <c r="FW18" i="17"/>
  <c r="KF18" i="17"/>
  <c r="HO18" i="17"/>
  <c r="GM18" i="17"/>
  <c r="GN18" i="17" s="1"/>
  <c r="GO18" i="17" s="1"/>
  <c r="EL19" i="17"/>
  <c r="CZ19" i="17"/>
  <c r="CU19" i="17" s="1"/>
  <c r="JW19" i="17" s="1"/>
  <c r="HM19" i="17"/>
  <c r="HK19" i="17"/>
  <c r="FW19" i="17"/>
  <c r="KF19" i="17"/>
  <c r="HO19" i="17"/>
  <c r="GM19" i="17"/>
  <c r="GN19" i="17" s="1"/>
  <c r="GO19" i="17" s="1"/>
  <c r="JW20" i="17"/>
  <c r="HM20" i="17"/>
  <c r="HK20" i="17"/>
  <c r="FW20" i="17"/>
  <c r="KF20" i="17"/>
  <c r="HO20" i="17"/>
  <c r="GM20" i="17"/>
  <c r="GN20" i="17" s="1"/>
  <c r="GO20" i="17" s="1"/>
  <c r="EL21" i="17"/>
  <c r="CZ21" i="17"/>
  <c r="CU21" i="17" s="1"/>
  <c r="JW21" i="17" s="1"/>
  <c r="HM21" i="17"/>
  <c r="HK21" i="17"/>
  <c r="FW21" i="17"/>
  <c r="KF21" i="17"/>
  <c r="HO21" i="17"/>
  <c r="GM21" i="17"/>
  <c r="GN21" i="17" s="1"/>
  <c r="GO21" i="17" s="1"/>
  <c r="JW22" i="17"/>
  <c r="HM22" i="17"/>
  <c r="HK22" i="17"/>
  <c r="FW22" i="17"/>
  <c r="KF22" i="17"/>
  <c r="HO22" i="17"/>
  <c r="GM22" i="17"/>
  <c r="GN22" i="17" s="1"/>
  <c r="GO22" i="17" s="1"/>
  <c r="EL23" i="17"/>
  <c r="CZ23" i="17"/>
  <c r="CU23" i="17" s="1"/>
  <c r="JW23" i="17" s="1"/>
  <c r="HM23" i="17"/>
  <c r="HK23" i="17"/>
  <c r="FW23" i="17"/>
  <c r="KF23" i="17"/>
  <c r="HO23" i="17"/>
  <c r="GM23" i="17"/>
  <c r="GN23" i="17" s="1"/>
  <c r="GO23" i="17" s="1"/>
  <c r="JW24" i="17"/>
  <c r="HM24" i="17"/>
  <c r="HK24" i="17"/>
  <c r="FW24" i="17"/>
  <c r="KF24" i="17"/>
  <c r="HO24" i="17"/>
  <c r="GM24" i="17"/>
  <c r="GN24" i="17" s="1"/>
  <c r="GO24" i="17" s="1"/>
  <c r="EL25" i="17"/>
  <c r="CZ25" i="17"/>
  <c r="CU25" i="17" s="1"/>
  <c r="JW25" i="17" s="1"/>
  <c r="HM25" i="17"/>
  <c r="HK25" i="17"/>
  <c r="FW25" i="17"/>
  <c r="KF25" i="17"/>
  <c r="HO25" i="17"/>
  <c r="GM25" i="17"/>
  <c r="GN25" i="17" s="1"/>
  <c r="GO25" i="17" s="1"/>
  <c r="JW26" i="17"/>
  <c r="HM26" i="17"/>
  <c r="HK26" i="17"/>
  <c r="FW26" i="17"/>
  <c r="KF26" i="17"/>
  <c r="HO26" i="17"/>
  <c r="GM26" i="17"/>
  <c r="GN26" i="17" s="1"/>
  <c r="GO26" i="17" s="1"/>
  <c r="EL27" i="17"/>
  <c r="CZ27" i="17"/>
  <c r="CU27" i="17" s="1"/>
  <c r="JW27" i="17" s="1"/>
  <c r="HM27" i="17"/>
  <c r="HK27" i="17"/>
  <c r="FW27" i="17"/>
  <c r="KF27" i="17"/>
  <c r="HO27" i="17"/>
  <c r="GM27" i="17"/>
  <c r="GN27" i="17" s="1"/>
  <c r="GO27" i="17" s="1"/>
  <c r="JW28" i="17"/>
  <c r="HM28" i="17"/>
  <c r="HK28" i="17"/>
  <c r="FW28" i="17"/>
  <c r="KF28" i="17"/>
  <c r="HO28" i="17"/>
  <c r="GM28" i="17"/>
  <c r="GN28" i="17" s="1"/>
  <c r="GO28" i="17" s="1"/>
  <c r="EL29" i="17"/>
  <c r="CZ29" i="17"/>
  <c r="CU29" i="17" s="1"/>
  <c r="JW29" i="17" s="1"/>
  <c r="HM29" i="17"/>
  <c r="HK29" i="17"/>
  <c r="FW29" i="17"/>
  <c r="KF29" i="17"/>
  <c r="HO29" i="17"/>
  <c r="GM29" i="17"/>
  <c r="GN29" i="17" s="1"/>
  <c r="GO29" i="17" s="1"/>
  <c r="JW30" i="17"/>
  <c r="HM30" i="17"/>
  <c r="HK30" i="17"/>
  <c r="FW30" i="17"/>
  <c r="KF30" i="17"/>
  <c r="HO30" i="17"/>
  <c r="GM30" i="17"/>
  <c r="GN30" i="17" s="1"/>
  <c r="GO30" i="17" s="1"/>
  <c r="EL31" i="17"/>
  <c r="CZ31" i="17"/>
  <c r="CU31" i="17" s="1"/>
  <c r="JW31" i="17" s="1"/>
  <c r="HM31" i="17"/>
  <c r="HK31" i="17"/>
  <c r="FW31" i="17"/>
  <c r="KF31" i="17"/>
  <c r="HO31" i="17"/>
  <c r="GM31" i="17"/>
  <c r="GN31" i="17" s="1"/>
  <c r="GO31" i="17" s="1"/>
  <c r="JW32" i="17"/>
  <c r="HM32" i="17"/>
  <c r="HK32" i="17"/>
  <c r="FW32" i="17"/>
  <c r="KF32" i="17"/>
  <c r="HO32" i="17"/>
  <c r="GM32" i="17"/>
  <c r="GN32" i="17" s="1"/>
  <c r="GO32" i="17" s="1"/>
  <c r="EL33" i="17"/>
  <c r="CZ33" i="17"/>
  <c r="CU33" i="17" s="1"/>
  <c r="JW33" i="17" s="1"/>
  <c r="HM33" i="17"/>
  <c r="HK33" i="17"/>
  <c r="FW33" i="17"/>
  <c r="KF33" i="17"/>
  <c r="HO33" i="17"/>
  <c r="GM33" i="17"/>
  <c r="GN33" i="17" s="1"/>
  <c r="GO33" i="17" s="1"/>
  <c r="JW34" i="17"/>
  <c r="HM34" i="17"/>
  <c r="HK34" i="17"/>
  <c r="FW34" i="17"/>
  <c r="KF34" i="17"/>
  <c r="HO34" i="17"/>
  <c r="GM34" i="17"/>
  <c r="GN34" i="17" s="1"/>
  <c r="GO34" i="17" s="1"/>
  <c r="EL35" i="17"/>
  <c r="CZ35" i="17"/>
  <c r="CU35" i="17" s="1"/>
  <c r="JW35" i="17" s="1"/>
  <c r="HM35" i="17"/>
  <c r="HK35" i="17"/>
  <c r="FW35" i="17"/>
  <c r="KF35" i="17"/>
  <c r="HO35" i="17"/>
  <c r="GM35" i="17"/>
  <c r="GN35" i="17" s="1"/>
  <c r="GO35" i="17" s="1"/>
  <c r="JW36" i="17"/>
  <c r="HM36" i="17"/>
  <c r="HK36" i="17"/>
  <c r="FW36" i="17"/>
  <c r="KF36" i="17"/>
  <c r="HO36" i="17"/>
  <c r="GM36" i="17"/>
  <c r="GN36" i="17" s="1"/>
  <c r="GO36" i="17" s="1"/>
  <c r="EL37" i="17"/>
  <c r="CZ37" i="17"/>
  <c r="CU37" i="17" s="1"/>
  <c r="JW37" i="17" s="1"/>
  <c r="HM37" i="17"/>
  <c r="HK37" i="17"/>
  <c r="FW37" i="17"/>
  <c r="KF37" i="17"/>
  <c r="HO37" i="17"/>
  <c r="GM37" i="17"/>
  <c r="GN37" i="17" s="1"/>
  <c r="GO37" i="17" s="1"/>
  <c r="JW38" i="17"/>
  <c r="HM38" i="17"/>
  <c r="HK38" i="17"/>
  <c r="FW38" i="17"/>
  <c r="KF38" i="17"/>
  <c r="HO38" i="17"/>
  <c r="GM38" i="17"/>
  <c r="GN38" i="17" s="1"/>
  <c r="GO38" i="17" s="1"/>
  <c r="EL39" i="17"/>
  <c r="CZ39" i="17"/>
  <c r="CU39" i="17" s="1"/>
  <c r="JW39" i="17" s="1"/>
  <c r="HM39" i="17"/>
  <c r="HK39" i="17"/>
  <c r="FW39" i="17"/>
  <c r="KF39" i="17"/>
  <c r="HO39" i="17"/>
  <c r="GM39" i="17"/>
  <c r="GN39" i="17" s="1"/>
  <c r="GO39" i="17" s="1"/>
  <c r="JW40" i="17"/>
  <c r="HM40" i="17"/>
  <c r="HK40" i="17"/>
  <c r="FW40" i="17"/>
  <c r="KF40" i="17"/>
  <c r="HO40" i="17"/>
  <c r="GM40" i="17"/>
  <c r="GN40" i="17" s="1"/>
  <c r="GO40" i="17" s="1"/>
  <c r="EL41" i="17"/>
  <c r="CZ41" i="17"/>
  <c r="CU41" i="17" s="1"/>
  <c r="JW41" i="17" s="1"/>
  <c r="HM41" i="17"/>
  <c r="HK41" i="17"/>
  <c r="FW41" i="17"/>
  <c r="KF41" i="17"/>
  <c r="HO41" i="17"/>
  <c r="GM41" i="17"/>
  <c r="GN41" i="17" s="1"/>
  <c r="GO41" i="17" s="1"/>
  <c r="JW42" i="17"/>
  <c r="HM42" i="17"/>
  <c r="HK42" i="17"/>
  <c r="FW42" i="17"/>
  <c r="KF42" i="17"/>
  <c r="HO42" i="17"/>
  <c r="GM42" i="17"/>
  <c r="GN42" i="17" s="1"/>
  <c r="GO42" i="17" s="1"/>
  <c r="EL43" i="17"/>
  <c r="CZ43" i="17"/>
  <c r="CU43" i="17" s="1"/>
  <c r="JW43" i="17" s="1"/>
  <c r="HM43" i="17"/>
  <c r="HK43" i="17"/>
  <c r="FW43" i="17"/>
  <c r="KF43" i="17"/>
  <c r="HO43" i="17"/>
  <c r="GM43" i="17"/>
  <c r="GN43" i="17" s="1"/>
  <c r="GO43" i="17" s="1"/>
  <c r="JW44" i="17"/>
  <c r="HM44" i="17"/>
  <c r="HK44" i="17"/>
  <c r="FW44" i="17"/>
  <c r="KF44" i="17"/>
  <c r="HO44" i="17"/>
  <c r="GM44" i="17"/>
  <c r="GN44" i="17" s="1"/>
  <c r="GO44" i="17" s="1"/>
  <c r="EL45" i="17"/>
  <c r="CZ45" i="17"/>
  <c r="CU45" i="17" s="1"/>
  <c r="JW45" i="17" s="1"/>
  <c r="HM45" i="17"/>
  <c r="HK45" i="17"/>
  <c r="FW45" i="17"/>
  <c r="KF45" i="17"/>
  <c r="HO45" i="17"/>
  <c r="GM45" i="17"/>
  <c r="GN45" i="17" s="1"/>
  <c r="GO45" i="17" s="1"/>
  <c r="JW46" i="17"/>
  <c r="HM46" i="17"/>
  <c r="HK46" i="17"/>
  <c r="FW46" i="17"/>
  <c r="KF46" i="17"/>
  <c r="HO46" i="17"/>
  <c r="GM46" i="17"/>
  <c r="GN46" i="17" s="1"/>
  <c r="GO46" i="17" s="1"/>
  <c r="EL47" i="17"/>
  <c r="CZ47" i="17"/>
  <c r="CU47" i="17" s="1"/>
  <c r="JW47" i="17" s="1"/>
  <c r="HM47" i="17"/>
  <c r="HK47" i="17"/>
  <c r="FW47" i="17"/>
  <c r="KF47" i="17"/>
  <c r="HO47" i="17"/>
  <c r="GM47" i="17"/>
  <c r="GN47" i="17" s="1"/>
  <c r="GO47" i="17" s="1"/>
  <c r="JW48" i="17"/>
  <c r="HM48" i="17"/>
  <c r="HK48" i="17"/>
  <c r="FW48" i="17"/>
  <c r="KF48" i="17"/>
  <c r="HO48" i="17"/>
  <c r="GM48" i="17"/>
  <c r="GN48" i="17" s="1"/>
  <c r="GO48" i="17" s="1"/>
  <c r="EL49" i="17"/>
  <c r="CZ49" i="17"/>
  <c r="CU49" i="17" s="1"/>
  <c r="JW49" i="17" s="1"/>
  <c r="HM49" i="17"/>
  <c r="HK49" i="17"/>
  <c r="FW49" i="17"/>
  <c r="KF49" i="17"/>
  <c r="HO49" i="17"/>
  <c r="GM49" i="17"/>
  <c r="GN49" i="17" s="1"/>
  <c r="GO49" i="17" s="1"/>
  <c r="JW50" i="17"/>
  <c r="HM50" i="17"/>
  <c r="HK50" i="17"/>
  <c r="FW50" i="17"/>
  <c r="KF50" i="17"/>
  <c r="HO50" i="17"/>
  <c r="GM50" i="17"/>
  <c r="GN50" i="17" s="1"/>
  <c r="GO50" i="17" s="1"/>
  <c r="EL51" i="17"/>
  <c r="CZ51" i="17"/>
  <c r="CU51" i="17" s="1"/>
  <c r="JW51" i="17" s="1"/>
  <c r="HM51" i="17"/>
  <c r="HK51" i="17"/>
  <c r="FW51" i="17"/>
  <c r="KF51" i="17"/>
  <c r="HO51" i="17"/>
  <c r="GM51" i="17"/>
  <c r="GN51" i="17" s="1"/>
  <c r="GO51" i="17" s="1"/>
  <c r="JW52" i="17"/>
  <c r="HM52" i="17"/>
  <c r="HK52" i="17"/>
  <c r="FW52" i="17"/>
  <c r="KF52" i="17"/>
  <c r="HO52" i="17"/>
  <c r="GM52" i="17"/>
  <c r="GN52" i="17" s="1"/>
  <c r="GO52" i="17" s="1"/>
  <c r="EL53" i="17"/>
  <c r="CZ53" i="17"/>
  <c r="CU53" i="17" s="1"/>
  <c r="JW53" i="17" s="1"/>
  <c r="HM53" i="17"/>
  <c r="HK53" i="17"/>
  <c r="FW53" i="17"/>
  <c r="KF53" i="17"/>
  <c r="HO53" i="17"/>
  <c r="GM53" i="17"/>
  <c r="GN53" i="17" s="1"/>
  <c r="GO53" i="17" s="1"/>
  <c r="JW54" i="17"/>
  <c r="HM54" i="17"/>
  <c r="HK54" i="17"/>
  <c r="FW54" i="17"/>
  <c r="KF54" i="17"/>
  <c r="HO54" i="17"/>
  <c r="GM54" i="17"/>
  <c r="GN54" i="17" s="1"/>
  <c r="GO54" i="17" s="1"/>
  <c r="EL55" i="17"/>
  <c r="CZ55" i="17"/>
  <c r="CU55" i="17" s="1"/>
  <c r="JW55" i="17" s="1"/>
  <c r="HM55" i="17"/>
  <c r="HK55" i="17"/>
  <c r="FW55" i="17"/>
  <c r="KF55" i="17"/>
  <c r="HO55" i="17"/>
  <c r="GM55" i="17"/>
  <c r="GN55" i="17" s="1"/>
  <c r="GO55" i="17" s="1"/>
  <c r="JW56" i="17"/>
  <c r="HM56" i="17"/>
  <c r="HK56" i="17"/>
  <c r="FW56" i="17"/>
  <c r="KF56" i="17"/>
  <c r="HO56" i="17"/>
  <c r="GM56" i="17"/>
  <c r="GN56" i="17" s="1"/>
  <c r="GO56" i="17" s="1"/>
  <c r="HN57" i="17"/>
  <c r="HL57" i="17"/>
  <c r="EL57" i="17"/>
  <c r="CZ57" i="17"/>
  <c r="CU57" i="17" s="1"/>
  <c r="JW57" i="17" s="1"/>
  <c r="HM57" i="17"/>
  <c r="HK57" i="17"/>
  <c r="FW57" i="17"/>
  <c r="KF57" i="17"/>
  <c r="HO57" i="17"/>
  <c r="GM57" i="17"/>
  <c r="GN57" i="17" s="1"/>
  <c r="GO57" i="17" s="1"/>
  <c r="EL59" i="17"/>
  <c r="CZ59" i="17"/>
  <c r="CU59" i="17" s="1"/>
  <c r="JW59" i="17" s="1"/>
  <c r="JR17" i="17"/>
  <c r="JR19" i="17"/>
  <c r="JR21" i="17"/>
  <c r="JR23" i="17"/>
  <c r="JR25" i="17"/>
  <c r="JR27" i="17"/>
  <c r="JR29" i="17"/>
  <c r="JR31" i="17"/>
  <c r="JR33" i="17"/>
  <c r="JR35" i="17"/>
  <c r="JR37" i="17"/>
  <c r="JR39" i="17"/>
  <c r="JR41" i="17"/>
  <c r="JR43" i="17"/>
  <c r="JR45" i="17"/>
  <c r="JR47" i="17"/>
  <c r="JR49" i="17"/>
  <c r="JR51" i="17"/>
  <c r="JR53" i="17"/>
  <c r="JR55" i="17"/>
  <c r="JW58" i="17"/>
  <c r="EV58" i="17"/>
  <c r="KF58" i="17" s="1"/>
  <c r="GM58" i="17"/>
  <c r="GN58" i="17" s="1"/>
  <c r="GO58" i="17" s="1"/>
  <c r="HO58" i="17"/>
  <c r="EI59" i="17"/>
  <c r="EL60" i="17"/>
  <c r="CZ60" i="17"/>
  <c r="CU60" i="17" s="1"/>
  <c r="JX60" i="17" s="1"/>
  <c r="JT60" i="17"/>
  <c r="EW60" i="17"/>
  <c r="EI60" i="17"/>
  <c r="EI61" i="17"/>
  <c r="EL62" i="17"/>
  <c r="CZ62" i="17"/>
  <c r="CU62" i="17" s="1"/>
  <c r="JX62" i="17"/>
  <c r="JT62" i="17"/>
  <c r="EW62" i="17"/>
  <c r="EI62" i="17"/>
  <c r="EI63" i="17"/>
  <c r="EL64" i="17"/>
  <c r="CZ64" i="17"/>
  <c r="CU64" i="17" s="1"/>
  <c r="JX64" i="17" s="1"/>
  <c r="JT64" i="17"/>
  <c r="EW64" i="17"/>
  <c r="EI64" i="17"/>
  <c r="EI65" i="17"/>
  <c r="EL66" i="17"/>
  <c r="CZ66" i="17"/>
  <c r="CU66" i="17" s="1"/>
  <c r="JX66" i="17" s="1"/>
  <c r="JT66" i="17"/>
  <c r="EW66" i="17"/>
  <c r="EI66" i="17"/>
  <c r="EI67" i="17"/>
  <c r="EL68" i="17"/>
  <c r="CZ68" i="17"/>
  <c r="CU68" i="17" s="1"/>
  <c r="JX68" i="17" s="1"/>
  <c r="JT68" i="17"/>
  <c r="EW68" i="17"/>
  <c r="EI68" i="17"/>
  <c r="EI69" i="17"/>
  <c r="EL70" i="17"/>
  <c r="CZ70" i="17"/>
  <c r="CU70" i="17" s="1"/>
  <c r="JX70" i="17"/>
  <c r="JT70" i="17"/>
  <c r="EW70" i="17"/>
  <c r="EI70" i="17"/>
  <c r="EI71" i="17"/>
  <c r="EL72" i="17"/>
  <c r="CZ72" i="17"/>
  <c r="CU72" i="17" s="1"/>
  <c r="JX72" i="17" s="1"/>
  <c r="JT72" i="17"/>
  <c r="EW72" i="17"/>
  <c r="EI72" i="17"/>
  <c r="EI73" i="17"/>
  <c r="EL74" i="17"/>
  <c r="CZ74" i="17"/>
  <c r="CU74" i="17" s="1"/>
  <c r="JX74" i="17" s="1"/>
  <c r="JT74" i="17"/>
  <c r="EW74" i="17"/>
  <c r="EI74" i="17"/>
  <c r="EI75" i="17"/>
  <c r="EL76" i="17"/>
  <c r="CZ76" i="17"/>
  <c r="CU76" i="17" s="1"/>
  <c r="JX76" i="17" s="1"/>
  <c r="JT76" i="17"/>
  <c r="EW76" i="17"/>
  <c r="EI76" i="17"/>
  <c r="EI77" i="17"/>
  <c r="EL78" i="17"/>
  <c r="CZ78" i="17"/>
  <c r="CU78" i="17" s="1"/>
  <c r="JX78" i="17"/>
  <c r="JT78" i="17"/>
  <c r="EW78" i="17"/>
  <c r="EI78" i="17"/>
  <c r="EI79" i="17"/>
  <c r="EL80" i="17"/>
  <c r="CZ80" i="17"/>
  <c r="CU80" i="17" s="1"/>
  <c r="JX80" i="17" s="1"/>
  <c r="JT80" i="17"/>
  <c r="EW80" i="17"/>
  <c r="EI80" i="17"/>
  <c r="EI81" i="17"/>
  <c r="JX57" i="17"/>
  <c r="JT57" i="17"/>
  <c r="JR59" i="17"/>
  <c r="HM59" i="17"/>
  <c r="HK59" i="17"/>
  <c r="FW59" i="17"/>
  <c r="KF59" i="17"/>
  <c r="HO59" i="17"/>
  <c r="GM59" i="17"/>
  <c r="GN59" i="17" s="1"/>
  <c r="GO59" i="17" s="1"/>
  <c r="HM60" i="17"/>
  <c r="HK60" i="17"/>
  <c r="FW60" i="17"/>
  <c r="KF60" i="17"/>
  <c r="HO60" i="17"/>
  <c r="GM60" i="17"/>
  <c r="GN60" i="17" s="1"/>
  <c r="GO60" i="17" s="1"/>
  <c r="EL61" i="17"/>
  <c r="CZ61" i="17"/>
  <c r="CU61" i="17" s="1"/>
  <c r="JW61" i="17" s="1"/>
  <c r="HM61" i="17"/>
  <c r="HK61" i="17"/>
  <c r="FW61" i="17"/>
  <c r="KF61" i="17"/>
  <c r="HO61" i="17"/>
  <c r="GM61" i="17"/>
  <c r="GN61" i="17" s="1"/>
  <c r="GO61" i="17" s="1"/>
  <c r="JW62" i="17"/>
  <c r="HM62" i="17"/>
  <c r="HK62" i="17"/>
  <c r="FW62" i="17"/>
  <c r="KF62" i="17"/>
  <c r="HO62" i="17"/>
  <c r="GM62" i="17"/>
  <c r="GN62" i="17" s="1"/>
  <c r="GO62" i="17" s="1"/>
  <c r="EL63" i="17"/>
  <c r="CZ63" i="17"/>
  <c r="CU63" i="17" s="1"/>
  <c r="JW63" i="17" s="1"/>
  <c r="HM63" i="17"/>
  <c r="HK63" i="17"/>
  <c r="FW63" i="17"/>
  <c r="KF63" i="17"/>
  <c r="HO63" i="17"/>
  <c r="GM63" i="17"/>
  <c r="GN63" i="17" s="1"/>
  <c r="GO63" i="17" s="1"/>
  <c r="HM64" i="17"/>
  <c r="HK64" i="17"/>
  <c r="FW64" i="17"/>
  <c r="KF64" i="17"/>
  <c r="HO64" i="17"/>
  <c r="GM64" i="17"/>
  <c r="GN64" i="17" s="1"/>
  <c r="GO64" i="17" s="1"/>
  <c r="EL65" i="17"/>
  <c r="CZ65" i="17"/>
  <c r="CU65" i="17" s="1"/>
  <c r="JW65" i="17" s="1"/>
  <c r="HM65" i="17"/>
  <c r="HK65" i="17"/>
  <c r="FW65" i="17"/>
  <c r="KF65" i="17"/>
  <c r="HO65" i="17"/>
  <c r="GM65" i="17"/>
  <c r="GN65" i="17" s="1"/>
  <c r="GO65" i="17" s="1"/>
  <c r="JW66" i="17"/>
  <c r="HM66" i="17"/>
  <c r="HK66" i="17"/>
  <c r="FW66" i="17"/>
  <c r="KF66" i="17"/>
  <c r="HO66" i="17"/>
  <c r="GM66" i="17"/>
  <c r="GN66" i="17" s="1"/>
  <c r="GO66" i="17" s="1"/>
  <c r="EL67" i="17"/>
  <c r="CZ67" i="17"/>
  <c r="CU67" i="17" s="1"/>
  <c r="JW67" i="17" s="1"/>
  <c r="HM67" i="17"/>
  <c r="HK67" i="17"/>
  <c r="FW67" i="17"/>
  <c r="KF67" i="17"/>
  <c r="HO67" i="17"/>
  <c r="GM67" i="17"/>
  <c r="GN67" i="17" s="1"/>
  <c r="GO67" i="17" s="1"/>
  <c r="JW68" i="17"/>
  <c r="HM68" i="17"/>
  <c r="HK68" i="17"/>
  <c r="FW68" i="17"/>
  <c r="KF68" i="17"/>
  <c r="HO68" i="17"/>
  <c r="GM68" i="17"/>
  <c r="GN68" i="17" s="1"/>
  <c r="GO68" i="17" s="1"/>
  <c r="EL69" i="17"/>
  <c r="CZ69" i="17"/>
  <c r="CU69" i="17" s="1"/>
  <c r="JW69" i="17" s="1"/>
  <c r="HM69" i="17"/>
  <c r="HK69" i="17"/>
  <c r="FW69" i="17"/>
  <c r="KF69" i="17"/>
  <c r="HO69" i="17"/>
  <c r="GM69" i="17"/>
  <c r="GN69" i="17" s="1"/>
  <c r="GO69" i="17" s="1"/>
  <c r="JW70" i="17"/>
  <c r="HM70" i="17"/>
  <c r="HK70" i="17"/>
  <c r="FW70" i="17"/>
  <c r="KF70" i="17"/>
  <c r="HO70" i="17"/>
  <c r="GM70" i="17"/>
  <c r="GN70" i="17" s="1"/>
  <c r="GO70" i="17" s="1"/>
  <c r="EL71" i="17"/>
  <c r="CZ71" i="17"/>
  <c r="CU71" i="17" s="1"/>
  <c r="JW71" i="17" s="1"/>
  <c r="HM71" i="17"/>
  <c r="HK71" i="17"/>
  <c r="FW71" i="17"/>
  <c r="KF71" i="17"/>
  <c r="HO71" i="17"/>
  <c r="GM71" i="17"/>
  <c r="GN71" i="17" s="1"/>
  <c r="GO71" i="17" s="1"/>
  <c r="JW72" i="17"/>
  <c r="HM72" i="17"/>
  <c r="HK72" i="17"/>
  <c r="FW72" i="17"/>
  <c r="KF72" i="17"/>
  <c r="HO72" i="17"/>
  <c r="GM72" i="17"/>
  <c r="GN72" i="17" s="1"/>
  <c r="GO72" i="17" s="1"/>
  <c r="EL73" i="17"/>
  <c r="CZ73" i="17"/>
  <c r="CU73" i="17" s="1"/>
  <c r="JW73" i="17" s="1"/>
  <c r="HM73" i="17"/>
  <c r="HK73" i="17"/>
  <c r="FW73" i="17"/>
  <c r="KF73" i="17"/>
  <c r="HO73" i="17"/>
  <c r="GM73" i="17"/>
  <c r="GN73" i="17" s="1"/>
  <c r="GO73" i="17" s="1"/>
  <c r="JW74" i="17"/>
  <c r="HM74" i="17"/>
  <c r="HK74" i="17"/>
  <c r="FW74" i="17"/>
  <c r="KF74" i="17"/>
  <c r="HO74" i="17"/>
  <c r="GM74" i="17"/>
  <c r="GN74" i="17" s="1"/>
  <c r="GO74" i="17" s="1"/>
  <c r="EL75" i="17"/>
  <c r="CZ75" i="17"/>
  <c r="CU75" i="17" s="1"/>
  <c r="JW75" i="17" s="1"/>
  <c r="HM75" i="17"/>
  <c r="HK75" i="17"/>
  <c r="FW75" i="17"/>
  <c r="KF75" i="17"/>
  <c r="HO75" i="17"/>
  <c r="GM75" i="17"/>
  <c r="GN75" i="17" s="1"/>
  <c r="GO75" i="17" s="1"/>
  <c r="JW76" i="17"/>
  <c r="HM76" i="17"/>
  <c r="HK76" i="17"/>
  <c r="FW76" i="17"/>
  <c r="KF76" i="17"/>
  <c r="HO76" i="17"/>
  <c r="GM76" i="17"/>
  <c r="GN76" i="17" s="1"/>
  <c r="GO76" i="17" s="1"/>
  <c r="EL77" i="17"/>
  <c r="CZ77" i="17"/>
  <c r="CU77" i="17" s="1"/>
  <c r="JW77" i="17" s="1"/>
  <c r="HM77" i="17"/>
  <c r="HK77" i="17"/>
  <c r="FW77" i="17"/>
  <c r="KF77" i="17"/>
  <c r="HO77" i="17"/>
  <c r="GM77" i="17"/>
  <c r="GN77" i="17" s="1"/>
  <c r="GO77" i="17" s="1"/>
  <c r="JW78" i="17"/>
  <c r="HM78" i="17"/>
  <c r="HK78" i="17"/>
  <c r="FW78" i="17"/>
  <c r="KF78" i="17"/>
  <c r="HO78" i="17"/>
  <c r="GM78" i="17"/>
  <c r="GN78" i="17" s="1"/>
  <c r="GO78" i="17" s="1"/>
  <c r="EL79" i="17"/>
  <c r="CZ79" i="17"/>
  <c r="CU79" i="17" s="1"/>
  <c r="JW79" i="17" s="1"/>
  <c r="HM79" i="17"/>
  <c r="HK79" i="17"/>
  <c r="FW79" i="17"/>
  <c r="KF79" i="17"/>
  <c r="HO79" i="17"/>
  <c r="GM79" i="17"/>
  <c r="GN79" i="17" s="1"/>
  <c r="GO79" i="17" s="1"/>
  <c r="HM80" i="17"/>
  <c r="FW80" i="17"/>
  <c r="HK80" i="17"/>
  <c r="KF80" i="17"/>
  <c r="HO80" i="17"/>
  <c r="GM80" i="17"/>
  <c r="GN80" i="17" s="1"/>
  <c r="GO80" i="17" s="1"/>
  <c r="EL81" i="17"/>
  <c r="CZ81" i="17"/>
  <c r="CU81" i="17" s="1"/>
  <c r="HM81" i="17"/>
  <c r="HK81" i="17"/>
  <c r="KF81" i="17"/>
  <c r="HO81" i="17"/>
  <c r="GM81" i="17"/>
  <c r="GN81" i="17" s="1"/>
  <c r="GO81" i="17" s="1"/>
  <c r="JR61" i="17"/>
  <c r="JR63" i="17"/>
  <c r="JR65" i="17"/>
  <c r="JR67" i="17"/>
  <c r="JR69" i="17"/>
  <c r="JR71" i="17"/>
  <c r="JR73" i="17"/>
  <c r="JR75" i="17"/>
  <c r="JR77" i="17"/>
  <c r="JR79" i="17"/>
  <c r="JW80" i="17"/>
  <c r="FG81" i="17"/>
  <c r="FH81" i="17" s="1"/>
  <c r="FQ81" i="17"/>
  <c r="EL82" i="17"/>
  <c r="CZ82" i="17"/>
  <c r="CU82" i="17" s="1"/>
  <c r="JX82" i="17" s="1"/>
  <c r="JT82" i="17"/>
  <c r="EW82" i="17"/>
  <c r="EI82" i="17"/>
  <c r="EI83" i="17"/>
  <c r="EL84" i="17"/>
  <c r="CZ84" i="17"/>
  <c r="CU84" i="17" s="1"/>
  <c r="JX84" i="17" s="1"/>
  <c r="EI84" i="17"/>
  <c r="EI85" i="17"/>
  <c r="EL86" i="17"/>
  <c r="CZ86" i="17"/>
  <c r="CU86" i="17" s="1"/>
  <c r="JX86" i="17" s="1"/>
  <c r="EI86" i="17"/>
  <c r="EI87" i="17"/>
  <c r="EL88" i="17"/>
  <c r="CZ88" i="17"/>
  <c r="CU88" i="17" s="1"/>
  <c r="JX88" i="17" s="1"/>
  <c r="EI88" i="17"/>
  <c r="EI89" i="17"/>
  <c r="EL90" i="17"/>
  <c r="CZ90" i="17"/>
  <c r="CU90" i="17" s="1"/>
  <c r="JX90" i="17" s="1"/>
  <c r="EI90" i="17"/>
  <c r="EI91" i="17"/>
  <c r="EL92" i="17"/>
  <c r="CZ92" i="17"/>
  <c r="CU92" i="17" s="1"/>
  <c r="JX92" i="17" s="1"/>
  <c r="EI92" i="17"/>
  <c r="EI93" i="17"/>
  <c r="EL94" i="17"/>
  <c r="CZ94" i="17"/>
  <c r="CU94" i="17" s="1"/>
  <c r="JX94" i="17" s="1"/>
  <c r="EI94" i="17"/>
  <c r="EI95" i="17"/>
  <c r="EL96" i="17"/>
  <c r="CZ96" i="17"/>
  <c r="CU96" i="17" s="1"/>
  <c r="JX96" i="17" s="1"/>
  <c r="EI96" i="17"/>
  <c r="EI97" i="17"/>
  <c r="EL98" i="17"/>
  <c r="CZ98" i="17"/>
  <c r="CU98" i="17" s="1"/>
  <c r="JX98" i="17" s="1"/>
  <c r="EI98" i="17"/>
  <c r="EI99" i="17"/>
  <c r="EL100" i="17"/>
  <c r="CZ100" i="17"/>
  <c r="CU100" i="17" s="1"/>
  <c r="JX100" i="17" s="1"/>
  <c r="EI100" i="17"/>
  <c r="EI101" i="17"/>
  <c r="EL102" i="17"/>
  <c r="CZ102" i="17"/>
  <c r="CU102" i="17" s="1"/>
  <c r="JX102" i="17" s="1"/>
  <c r="EI102" i="17"/>
  <c r="EI103" i="17"/>
  <c r="JX81" i="17"/>
  <c r="JT81" i="17"/>
  <c r="EW81" i="17"/>
  <c r="JW81" i="17"/>
  <c r="JW82" i="17"/>
  <c r="HM82" i="17"/>
  <c r="HK82" i="17"/>
  <c r="FW82" i="17"/>
  <c r="KF82" i="17"/>
  <c r="HO82" i="17"/>
  <c r="GM82" i="17"/>
  <c r="GN82" i="17" s="1"/>
  <c r="GO82" i="17" s="1"/>
  <c r="EL83" i="17"/>
  <c r="CZ83" i="17"/>
  <c r="CU83" i="17" s="1"/>
  <c r="JW83" i="17" s="1"/>
  <c r="HM83" i="17"/>
  <c r="HK83" i="17"/>
  <c r="FW83" i="17"/>
  <c r="KF83" i="17"/>
  <c r="HO83" i="17"/>
  <c r="GM83" i="17"/>
  <c r="GN83" i="17" s="1"/>
  <c r="GO83" i="17" s="1"/>
  <c r="JT84" i="17"/>
  <c r="EW84" i="17"/>
  <c r="HM84" i="17"/>
  <c r="HK84" i="17"/>
  <c r="FW84" i="17"/>
  <c r="KF84" i="17"/>
  <c r="HO84" i="17"/>
  <c r="GM84" i="17"/>
  <c r="GN84" i="17" s="1"/>
  <c r="GO84" i="17" s="1"/>
  <c r="EL85" i="17"/>
  <c r="CZ85" i="17"/>
  <c r="CU85" i="17" s="1"/>
  <c r="JW85" i="17" s="1"/>
  <c r="HM85" i="17"/>
  <c r="HK85" i="17"/>
  <c r="FW85" i="17"/>
  <c r="KF85" i="17"/>
  <c r="HO85" i="17"/>
  <c r="GM85" i="17"/>
  <c r="GN85" i="17" s="1"/>
  <c r="GO85" i="17" s="1"/>
  <c r="JT86" i="17"/>
  <c r="EW86" i="17"/>
  <c r="HM86" i="17"/>
  <c r="HK86" i="17"/>
  <c r="FW86" i="17"/>
  <c r="KF86" i="17"/>
  <c r="HO86" i="17"/>
  <c r="GM86" i="17"/>
  <c r="GN86" i="17" s="1"/>
  <c r="GO86" i="17" s="1"/>
  <c r="EL87" i="17"/>
  <c r="CZ87" i="17"/>
  <c r="CU87" i="17" s="1"/>
  <c r="JW87" i="17" s="1"/>
  <c r="HM87" i="17"/>
  <c r="HK87" i="17"/>
  <c r="FW87" i="17"/>
  <c r="KF87" i="17"/>
  <c r="HO87" i="17"/>
  <c r="GM87" i="17"/>
  <c r="GN87" i="17" s="1"/>
  <c r="GO87" i="17" s="1"/>
  <c r="JT88" i="17"/>
  <c r="EW88" i="17"/>
  <c r="HM88" i="17"/>
  <c r="HK88" i="17"/>
  <c r="FW88" i="17"/>
  <c r="KF88" i="17"/>
  <c r="HO88" i="17"/>
  <c r="GM88" i="17"/>
  <c r="GN88" i="17" s="1"/>
  <c r="GO88" i="17" s="1"/>
  <c r="EL89" i="17"/>
  <c r="CZ89" i="17"/>
  <c r="CU89" i="17" s="1"/>
  <c r="JW89" i="17" s="1"/>
  <c r="HM89" i="17"/>
  <c r="HK89" i="17"/>
  <c r="FW89" i="17"/>
  <c r="KF89" i="17"/>
  <c r="HO89" i="17"/>
  <c r="GM89" i="17"/>
  <c r="GN89" i="17" s="1"/>
  <c r="GO89" i="17" s="1"/>
  <c r="JT90" i="17"/>
  <c r="EW90" i="17"/>
  <c r="HM90" i="17"/>
  <c r="HK90" i="17"/>
  <c r="FW90" i="17"/>
  <c r="KF90" i="17"/>
  <c r="HO90" i="17"/>
  <c r="GM90" i="17"/>
  <c r="GN90" i="17" s="1"/>
  <c r="GO90" i="17" s="1"/>
  <c r="EL91" i="17"/>
  <c r="CZ91" i="17"/>
  <c r="CU91" i="17" s="1"/>
  <c r="JW91" i="17" s="1"/>
  <c r="HM91" i="17"/>
  <c r="HK91" i="17"/>
  <c r="FW91" i="17"/>
  <c r="KF91" i="17"/>
  <c r="HO91" i="17"/>
  <c r="GM91" i="17"/>
  <c r="GN91" i="17" s="1"/>
  <c r="GO91" i="17" s="1"/>
  <c r="JT92" i="17"/>
  <c r="EW92" i="17"/>
  <c r="HM92" i="17"/>
  <c r="HK92" i="17"/>
  <c r="FW92" i="17"/>
  <c r="KF92" i="17"/>
  <c r="HO92" i="17"/>
  <c r="GM92" i="17"/>
  <c r="GN92" i="17" s="1"/>
  <c r="GO92" i="17" s="1"/>
  <c r="EL93" i="17"/>
  <c r="CZ93" i="17"/>
  <c r="CU93" i="17" s="1"/>
  <c r="JW93" i="17" s="1"/>
  <c r="HM93" i="17"/>
  <c r="HK93" i="17"/>
  <c r="FW93" i="17"/>
  <c r="KF93" i="17"/>
  <c r="HO93" i="17"/>
  <c r="GM93" i="17"/>
  <c r="GN93" i="17" s="1"/>
  <c r="GO93" i="17" s="1"/>
  <c r="JT94" i="17"/>
  <c r="EW94" i="17"/>
  <c r="HM94" i="17"/>
  <c r="HK94" i="17"/>
  <c r="FW94" i="17"/>
  <c r="KF94" i="17"/>
  <c r="HO94" i="17"/>
  <c r="GM94" i="17"/>
  <c r="GN94" i="17" s="1"/>
  <c r="GO94" i="17" s="1"/>
  <c r="EL95" i="17"/>
  <c r="CZ95" i="17"/>
  <c r="CU95" i="17" s="1"/>
  <c r="JW95" i="17" s="1"/>
  <c r="HM95" i="17"/>
  <c r="HK95" i="17"/>
  <c r="FW95" i="17"/>
  <c r="KF95" i="17"/>
  <c r="HO95" i="17"/>
  <c r="GM95" i="17"/>
  <c r="GN95" i="17" s="1"/>
  <c r="GO95" i="17" s="1"/>
  <c r="JT96" i="17"/>
  <c r="EW96" i="17"/>
  <c r="HM96" i="17"/>
  <c r="HK96" i="17"/>
  <c r="FW96" i="17"/>
  <c r="KF96" i="17"/>
  <c r="HO96" i="17"/>
  <c r="GM96" i="17"/>
  <c r="GN96" i="17" s="1"/>
  <c r="GO96" i="17" s="1"/>
  <c r="EL97" i="17"/>
  <c r="CZ97" i="17"/>
  <c r="CU97" i="17" s="1"/>
  <c r="JW97" i="17" s="1"/>
  <c r="HM97" i="17"/>
  <c r="HK97" i="17"/>
  <c r="FW97" i="17"/>
  <c r="KF97" i="17"/>
  <c r="HO97" i="17"/>
  <c r="GM97" i="17"/>
  <c r="GN97" i="17" s="1"/>
  <c r="GO97" i="17" s="1"/>
  <c r="JT98" i="17"/>
  <c r="EW98" i="17"/>
  <c r="HM98" i="17"/>
  <c r="HK98" i="17"/>
  <c r="FW98" i="17"/>
  <c r="KF98" i="17"/>
  <c r="HO98" i="17"/>
  <c r="GM98" i="17"/>
  <c r="GN98" i="17" s="1"/>
  <c r="GO98" i="17" s="1"/>
  <c r="EL99" i="17"/>
  <c r="CZ99" i="17"/>
  <c r="CU99" i="17" s="1"/>
  <c r="JW99" i="17" s="1"/>
  <c r="HM99" i="17"/>
  <c r="HK99" i="17"/>
  <c r="FW99" i="17"/>
  <c r="KF99" i="17"/>
  <c r="HO99" i="17"/>
  <c r="GM99" i="17"/>
  <c r="GN99" i="17" s="1"/>
  <c r="GO99" i="17" s="1"/>
  <c r="JT100" i="17"/>
  <c r="EW100" i="17"/>
  <c r="HM100" i="17"/>
  <c r="HK100" i="17"/>
  <c r="FW100" i="17"/>
  <c r="KF100" i="17"/>
  <c r="HO100" i="17"/>
  <c r="GM100" i="17"/>
  <c r="GN100" i="17" s="1"/>
  <c r="GO100" i="17" s="1"/>
  <c r="EL101" i="17"/>
  <c r="CZ101" i="17"/>
  <c r="CU101" i="17" s="1"/>
  <c r="JW101" i="17" s="1"/>
  <c r="HM101" i="17"/>
  <c r="HK101" i="17"/>
  <c r="FW101" i="17"/>
  <c r="KF101" i="17"/>
  <c r="HO101" i="17"/>
  <c r="GM101" i="17"/>
  <c r="GN101" i="17" s="1"/>
  <c r="GO101" i="17" s="1"/>
  <c r="JT102" i="17"/>
  <c r="EW102" i="17"/>
  <c r="HM102" i="17"/>
  <c r="HK102" i="17"/>
  <c r="FW102" i="17"/>
  <c r="KF102" i="17"/>
  <c r="HO102" i="17"/>
  <c r="GM102" i="17"/>
  <c r="GN102" i="17" s="1"/>
  <c r="GO102" i="17" s="1"/>
  <c r="EL103" i="17"/>
  <c r="CZ103" i="17"/>
  <c r="CU103" i="17" s="1"/>
  <c r="JW103" i="17" s="1"/>
  <c r="JR83" i="17"/>
  <c r="JW84" i="17"/>
  <c r="JR85" i="17"/>
  <c r="JW86" i="17"/>
  <c r="JR87" i="17"/>
  <c r="JW88" i="17"/>
  <c r="JR89" i="17"/>
  <c r="JW90" i="17"/>
  <c r="JR91" i="17"/>
  <c r="JW92" i="17"/>
  <c r="JR93" i="17"/>
  <c r="JW94" i="17"/>
  <c r="JR95" i="17"/>
  <c r="JW96" i="17"/>
  <c r="JR97" i="17"/>
  <c r="JW98" i="17"/>
  <c r="JR99" i="17"/>
  <c r="JW100" i="17"/>
  <c r="JR101" i="17"/>
  <c r="JW102" i="17"/>
  <c r="FA103" i="17"/>
  <c r="FB103" i="17" s="1"/>
  <c r="FL103" i="17"/>
  <c r="EI104" i="17"/>
  <c r="EL105" i="17"/>
  <c r="CZ105" i="17"/>
  <c r="CU105" i="17" s="1"/>
  <c r="JX105" i="17" s="1"/>
  <c r="EI105" i="17"/>
  <c r="EI106" i="17"/>
  <c r="EL107" i="17"/>
  <c r="CZ107" i="17"/>
  <c r="CU107" i="17" s="1"/>
  <c r="JX107" i="17" s="1"/>
  <c r="EI107" i="17"/>
  <c r="EI108" i="17"/>
  <c r="EL109" i="17"/>
  <c r="CZ109" i="17"/>
  <c r="CU109" i="17" s="1"/>
  <c r="JX109" i="17" s="1"/>
  <c r="EI109" i="17"/>
  <c r="EI110" i="17"/>
  <c r="EL111" i="17"/>
  <c r="CZ111" i="17"/>
  <c r="CU111" i="17" s="1"/>
  <c r="JX111" i="17" s="1"/>
  <c r="EI111" i="17"/>
  <c r="EI112" i="17"/>
  <c r="EL113" i="17"/>
  <c r="CZ113" i="17"/>
  <c r="CU113" i="17" s="1"/>
  <c r="JX113" i="17" s="1"/>
  <c r="EI113" i="17"/>
  <c r="EI114" i="17"/>
  <c r="JR103" i="17"/>
  <c r="HM103" i="17"/>
  <c r="HK103" i="17"/>
  <c r="EL104" i="17"/>
  <c r="CZ104" i="17"/>
  <c r="CU104" i="17" s="1"/>
  <c r="JW104" i="17" s="1"/>
  <c r="HM104" i="17"/>
  <c r="HK104" i="17"/>
  <c r="FW104" i="17"/>
  <c r="KF104" i="17"/>
  <c r="HO104" i="17"/>
  <c r="GM104" i="17"/>
  <c r="GN104" i="17" s="1"/>
  <c r="GO104" i="17" s="1"/>
  <c r="JT105" i="17"/>
  <c r="EW105" i="17"/>
  <c r="HM105" i="17"/>
  <c r="HK105" i="17"/>
  <c r="FW105" i="17"/>
  <c r="KF105" i="17"/>
  <c r="HO105" i="17"/>
  <c r="GM105" i="17"/>
  <c r="GN105" i="17" s="1"/>
  <c r="GO105" i="17" s="1"/>
  <c r="EL106" i="17"/>
  <c r="CZ106" i="17"/>
  <c r="CU106" i="17" s="1"/>
  <c r="JW106" i="17" s="1"/>
  <c r="HM106" i="17"/>
  <c r="HK106" i="17"/>
  <c r="FW106" i="17"/>
  <c r="KF106" i="17"/>
  <c r="HO106" i="17"/>
  <c r="GM106" i="17"/>
  <c r="GN106" i="17" s="1"/>
  <c r="GO106" i="17" s="1"/>
  <c r="JT107" i="17"/>
  <c r="EW107" i="17"/>
  <c r="HM107" i="17"/>
  <c r="HK107" i="17"/>
  <c r="FW107" i="17"/>
  <c r="KF107" i="17"/>
  <c r="HO107" i="17"/>
  <c r="GM107" i="17"/>
  <c r="GN107" i="17" s="1"/>
  <c r="GO107" i="17" s="1"/>
  <c r="EL108" i="17"/>
  <c r="CZ108" i="17"/>
  <c r="CU108" i="17" s="1"/>
  <c r="JW108" i="17" s="1"/>
  <c r="HM108" i="17"/>
  <c r="HK108" i="17"/>
  <c r="FW108" i="17"/>
  <c r="KF108" i="17"/>
  <c r="HO108" i="17"/>
  <c r="GM108" i="17"/>
  <c r="GN108" i="17" s="1"/>
  <c r="GO108" i="17" s="1"/>
  <c r="JT109" i="17"/>
  <c r="EW109" i="17"/>
  <c r="HM109" i="17"/>
  <c r="HK109" i="17"/>
  <c r="FW109" i="17"/>
  <c r="KF109" i="17"/>
  <c r="HO109" i="17"/>
  <c r="GM109" i="17"/>
  <c r="GN109" i="17" s="1"/>
  <c r="GO109" i="17" s="1"/>
  <c r="EL110" i="17"/>
  <c r="CZ110" i="17"/>
  <c r="CU110" i="17" s="1"/>
  <c r="JW110" i="17" s="1"/>
  <c r="HM110" i="17"/>
  <c r="HK110" i="17"/>
  <c r="FW110" i="17"/>
  <c r="KF110" i="17"/>
  <c r="HO110" i="17"/>
  <c r="GM110" i="17"/>
  <c r="GN110" i="17" s="1"/>
  <c r="GO110" i="17" s="1"/>
  <c r="JT111" i="17"/>
  <c r="EW111" i="17"/>
  <c r="HM111" i="17"/>
  <c r="HK111" i="17"/>
  <c r="FW111" i="17"/>
  <c r="KF111" i="17"/>
  <c r="HO111" i="17"/>
  <c r="GM111" i="17"/>
  <c r="GN111" i="17" s="1"/>
  <c r="GO111" i="17" s="1"/>
  <c r="EL112" i="17"/>
  <c r="CZ112" i="17"/>
  <c r="CU112" i="17" s="1"/>
  <c r="JW112" i="17" s="1"/>
  <c r="HM112" i="17"/>
  <c r="HK112" i="17"/>
  <c r="FW112" i="17"/>
  <c r="KF112" i="17"/>
  <c r="HO112" i="17"/>
  <c r="GM112" i="17"/>
  <c r="GN112" i="17" s="1"/>
  <c r="GO112" i="17" s="1"/>
  <c r="JT113" i="17"/>
  <c r="EW113" i="17"/>
  <c r="HM113" i="17"/>
  <c r="HK113" i="17"/>
  <c r="FW113" i="17"/>
  <c r="KF113" i="17"/>
  <c r="HO113" i="17"/>
  <c r="GM113" i="17"/>
  <c r="GN113" i="17" s="1"/>
  <c r="GO113" i="17" s="1"/>
  <c r="EL114" i="17"/>
  <c r="CZ114" i="17"/>
  <c r="CU114" i="17" s="1"/>
  <c r="HM114" i="17"/>
  <c r="HK114" i="17"/>
  <c r="KF114" i="17"/>
  <c r="HO114" i="17"/>
  <c r="GM114" i="17"/>
  <c r="GN114" i="17" s="1"/>
  <c r="GO114" i="17" s="1"/>
  <c r="JR104" i="17"/>
  <c r="JR106" i="17"/>
  <c r="JR108" i="17"/>
  <c r="JR110" i="17"/>
  <c r="JR112" i="17"/>
  <c r="FG114" i="17"/>
  <c r="FH114" i="17" s="1"/>
  <c r="FQ114" i="17"/>
  <c r="EL115" i="17"/>
  <c r="CZ115" i="17"/>
  <c r="CU115" i="17" s="1"/>
  <c r="JT115" i="17"/>
  <c r="JX115" i="17"/>
  <c r="EW115" i="17"/>
  <c r="EL116" i="17"/>
  <c r="CZ116" i="17"/>
  <c r="CU116" i="17" s="1"/>
  <c r="JX116" i="17" s="1"/>
  <c r="HM116" i="17"/>
  <c r="HK116" i="17"/>
  <c r="FW116" i="17"/>
  <c r="KF116" i="17"/>
  <c r="HO116" i="17"/>
  <c r="GM116" i="17"/>
  <c r="GN116" i="17" s="1"/>
  <c r="GO116" i="17" s="1"/>
  <c r="EL118" i="17"/>
  <c r="CZ118" i="17"/>
  <c r="CU118" i="17" s="1"/>
  <c r="JW118" i="17" s="1"/>
  <c r="HM118" i="17"/>
  <c r="HK118" i="17"/>
  <c r="KF118" i="17"/>
  <c r="HO118" i="17"/>
  <c r="GM118" i="17"/>
  <c r="GN118" i="17" s="1"/>
  <c r="GO118" i="17" s="1"/>
  <c r="EI120" i="17"/>
  <c r="CZ121" i="17"/>
  <c r="CU121" i="17" s="1"/>
  <c r="EL121" i="17"/>
  <c r="JX121" i="17"/>
  <c r="EW121" i="17"/>
  <c r="JT121" i="17"/>
  <c r="EI122" i="17"/>
  <c r="JR114" i="17"/>
  <c r="JW114" i="17"/>
  <c r="EI116" i="17"/>
  <c r="CZ117" i="17"/>
  <c r="CU117" i="17" s="1"/>
  <c r="EL117" i="17"/>
  <c r="JX117" i="17"/>
  <c r="EW117" i="17"/>
  <c r="JT117" i="17"/>
  <c r="EI118" i="17"/>
  <c r="EL119" i="17"/>
  <c r="CZ119" i="17"/>
  <c r="CU119" i="17" s="1"/>
  <c r="JT119" i="17"/>
  <c r="JX119" i="17"/>
  <c r="EW119" i="17"/>
  <c r="EL120" i="17"/>
  <c r="CZ120" i="17"/>
  <c r="CU120" i="17" s="1"/>
  <c r="HM120" i="17"/>
  <c r="HK120" i="17"/>
  <c r="FW120" i="17"/>
  <c r="KF120" i="17"/>
  <c r="HO120" i="17"/>
  <c r="GM120" i="17"/>
  <c r="GN120" i="17" s="1"/>
  <c r="GO120" i="17" s="1"/>
  <c r="EL122" i="17"/>
  <c r="CZ122" i="17"/>
  <c r="CU122" i="17" s="1"/>
  <c r="JW122" i="17" s="1"/>
  <c r="HM122" i="17"/>
  <c r="HK122" i="17"/>
  <c r="KF122" i="17"/>
  <c r="HO122" i="17"/>
  <c r="GM122" i="17"/>
  <c r="GN122" i="17" s="1"/>
  <c r="GO122" i="17" s="1"/>
  <c r="JW115" i="17"/>
  <c r="EI117" i="17"/>
  <c r="JX118" i="17"/>
  <c r="JT118" i="17"/>
  <c r="EW118" i="17"/>
  <c r="JW119" i="17"/>
  <c r="HK119" i="17"/>
  <c r="EI121" i="17"/>
  <c r="JX122" i="17"/>
  <c r="JT122" i="17"/>
  <c r="EW122" i="17"/>
  <c r="GE5" i="4"/>
  <c r="GE7" i="4"/>
  <c r="GE9" i="4"/>
  <c r="GE11" i="4"/>
  <c r="EH115" i="17"/>
  <c r="FA115" i="17"/>
  <c r="FB115" i="17" s="1"/>
  <c r="FL115" i="17"/>
  <c r="HM115" i="17"/>
  <c r="JT116" i="17"/>
  <c r="EW116" i="17"/>
  <c r="JW116" i="17"/>
  <c r="JW117" i="17"/>
  <c r="EV117" i="17"/>
  <c r="GM117" i="17"/>
  <c r="GN117" i="17" s="1"/>
  <c r="GO117" i="17" s="1"/>
  <c r="HO117" i="17"/>
  <c r="FG118" i="17"/>
  <c r="FH118" i="17" s="1"/>
  <c r="FQ118" i="17"/>
  <c r="FW118" i="17" s="1"/>
  <c r="EH119" i="17"/>
  <c r="FA119" i="17"/>
  <c r="FB119" i="17" s="1"/>
  <c r="FL119" i="17"/>
  <c r="FW119" i="17"/>
  <c r="HM119" i="17"/>
  <c r="JX120" i="17"/>
  <c r="JT120" i="17"/>
  <c r="EW120" i="17"/>
  <c r="JW120" i="17"/>
  <c r="JW121" i="17"/>
  <c r="EV121" i="17"/>
  <c r="GM121" i="17"/>
  <c r="GN121" i="17" s="1"/>
  <c r="GO121" i="17" s="1"/>
  <c r="HO121" i="17"/>
  <c r="FG122" i="17"/>
  <c r="FH122" i="17" s="1"/>
  <c r="FQ122" i="17"/>
  <c r="GE4" i="4"/>
  <c r="GE6" i="4"/>
  <c r="GE8" i="4"/>
  <c r="GE13" i="4"/>
  <c r="GE15" i="4"/>
  <c r="GE17" i="4"/>
  <c r="GC19" i="4"/>
  <c r="GA19" i="4"/>
  <c r="BC19" i="4"/>
  <c r="BA19" i="4"/>
  <c r="GC20" i="4"/>
  <c r="GA20" i="4"/>
  <c r="BC20" i="4"/>
  <c r="BA20" i="4"/>
  <c r="GC21" i="4"/>
  <c r="GA21" i="4"/>
  <c r="BC21" i="4"/>
  <c r="BA21" i="4"/>
  <c r="GC22" i="4"/>
  <c r="GA22" i="4"/>
  <c r="BC22" i="4"/>
  <c r="BA22" i="4"/>
  <c r="GC23" i="4"/>
  <c r="GA23" i="4"/>
  <c r="BC23" i="4"/>
  <c r="BA23" i="4"/>
  <c r="GC24" i="4"/>
  <c r="GA24" i="4"/>
  <c r="BC24" i="4"/>
  <c r="BA24" i="4"/>
  <c r="GC25" i="4"/>
  <c r="GA25" i="4"/>
  <c r="BC25" i="4"/>
  <c r="BA25" i="4"/>
  <c r="GC26" i="4"/>
  <c r="GA26" i="4"/>
  <c r="BC26" i="4"/>
  <c r="BA26" i="4"/>
  <c r="GC27" i="4"/>
  <c r="GA27" i="4"/>
  <c r="BC27" i="4"/>
  <c r="BA27" i="4"/>
  <c r="GC28" i="4"/>
  <c r="GA28" i="4"/>
  <c r="BC28" i="4"/>
  <c r="BA28" i="4"/>
  <c r="FY5" i="4"/>
  <c r="FY6" i="4"/>
  <c r="FY7" i="4"/>
  <c r="FY8" i="4"/>
  <c r="FY9" i="4"/>
  <c r="GE10" i="4"/>
  <c r="GE12" i="4"/>
  <c r="GE14" i="4"/>
  <c r="GE16" i="4"/>
  <c r="GE18" i="4"/>
  <c r="GF30" i="4"/>
  <c r="GB30" i="4"/>
  <c r="DO30" i="4" s="1"/>
  <c r="AW30" i="4"/>
  <c r="GF32" i="4"/>
  <c r="GB32" i="4"/>
  <c r="DO32" i="4" s="1"/>
  <c r="AW32" i="4"/>
  <c r="FY10" i="4"/>
  <c r="FY11" i="4"/>
  <c r="FY12" i="4"/>
  <c r="FY13" i="4"/>
  <c r="FY14" i="4"/>
  <c r="FY15" i="4"/>
  <c r="FY16" i="4"/>
  <c r="FY17" i="4"/>
  <c r="FY18" i="4"/>
  <c r="AW19" i="4"/>
  <c r="FY19" i="4"/>
  <c r="GB19" i="4"/>
  <c r="DO19" i="4" s="1"/>
  <c r="AW20" i="4"/>
  <c r="FY20" i="4"/>
  <c r="GB20" i="4"/>
  <c r="DO20" i="4" s="1"/>
  <c r="AW21" i="4"/>
  <c r="FY21" i="4"/>
  <c r="GB21" i="4"/>
  <c r="DO21" i="4" s="1"/>
  <c r="AW22" i="4"/>
  <c r="FY22" i="4"/>
  <c r="GB22" i="4"/>
  <c r="DO22" i="4" s="1"/>
  <c r="AW23" i="4"/>
  <c r="FY23" i="4"/>
  <c r="GB23" i="4"/>
  <c r="DO23" i="4" s="1"/>
  <c r="AW24" i="4"/>
  <c r="FY24" i="4"/>
  <c r="GB24" i="4"/>
  <c r="DO24" i="4" s="1"/>
  <c r="AW25" i="4"/>
  <c r="FY25" i="4"/>
  <c r="GB25" i="4"/>
  <c r="DO25" i="4" s="1"/>
  <c r="AW26" i="4"/>
  <c r="FY26" i="4"/>
  <c r="GB26" i="4"/>
  <c r="DO26" i="4" s="1"/>
  <c r="AW27" i="4"/>
  <c r="FY27" i="4"/>
  <c r="GB27" i="4"/>
  <c r="DO27" i="4" s="1"/>
  <c r="AW28" i="4"/>
  <c r="FY28" i="4"/>
  <c r="GB28" i="4"/>
  <c r="DO28" i="4" s="1"/>
  <c r="GF29" i="4"/>
  <c r="GB29" i="4"/>
  <c r="DO29" i="4" s="1"/>
  <c r="AW29" i="4"/>
  <c r="FY30" i="4"/>
  <c r="GF31" i="4"/>
  <c r="GB31" i="4"/>
  <c r="DO31" i="4" s="1"/>
  <c r="AW31" i="4"/>
  <c r="FY32" i="4"/>
  <c r="GF33" i="4"/>
  <c r="GB33" i="4"/>
  <c r="DO33" i="4" s="1"/>
  <c r="AW33" i="4"/>
  <c r="FY34" i="4"/>
  <c r="GF34" i="4"/>
  <c r="GB34" i="4"/>
  <c r="DO34" i="4" s="1"/>
  <c r="AW34" i="4"/>
  <c r="FW114" i="17" l="1"/>
  <c r="FB123" i="17"/>
  <c r="FH123" i="17"/>
  <c r="BC33" i="4"/>
  <c r="BA33" i="4"/>
  <c r="GA33" i="4"/>
  <c r="GC33" i="4"/>
  <c r="BC29" i="4"/>
  <c r="BA29" i="4"/>
  <c r="GA29" i="4"/>
  <c r="GC29" i="4"/>
  <c r="BC32" i="4"/>
  <c r="BA32" i="4"/>
  <c r="GA32" i="4"/>
  <c r="GC32" i="4"/>
  <c r="BC30" i="4"/>
  <c r="BA30" i="4"/>
  <c r="GA30" i="4"/>
  <c r="GC30" i="4"/>
  <c r="GF14" i="4"/>
  <c r="GB14" i="4"/>
  <c r="DO14" i="4" s="1"/>
  <c r="AW14" i="4"/>
  <c r="GF13" i="4"/>
  <c r="GB13" i="4"/>
  <c r="DO13" i="4" s="1"/>
  <c r="AW13" i="4"/>
  <c r="GF4" i="4"/>
  <c r="GB4" i="4"/>
  <c r="DO4" i="4" s="1"/>
  <c r="AW4" i="4"/>
  <c r="HK117" i="17"/>
  <c r="HM117" i="17"/>
  <c r="FW117" i="17"/>
  <c r="FM116" i="17"/>
  <c r="FR116" i="17"/>
  <c r="KF115" i="17"/>
  <c r="HO115" i="17"/>
  <c r="GM115" i="17"/>
  <c r="GN115" i="17" s="1"/>
  <c r="GO115" i="17" s="1"/>
  <c r="EI115" i="17"/>
  <c r="GF9" i="4"/>
  <c r="GB9" i="4"/>
  <c r="DO9" i="4" s="1"/>
  <c r="AW9" i="4"/>
  <c r="GF5" i="4"/>
  <c r="GB5" i="4"/>
  <c r="DO5" i="4" s="1"/>
  <c r="AW5" i="4"/>
  <c r="HN122" i="17"/>
  <c r="HL122" i="17"/>
  <c r="HN118" i="17"/>
  <c r="HL118" i="17"/>
  <c r="HK115" i="17"/>
  <c r="FW122" i="17"/>
  <c r="EN122" i="17"/>
  <c r="EQ122" i="17" s="1"/>
  <c r="EM122" i="17"/>
  <c r="EP122" i="17" s="1"/>
  <c r="EN120" i="17"/>
  <c r="EQ120" i="17" s="1"/>
  <c r="EM120" i="17"/>
  <c r="EP120" i="17" s="1"/>
  <c r="HN117" i="17"/>
  <c r="HL117" i="17"/>
  <c r="EM117" i="17"/>
  <c r="EP117" i="17" s="1"/>
  <c r="FU117" i="17" s="1"/>
  <c r="GW117" i="17" s="1"/>
  <c r="GY117" i="17" s="1"/>
  <c r="EN117" i="17"/>
  <c r="EQ117" i="17" s="1"/>
  <c r="FR121" i="17"/>
  <c r="FM121" i="17"/>
  <c r="KF117" i="17"/>
  <c r="HN115" i="17"/>
  <c r="HL115" i="17"/>
  <c r="FR115" i="17"/>
  <c r="FM115" i="17"/>
  <c r="EM115" i="17"/>
  <c r="EP115" i="17" s="1"/>
  <c r="FU115" i="17" s="1"/>
  <c r="GW115" i="17" s="1"/>
  <c r="GY115" i="17" s="1"/>
  <c r="EN115" i="17"/>
  <c r="EQ115" i="17" s="1"/>
  <c r="JX112" i="17"/>
  <c r="JT112" i="17"/>
  <c r="EW112" i="17"/>
  <c r="JX110" i="17"/>
  <c r="JT110" i="17"/>
  <c r="EW110" i="17"/>
  <c r="JX108" i="17"/>
  <c r="JT108" i="17"/>
  <c r="EW108" i="17"/>
  <c r="JX106" i="17"/>
  <c r="JT106" i="17"/>
  <c r="EW106" i="17"/>
  <c r="JX104" i="17"/>
  <c r="JT104" i="17"/>
  <c r="EW104" i="17"/>
  <c r="FM113" i="17"/>
  <c r="FR113" i="17"/>
  <c r="EM112" i="17"/>
  <c r="EP112" i="17" s="1"/>
  <c r="EN112" i="17"/>
  <c r="EQ112" i="17" s="1"/>
  <c r="FM111" i="17"/>
  <c r="FR111" i="17"/>
  <c r="EM110" i="17"/>
  <c r="EP110" i="17" s="1"/>
  <c r="EN110" i="17"/>
  <c r="EQ110" i="17" s="1"/>
  <c r="FM109" i="17"/>
  <c r="FR109" i="17"/>
  <c r="EM108" i="17"/>
  <c r="EP108" i="17" s="1"/>
  <c r="EN108" i="17"/>
  <c r="EQ108" i="17" s="1"/>
  <c r="FM107" i="17"/>
  <c r="FR107" i="17"/>
  <c r="EM106" i="17"/>
  <c r="EP106" i="17" s="1"/>
  <c r="EN106" i="17"/>
  <c r="EQ106" i="17" s="1"/>
  <c r="FM105" i="17"/>
  <c r="FR105" i="17"/>
  <c r="EM104" i="17"/>
  <c r="EP104" i="17" s="1"/>
  <c r="EN104" i="17"/>
  <c r="EQ104" i="17" s="1"/>
  <c r="FV112" i="17"/>
  <c r="GX112" i="17" s="1"/>
  <c r="GZ112" i="17" s="1"/>
  <c r="FV110" i="17"/>
  <c r="GX110" i="17" s="1"/>
  <c r="GZ110" i="17" s="1"/>
  <c r="FV108" i="17"/>
  <c r="GX108" i="17" s="1"/>
  <c r="GZ108" i="17" s="1"/>
  <c r="FV106" i="17"/>
  <c r="GX106" i="17" s="1"/>
  <c r="GZ106" i="17" s="1"/>
  <c r="FV104" i="17"/>
  <c r="GX104" i="17" s="1"/>
  <c r="GZ104" i="17" s="1"/>
  <c r="KF103" i="17"/>
  <c r="HO103" i="17"/>
  <c r="GM103" i="17"/>
  <c r="GN103" i="17" s="1"/>
  <c r="GO103" i="17" s="1"/>
  <c r="FM102" i="17"/>
  <c r="FR102" i="17"/>
  <c r="EM101" i="17"/>
  <c r="EP101" i="17" s="1"/>
  <c r="EN101" i="17"/>
  <c r="EQ101" i="17" s="1"/>
  <c r="FM100" i="17"/>
  <c r="FR100" i="17"/>
  <c r="EM99" i="17"/>
  <c r="EP99" i="17" s="1"/>
  <c r="EN99" i="17"/>
  <c r="EQ99" i="17" s="1"/>
  <c r="FM98" i="17"/>
  <c r="FR98" i="17"/>
  <c r="EM97" i="17"/>
  <c r="EP97" i="17" s="1"/>
  <c r="EN97" i="17"/>
  <c r="EQ97" i="17" s="1"/>
  <c r="FM96" i="17"/>
  <c r="FR96" i="17"/>
  <c r="EM95" i="17"/>
  <c r="EP95" i="17" s="1"/>
  <c r="EN95" i="17"/>
  <c r="EQ95" i="17" s="1"/>
  <c r="FM94" i="17"/>
  <c r="FR94" i="17"/>
  <c r="EM93" i="17"/>
  <c r="EP93" i="17" s="1"/>
  <c r="EN93" i="17"/>
  <c r="EQ93" i="17" s="1"/>
  <c r="FM92" i="17"/>
  <c r="FR92" i="17"/>
  <c r="EM91" i="17"/>
  <c r="EP91" i="17" s="1"/>
  <c r="EN91" i="17"/>
  <c r="EQ91" i="17" s="1"/>
  <c r="FM90" i="17"/>
  <c r="FR90" i="17"/>
  <c r="EM89" i="17"/>
  <c r="EP89" i="17" s="1"/>
  <c r="EN89" i="17"/>
  <c r="EQ89" i="17" s="1"/>
  <c r="FM88" i="17"/>
  <c r="FR88" i="17"/>
  <c r="EM87" i="17"/>
  <c r="EP87" i="17" s="1"/>
  <c r="EN87" i="17"/>
  <c r="EQ87" i="17" s="1"/>
  <c r="FM86" i="17"/>
  <c r="FR86" i="17"/>
  <c r="EM85" i="17"/>
  <c r="EP85" i="17" s="1"/>
  <c r="EN85" i="17"/>
  <c r="EQ85" i="17" s="1"/>
  <c r="FM84" i="17"/>
  <c r="FR84" i="17"/>
  <c r="EM83" i="17"/>
  <c r="EP83" i="17" s="1"/>
  <c r="EN83" i="17"/>
  <c r="EQ83" i="17" s="1"/>
  <c r="FM81" i="17"/>
  <c r="FR81" i="17"/>
  <c r="HN82" i="17"/>
  <c r="HL82" i="17"/>
  <c r="EN82" i="17"/>
  <c r="EQ82" i="17" s="1"/>
  <c r="FV82" i="17" s="1"/>
  <c r="GX82" i="17" s="1"/>
  <c r="GZ82" i="17" s="1"/>
  <c r="EM82" i="17"/>
  <c r="EP82" i="17" s="1"/>
  <c r="JX79" i="17"/>
  <c r="JT79" i="17"/>
  <c r="EW79" i="17"/>
  <c r="JX75" i="17"/>
  <c r="JT75" i="17"/>
  <c r="EW75" i="17"/>
  <c r="JX71" i="17"/>
  <c r="JT71" i="17"/>
  <c r="EW71" i="17"/>
  <c r="JX67" i="17"/>
  <c r="JT67" i="17"/>
  <c r="EW67" i="17"/>
  <c r="JX63" i="17"/>
  <c r="JT63" i="17"/>
  <c r="EW63" i="17"/>
  <c r="FW81" i="17"/>
  <c r="EN81" i="17"/>
  <c r="EQ81" i="17" s="1"/>
  <c r="EM81" i="17"/>
  <c r="EP81" i="17" s="1"/>
  <c r="EM79" i="17"/>
  <c r="EP79" i="17" s="1"/>
  <c r="EN79" i="17"/>
  <c r="EQ79" i="17" s="1"/>
  <c r="EM77" i="17"/>
  <c r="EP77" i="17" s="1"/>
  <c r="EN77" i="17"/>
  <c r="EQ77" i="17" s="1"/>
  <c r="EM75" i="17"/>
  <c r="EP75" i="17" s="1"/>
  <c r="EN75" i="17"/>
  <c r="EQ75" i="17" s="1"/>
  <c r="EM73" i="17"/>
  <c r="EP73" i="17" s="1"/>
  <c r="EN73" i="17"/>
  <c r="EQ73" i="17" s="1"/>
  <c r="EM71" i="17"/>
  <c r="EP71" i="17" s="1"/>
  <c r="EN71" i="17"/>
  <c r="EQ71" i="17" s="1"/>
  <c r="EM69" i="17"/>
  <c r="EP69" i="17" s="1"/>
  <c r="EN69" i="17"/>
  <c r="EQ69" i="17" s="1"/>
  <c r="EM67" i="17"/>
  <c r="EP67" i="17" s="1"/>
  <c r="EN67" i="17"/>
  <c r="EQ67" i="17" s="1"/>
  <c r="EM65" i="17"/>
  <c r="EP65" i="17" s="1"/>
  <c r="EN65" i="17"/>
  <c r="EQ65" i="17" s="1"/>
  <c r="EM63" i="17"/>
  <c r="EP63" i="17" s="1"/>
  <c r="EN63" i="17"/>
  <c r="EQ63" i="17" s="1"/>
  <c r="EM61" i="17"/>
  <c r="EP61" i="17" s="1"/>
  <c r="EN61" i="17"/>
  <c r="EQ61" i="17" s="1"/>
  <c r="HN80" i="17"/>
  <c r="HL80" i="17"/>
  <c r="FV79" i="17"/>
  <c r="GX79" i="17" s="1"/>
  <c r="GZ79" i="17" s="1"/>
  <c r="HN78" i="17"/>
  <c r="HL78" i="17"/>
  <c r="EN78" i="17"/>
  <c r="EQ78" i="17" s="1"/>
  <c r="FV78" i="17" s="1"/>
  <c r="GX78" i="17" s="1"/>
  <c r="GZ78" i="17" s="1"/>
  <c r="EM78" i="17"/>
  <c r="EP78" i="17" s="1"/>
  <c r="FM76" i="17"/>
  <c r="FR76" i="17"/>
  <c r="FV75" i="17"/>
  <c r="GX75" i="17" s="1"/>
  <c r="GZ75" i="17" s="1"/>
  <c r="HN74" i="17"/>
  <c r="HL74" i="17"/>
  <c r="EN74" i="17"/>
  <c r="EQ74" i="17" s="1"/>
  <c r="FV74" i="17" s="1"/>
  <c r="GX74" i="17" s="1"/>
  <c r="GZ74" i="17" s="1"/>
  <c r="EM74" i="17"/>
  <c r="EP74" i="17" s="1"/>
  <c r="FM72" i="17"/>
  <c r="FR72" i="17"/>
  <c r="FV71" i="17"/>
  <c r="GX71" i="17" s="1"/>
  <c r="GZ71" i="17" s="1"/>
  <c r="HN70" i="17"/>
  <c r="HL70" i="17"/>
  <c r="EN70" i="17"/>
  <c r="EQ70" i="17" s="1"/>
  <c r="FV70" i="17" s="1"/>
  <c r="GX70" i="17" s="1"/>
  <c r="GZ70" i="17" s="1"/>
  <c r="EM70" i="17"/>
  <c r="EP70" i="17" s="1"/>
  <c r="FM68" i="17"/>
  <c r="FR68" i="17"/>
  <c r="FV67" i="17"/>
  <c r="GX67" i="17" s="1"/>
  <c r="GZ67" i="17" s="1"/>
  <c r="HN66" i="17"/>
  <c r="HL66" i="17"/>
  <c r="EN66" i="17"/>
  <c r="EQ66" i="17" s="1"/>
  <c r="FV66" i="17" s="1"/>
  <c r="GX66" i="17" s="1"/>
  <c r="GZ66" i="17" s="1"/>
  <c r="EM66" i="17"/>
  <c r="EP66" i="17" s="1"/>
  <c r="FM64" i="17"/>
  <c r="FR64" i="17"/>
  <c r="FV63" i="17"/>
  <c r="GX63" i="17" s="1"/>
  <c r="GZ63" i="17" s="1"/>
  <c r="HN62" i="17"/>
  <c r="HL62" i="17"/>
  <c r="EN62" i="17"/>
  <c r="EQ62" i="17" s="1"/>
  <c r="FV62" i="17" s="1"/>
  <c r="GX62" i="17" s="1"/>
  <c r="GZ62" i="17" s="1"/>
  <c r="EM62" i="17"/>
  <c r="EP62" i="17" s="1"/>
  <c r="FM60" i="17"/>
  <c r="FR60" i="17"/>
  <c r="JX55" i="17"/>
  <c r="JT55" i="17"/>
  <c r="EW55" i="17"/>
  <c r="JX51" i="17"/>
  <c r="JT51" i="17"/>
  <c r="EW51" i="17"/>
  <c r="JX47" i="17"/>
  <c r="JT47" i="17"/>
  <c r="EW47" i="17"/>
  <c r="JX43" i="17"/>
  <c r="JT43" i="17"/>
  <c r="EW43" i="17"/>
  <c r="JX39" i="17"/>
  <c r="JT39" i="17"/>
  <c r="EW39" i="17"/>
  <c r="JX35" i="17"/>
  <c r="JT35" i="17"/>
  <c r="EW35" i="17"/>
  <c r="JX31" i="17"/>
  <c r="JT31" i="17"/>
  <c r="EW31" i="17"/>
  <c r="JX27" i="17"/>
  <c r="JT27" i="17"/>
  <c r="EW27" i="17"/>
  <c r="JX23" i="17"/>
  <c r="JT23" i="17"/>
  <c r="EW23" i="17"/>
  <c r="JX19" i="17"/>
  <c r="JT19" i="17"/>
  <c r="EW19" i="17"/>
  <c r="EM55" i="17"/>
  <c r="EP55" i="17" s="1"/>
  <c r="EN55" i="17"/>
  <c r="EQ55" i="17" s="1"/>
  <c r="EM53" i="17"/>
  <c r="EP53" i="17" s="1"/>
  <c r="EN53" i="17"/>
  <c r="EQ53" i="17" s="1"/>
  <c r="EM51" i="17"/>
  <c r="EP51" i="17" s="1"/>
  <c r="EN51" i="17"/>
  <c r="EQ51" i="17" s="1"/>
  <c r="EM49" i="17"/>
  <c r="EP49" i="17" s="1"/>
  <c r="EN49" i="17"/>
  <c r="EQ49" i="17" s="1"/>
  <c r="EM47" i="17"/>
  <c r="EP47" i="17" s="1"/>
  <c r="EN47" i="17"/>
  <c r="EQ47" i="17" s="1"/>
  <c r="EM45" i="17"/>
  <c r="EP45" i="17" s="1"/>
  <c r="EN45" i="17"/>
  <c r="EQ45" i="17" s="1"/>
  <c r="EM43" i="17"/>
  <c r="EP43" i="17" s="1"/>
  <c r="EN43" i="17"/>
  <c r="EQ43" i="17" s="1"/>
  <c r="EM41" i="17"/>
  <c r="EP41" i="17" s="1"/>
  <c r="EN41" i="17"/>
  <c r="EQ41" i="17" s="1"/>
  <c r="EM39" i="17"/>
  <c r="EP39" i="17" s="1"/>
  <c r="EN39" i="17"/>
  <c r="EQ39" i="17" s="1"/>
  <c r="EM37" i="17"/>
  <c r="EP37" i="17" s="1"/>
  <c r="EN37" i="17"/>
  <c r="EQ37" i="17" s="1"/>
  <c r="EM35" i="17"/>
  <c r="EP35" i="17" s="1"/>
  <c r="EN35" i="17"/>
  <c r="EQ35" i="17" s="1"/>
  <c r="EM33" i="17"/>
  <c r="EP33" i="17" s="1"/>
  <c r="EN33" i="17"/>
  <c r="EQ33" i="17" s="1"/>
  <c r="EM31" i="17"/>
  <c r="EP31" i="17" s="1"/>
  <c r="EN31" i="17"/>
  <c r="EQ31" i="17" s="1"/>
  <c r="EM29" i="17"/>
  <c r="EP29" i="17" s="1"/>
  <c r="EN29" i="17"/>
  <c r="EQ29" i="17" s="1"/>
  <c r="EM27" i="17"/>
  <c r="EP27" i="17" s="1"/>
  <c r="EN27" i="17"/>
  <c r="EQ27" i="17" s="1"/>
  <c r="EM25" i="17"/>
  <c r="EP25" i="17" s="1"/>
  <c r="EN25" i="17"/>
  <c r="EQ25" i="17" s="1"/>
  <c r="EM23" i="17"/>
  <c r="EP23" i="17" s="1"/>
  <c r="EN23" i="17"/>
  <c r="EQ23" i="17" s="1"/>
  <c r="EM21" i="17"/>
  <c r="EP21" i="17" s="1"/>
  <c r="EN21" i="17"/>
  <c r="EQ21" i="17" s="1"/>
  <c r="EM19" i="17"/>
  <c r="EP19" i="17" s="1"/>
  <c r="EN19" i="17"/>
  <c r="EQ19" i="17" s="1"/>
  <c r="EM17" i="17"/>
  <c r="EP17" i="17" s="1"/>
  <c r="EN17" i="17"/>
  <c r="EQ17" i="17" s="1"/>
  <c r="HN58" i="17"/>
  <c r="HL58" i="17"/>
  <c r="FR58" i="17"/>
  <c r="FX58" i="17" s="1"/>
  <c r="FM58" i="17"/>
  <c r="EM58" i="17"/>
  <c r="EP58" i="17" s="1"/>
  <c r="FU58" i="17" s="1"/>
  <c r="GW58" i="17" s="1"/>
  <c r="GY58" i="17" s="1"/>
  <c r="EN58" i="17"/>
  <c r="EQ58" i="17" s="1"/>
  <c r="FM56" i="17"/>
  <c r="FR56" i="17"/>
  <c r="FV55" i="17"/>
  <c r="GX55" i="17" s="1"/>
  <c r="GZ55" i="17" s="1"/>
  <c r="HN54" i="17"/>
  <c r="HL54" i="17"/>
  <c r="EN54" i="17"/>
  <c r="EQ54" i="17" s="1"/>
  <c r="FV54" i="17" s="1"/>
  <c r="GX54" i="17" s="1"/>
  <c r="GZ54" i="17" s="1"/>
  <c r="EM54" i="17"/>
  <c r="EP54" i="17" s="1"/>
  <c r="FM52" i="17"/>
  <c r="FR52" i="17"/>
  <c r="FV51" i="17"/>
  <c r="GX51" i="17" s="1"/>
  <c r="GZ51" i="17" s="1"/>
  <c r="HN50" i="17"/>
  <c r="HL50" i="17"/>
  <c r="EN50" i="17"/>
  <c r="EQ50" i="17" s="1"/>
  <c r="FV50" i="17" s="1"/>
  <c r="GX50" i="17" s="1"/>
  <c r="GZ50" i="17" s="1"/>
  <c r="EM50" i="17"/>
  <c r="EP50" i="17" s="1"/>
  <c r="FM48" i="17"/>
  <c r="FR48" i="17"/>
  <c r="FV47" i="17"/>
  <c r="GX47" i="17" s="1"/>
  <c r="GZ47" i="17" s="1"/>
  <c r="HN46" i="17"/>
  <c r="HL46" i="17"/>
  <c r="EN46" i="17"/>
  <c r="EQ46" i="17" s="1"/>
  <c r="FV46" i="17" s="1"/>
  <c r="GX46" i="17" s="1"/>
  <c r="GZ46" i="17" s="1"/>
  <c r="EM46" i="17"/>
  <c r="EP46" i="17" s="1"/>
  <c r="FM44" i="17"/>
  <c r="FR44" i="17"/>
  <c r="FV43" i="17"/>
  <c r="GX43" i="17" s="1"/>
  <c r="GZ43" i="17" s="1"/>
  <c r="HN42" i="17"/>
  <c r="HL42" i="17"/>
  <c r="EN42" i="17"/>
  <c r="EQ42" i="17" s="1"/>
  <c r="FV42" i="17" s="1"/>
  <c r="GX42" i="17" s="1"/>
  <c r="GZ42" i="17" s="1"/>
  <c r="EM42" i="17"/>
  <c r="EP42" i="17" s="1"/>
  <c r="FM40" i="17"/>
  <c r="FR40" i="17"/>
  <c r="FV39" i="17"/>
  <c r="GX39" i="17" s="1"/>
  <c r="GZ39" i="17" s="1"/>
  <c r="HN38" i="17"/>
  <c r="HL38" i="17"/>
  <c r="EN38" i="17"/>
  <c r="EQ38" i="17" s="1"/>
  <c r="FV38" i="17" s="1"/>
  <c r="GX38" i="17" s="1"/>
  <c r="GZ38" i="17" s="1"/>
  <c r="EM38" i="17"/>
  <c r="EP38" i="17" s="1"/>
  <c r="FM36" i="17"/>
  <c r="FR36" i="17"/>
  <c r="FV35" i="17"/>
  <c r="GX35" i="17" s="1"/>
  <c r="GZ35" i="17" s="1"/>
  <c r="HN34" i="17"/>
  <c r="HL34" i="17"/>
  <c r="EN34" i="17"/>
  <c r="EQ34" i="17" s="1"/>
  <c r="FV34" i="17" s="1"/>
  <c r="GX34" i="17" s="1"/>
  <c r="GZ34" i="17" s="1"/>
  <c r="EM34" i="17"/>
  <c r="EP34" i="17" s="1"/>
  <c r="FM32" i="17"/>
  <c r="FR32" i="17"/>
  <c r="FV31" i="17"/>
  <c r="GX31" i="17" s="1"/>
  <c r="GZ31" i="17" s="1"/>
  <c r="HN30" i="17"/>
  <c r="HL30" i="17"/>
  <c r="EN30" i="17"/>
  <c r="EQ30" i="17" s="1"/>
  <c r="FV30" i="17" s="1"/>
  <c r="GX30" i="17" s="1"/>
  <c r="GZ30" i="17" s="1"/>
  <c r="EM30" i="17"/>
  <c r="EP30" i="17" s="1"/>
  <c r="FM28" i="17"/>
  <c r="FR28" i="17"/>
  <c r="FV27" i="17"/>
  <c r="GX27" i="17" s="1"/>
  <c r="GZ27" i="17" s="1"/>
  <c r="HN26" i="17"/>
  <c r="HL26" i="17"/>
  <c r="EN26" i="17"/>
  <c r="EQ26" i="17" s="1"/>
  <c r="FV26" i="17" s="1"/>
  <c r="GX26" i="17" s="1"/>
  <c r="GZ26" i="17" s="1"/>
  <c r="EM26" i="17"/>
  <c r="EP26" i="17" s="1"/>
  <c r="FM24" i="17"/>
  <c r="FR24" i="17"/>
  <c r="FV23" i="17"/>
  <c r="GX23" i="17" s="1"/>
  <c r="GZ23" i="17" s="1"/>
  <c r="HN22" i="17"/>
  <c r="HL22" i="17"/>
  <c r="EN22" i="17"/>
  <c r="EQ22" i="17" s="1"/>
  <c r="FV22" i="17" s="1"/>
  <c r="GX22" i="17" s="1"/>
  <c r="GZ22" i="17" s="1"/>
  <c r="EM22" i="17"/>
  <c r="EP22" i="17" s="1"/>
  <c r="FM20" i="17"/>
  <c r="FR20" i="17"/>
  <c r="FV19" i="17"/>
  <c r="GX19" i="17" s="1"/>
  <c r="GZ19" i="17" s="1"/>
  <c r="HN18" i="17"/>
  <c r="HL18" i="17"/>
  <c r="EN18" i="17"/>
  <c r="EQ18" i="17" s="1"/>
  <c r="FV18" i="17" s="1"/>
  <c r="GX18" i="17" s="1"/>
  <c r="GZ18" i="17" s="1"/>
  <c r="EM18" i="17"/>
  <c r="EP18" i="17" s="1"/>
  <c r="FM16" i="17"/>
  <c r="FR16" i="17"/>
  <c r="HN13" i="17"/>
  <c r="HL13" i="17"/>
  <c r="JX10" i="17"/>
  <c r="JT10" i="17"/>
  <c r="EW10" i="17"/>
  <c r="EM15" i="17"/>
  <c r="EP15" i="17" s="1"/>
  <c r="EN15" i="17"/>
  <c r="EQ15" i="17" s="1"/>
  <c r="EN13" i="17"/>
  <c r="EQ13" i="17" s="1"/>
  <c r="KD13" i="17" s="1"/>
  <c r="EM13" i="17"/>
  <c r="EP13" i="17" s="1"/>
  <c r="EN11" i="17"/>
  <c r="EQ11" i="17" s="1"/>
  <c r="EM11" i="17"/>
  <c r="EP11" i="17" s="1"/>
  <c r="FM9" i="17"/>
  <c r="FR9" i="17"/>
  <c r="FR6" i="17"/>
  <c r="FM6" i="17"/>
  <c r="FX6" i="17" s="1"/>
  <c r="HN6" i="17"/>
  <c r="HL6" i="17"/>
  <c r="HN5" i="17"/>
  <c r="HL5" i="17"/>
  <c r="FV13" i="17"/>
  <c r="GX13" i="17" s="1"/>
  <c r="GZ13" i="17" s="1"/>
  <c r="EM12" i="17"/>
  <c r="EP12" i="17" s="1"/>
  <c r="EN12" i="17"/>
  <c r="EQ12" i="17" s="1"/>
  <c r="FR12" i="17"/>
  <c r="FM12" i="17"/>
  <c r="FM11" i="17"/>
  <c r="FR11" i="17"/>
  <c r="EM10" i="17"/>
  <c r="EP10" i="17" s="1"/>
  <c r="EN10" i="17"/>
  <c r="EQ10" i="17" s="1"/>
  <c r="EM8" i="17"/>
  <c r="EP8" i="17" s="1"/>
  <c r="EN8" i="17"/>
  <c r="EQ8" i="17" s="1"/>
  <c r="EN7" i="17"/>
  <c r="EQ7" i="17" s="1"/>
  <c r="EM7" i="17"/>
  <c r="EP7" i="17" s="1"/>
  <c r="FM7" i="17"/>
  <c r="FR7" i="17"/>
  <c r="BC34" i="4"/>
  <c r="BA34" i="4"/>
  <c r="GA34" i="4"/>
  <c r="GC34" i="4"/>
  <c r="EV31" i="4"/>
  <c r="FW31" i="4" s="1"/>
  <c r="DH31" i="4"/>
  <c r="DI31" i="4" s="1"/>
  <c r="GH31" i="4" s="1"/>
  <c r="GF18" i="4"/>
  <c r="GB18" i="4"/>
  <c r="DO18" i="4" s="1"/>
  <c r="AW18" i="4"/>
  <c r="GF10" i="4"/>
  <c r="GB10" i="4"/>
  <c r="DO10" i="4" s="1"/>
  <c r="AW10" i="4"/>
  <c r="GF17" i="4"/>
  <c r="GB17" i="4"/>
  <c r="DO17" i="4" s="1"/>
  <c r="AW17" i="4"/>
  <c r="GF8" i="4"/>
  <c r="GB8" i="4"/>
  <c r="DO8" i="4" s="1"/>
  <c r="AW8" i="4"/>
  <c r="KD120" i="17"/>
  <c r="HL120" i="17"/>
  <c r="HN120" i="17"/>
  <c r="EV34" i="4"/>
  <c r="FW34" i="4" s="1"/>
  <c r="DH34" i="4"/>
  <c r="DI34" i="4" s="1"/>
  <c r="GH34" i="4" s="1"/>
  <c r="EV33" i="4"/>
  <c r="FW33" i="4" s="1"/>
  <c r="DH33" i="4"/>
  <c r="DI33" i="4" s="1"/>
  <c r="GH33" i="4" s="1"/>
  <c r="BC31" i="4"/>
  <c r="BA31" i="4"/>
  <c r="GA31" i="4"/>
  <c r="GC31" i="4"/>
  <c r="EV29" i="4"/>
  <c r="FW29" i="4" s="1"/>
  <c r="DH29" i="4"/>
  <c r="DI29" i="4" s="1"/>
  <c r="GH29" i="4" s="1"/>
  <c r="DH28" i="4"/>
  <c r="DI28" i="4" s="1"/>
  <c r="GH28" i="4" s="1"/>
  <c r="EV28" i="4"/>
  <c r="FW28" i="4" s="1"/>
  <c r="DH27" i="4"/>
  <c r="DI27" i="4" s="1"/>
  <c r="GH27" i="4" s="1"/>
  <c r="EV27" i="4"/>
  <c r="FW27" i="4" s="1"/>
  <c r="DH26" i="4"/>
  <c r="DI26" i="4" s="1"/>
  <c r="GH26" i="4" s="1"/>
  <c r="EV26" i="4"/>
  <c r="FW26" i="4" s="1"/>
  <c r="DH25" i="4"/>
  <c r="DI25" i="4" s="1"/>
  <c r="GH25" i="4" s="1"/>
  <c r="EV25" i="4"/>
  <c r="FW25" i="4" s="1"/>
  <c r="DH24" i="4"/>
  <c r="DI24" i="4" s="1"/>
  <c r="GH24" i="4" s="1"/>
  <c r="EV24" i="4"/>
  <c r="FW24" i="4" s="1"/>
  <c r="DH23" i="4"/>
  <c r="DI23" i="4" s="1"/>
  <c r="GH23" i="4" s="1"/>
  <c r="EV23" i="4"/>
  <c r="FW23" i="4" s="1"/>
  <c r="DH22" i="4"/>
  <c r="DI22" i="4" s="1"/>
  <c r="GH22" i="4" s="1"/>
  <c r="EV22" i="4"/>
  <c r="FW22" i="4" s="1"/>
  <c r="DH21" i="4"/>
  <c r="DI21" i="4" s="1"/>
  <c r="GH21" i="4" s="1"/>
  <c r="EV21" i="4"/>
  <c r="FW21" i="4" s="1"/>
  <c r="DH20" i="4"/>
  <c r="DI20" i="4" s="1"/>
  <c r="GH20" i="4" s="1"/>
  <c r="EV20" i="4"/>
  <c r="FW20" i="4" s="1"/>
  <c r="DH19" i="4"/>
  <c r="DI19" i="4" s="1"/>
  <c r="GH19" i="4" s="1"/>
  <c r="EV19" i="4"/>
  <c r="FW19" i="4" s="1"/>
  <c r="EV32" i="4"/>
  <c r="FW32" i="4" s="1"/>
  <c r="DH32" i="4"/>
  <c r="DI32" i="4" s="1"/>
  <c r="GH32" i="4" s="1"/>
  <c r="EV30" i="4"/>
  <c r="FW30" i="4" s="1"/>
  <c r="DH30" i="4"/>
  <c r="DI30" i="4" s="1"/>
  <c r="GH30" i="4" s="1"/>
  <c r="GF16" i="4"/>
  <c r="GB16" i="4"/>
  <c r="DO16" i="4" s="1"/>
  <c r="AW16" i="4"/>
  <c r="GF12" i="4"/>
  <c r="GB12" i="4"/>
  <c r="DO12" i="4" s="1"/>
  <c r="AW12" i="4"/>
  <c r="GN28" i="4"/>
  <c r="GL28" i="4"/>
  <c r="GN27" i="4"/>
  <c r="GL27" i="4"/>
  <c r="GN26" i="4"/>
  <c r="GL26" i="4"/>
  <c r="GN25" i="4"/>
  <c r="GL25" i="4"/>
  <c r="GN24" i="4"/>
  <c r="GL24" i="4"/>
  <c r="GN23" i="4"/>
  <c r="GL23" i="4"/>
  <c r="GN22" i="4"/>
  <c r="GL22" i="4"/>
  <c r="GN21" i="4"/>
  <c r="GL21" i="4"/>
  <c r="GN20" i="4"/>
  <c r="GL20" i="4"/>
  <c r="GN19" i="4"/>
  <c r="GL19" i="4"/>
  <c r="GF15" i="4"/>
  <c r="GB15" i="4"/>
  <c r="DO15" i="4" s="1"/>
  <c r="AW15" i="4"/>
  <c r="GF6" i="4"/>
  <c r="GB6" i="4"/>
  <c r="DO6" i="4" s="1"/>
  <c r="AW6" i="4"/>
  <c r="HK121" i="17"/>
  <c r="HM121" i="17"/>
  <c r="FW121" i="17"/>
  <c r="FM120" i="17"/>
  <c r="FR120" i="17"/>
  <c r="FX120" i="17" s="1"/>
  <c r="KF119" i="17"/>
  <c r="HO119" i="17"/>
  <c r="GM119" i="17"/>
  <c r="GN119" i="17" s="1"/>
  <c r="GO119" i="17" s="1"/>
  <c r="EI119" i="17"/>
  <c r="HL116" i="17"/>
  <c r="HN116" i="17"/>
  <c r="FX116" i="17"/>
  <c r="FW115" i="17"/>
  <c r="GF11" i="4"/>
  <c r="GB11" i="4"/>
  <c r="DO11" i="4" s="1"/>
  <c r="AW11" i="4"/>
  <c r="GF7" i="4"/>
  <c r="GB7" i="4"/>
  <c r="DO7" i="4" s="1"/>
  <c r="AW7" i="4"/>
  <c r="FM122" i="17"/>
  <c r="FR122" i="17"/>
  <c r="FM118" i="17"/>
  <c r="FR118" i="17"/>
  <c r="FV117" i="17"/>
  <c r="GX117" i="17" s="1"/>
  <c r="GZ117" i="17" s="1"/>
  <c r="KC115" i="17"/>
  <c r="HA115" i="17" s="1"/>
  <c r="HC115" i="17" s="1"/>
  <c r="KF121" i="17"/>
  <c r="HN119" i="17"/>
  <c r="HL119" i="17"/>
  <c r="FR119" i="17"/>
  <c r="FM119" i="17"/>
  <c r="EM119" i="17"/>
  <c r="EP119" i="17" s="1"/>
  <c r="KC119" i="17" s="1"/>
  <c r="HA119" i="17" s="1"/>
  <c r="HC119" i="17" s="1"/>
  <c r="EN119" i="17"/>
  <c r="EQ119" i="17" s="1"/>
  <c r="FR117" i="17"/>
  <c r="FM117" i="17"/>
  <c r="JX114" i="17"/>
  <c r="JT114" i="17"/>
  <c r="EW114" i="17"/>
  <c r="FV122" i="17"/>
  <c r="GX122" i="17" s="1"/>
  <c r="GZ122" i="17" s="1"/>
  <c r="HN121" i="17"/>
  <c r="HL121" i="17"/>
  <c r="FX121" i="17"/>
  <c r="EM121" i="17"/>
  <c r="EP121" i="17" s="1"/>
  <c r="FU121" i="17" s="1"/>
  <c r="GW121" i="17" s="1"/>
  <c r="GY121" i="17" s="1"/>
  <c r="EN121" i="17"/>
  <c r="EQ121" i="17" s="1"/>
  <c r="FV120" i="17"/>
  <c r="GX120" i="17" s="1"/>
  <c r="GZ120" i="17" s="1"/>
  <c r="EN118" i="17"/>
  <c r="EQ118" i="17" s="1"/>
  <c r="EM118" i="17"/>
  <c r="EP118" i="17" s="1"/>
  <c r="EN116" i="17"/>
  <c r="EQ116" i="17" s="1"/>
  <c r="FV116" i="17" s="1"/>
  <c r="GX116" i="17" s="1"/>
  <c r="GZ116" i="17" s="1"/>
  <c r="EM116" i="17"/>
  <c r="EP116" i="17" s="1"/>
  <c r="JW113" i="17"/>
  <c r="JW111" i="17"/>
  <c r="JW109" i="17"/>
  <c r="JW107" i="17"/>
  <c r="JW105" i="17"/>
  <c r="EN114" i="17"/>
  <c r="EQ114" i="17" s="1"/>
  <c r="EM114" i="17"/>
  <c r="EP114" i="17" s="1"/>
  <c r="HN113" i="17"/>
  <c r="HL113" i="17"/>
  <c r="FX113" i="17"/>
  <c r="HN111" i="17"/>
  <c r="HL111" i="17"/>
  <c r="FX111" i="17"/>
  <c r="HN109" i="17"/>
  <c r="HL109" i="17"/>
  <c r="FX109" i="17"/>
  <c r="HN107" i="17"/>
  <c r="HL107" i="17"/>
  <c r="FX107" i="17"/>
  <c r="HN105" i="17"/>
  <c r="HL105" i="17"/>
  <c r="FX105" i="17"/>
  <c r="FW103" i="17"/>
  <c r="JX103" i="17"/>
  <c r="JT103" i="17"/>
  <c r="EW103" i="17"/>
  <c r="EN113" i="17"/>
  <c r="EQ113" i="17" s="1"/>
  <c r="EM113" i="17"/>
  <c r="EP113" i="17" s="1"/>
  <c r="EN111" i="17"/>
  <c r="EQ111" i="17" s="1"/>
  <c r="EM111" i="17"/>
  <c r="EP111" i="17" s="1"/>
  <c r="EN109" i="17"/>
  <c r="EQ109" i="17" s="1"/>
  <c r="EM109" i="17"/>
  <c r="EP109" i="17" s="1"/>
  <c r="EN107" i="17"/>
  <c r="EQ107" i="17" s="1"/>
  <c r="EM107" i="17"/>
  <c r="EP107" i="17" s="1"/>
  <c r="EN105" i="17"/>
  <c r="EQ105" i="17" s="1"/>
  <c r="EM105" i="17"/>
  <c r="EP105" i="17" s="1"/>
  <c r="JX101" i="17"/>
  <c r="JT101" i="17"/>
  <c r="EW101" i="17"/>
  <c r="JX99" i="17"/>
  <c r="JT99" i="17"/>
  <c r="EW99" i="17"/>
  <c r="JX97" i="17"/>
  <c r="JT97" i="17"/>
  <c r="EW97" i="17"/>
  <c r="JX95" i="17"/>
  <c r="JT95" i="17"/>
  <c r="EW95" i="17"/>
  <c r="JX93" i="17"/>
  <c r="JT93" i="17"/>
  <c r="EW93" i="17"/>
  <c r="JX91" i="17"/>
  <c r="JT91" i="17"/>
  <c r="EW91" i="17"/>
  <c r="JX89" i="17"/>
  <c r="JT89" i="17"/>
  <c r="EW89" i="17"/>
  <c r="JX87" i="17"/>
  <c r="JT87" i="17"/>
  <c r="EW87" i="17"/>
  <c r="JX85" i="17"/>
  <c r="JT85" i="17"/>
  <c r="EW85" i="17"/>
  <c r="JX83" i="17"/>
  <c r="JT83" i="17"/>
  <c r="EW83" i="17"/>
  <c r="EM103" i="17"/>
  <c r="EP103" i="17" s="1"/>
  <c r="EN103" i="17"/>
  <c r="EQ103" i="17" s="1"/>
  <c r="HN102" i="17"/>
  <c r="HL102" i="17"/>
  <c r="FX102" i="17"/>
  <c r="HN100" i="17"/>
  <c r="HL100" i="17"/>
  <c r="FX100" i="17"/>
  <c r="HN98" i="17"/>
  <c r="HL98" i="17"/>
  <c r="FX98" i="17"/>
  <c r="HN96" i="17"/>
  <c r="HL96" i="17"/>
  <c r="FX96" i="17"/>
  <c r="HN94" i="17"/>
  <c r="HL94" i="17"/>
  <c r="FX94" i="17"/>
  <c r="HN92" i="17"/>
  <c r="HL92" i="17"/>
  <c r="FX92" i="17"/>
  <c r="HN90" i="17"/>
  <c r="HL90" i="17"/>
  <c r="FX90" i="17"/>
  <c r="HN88" i="17"/>
  <c r="HL88" i="17"/>
  <c r="FX88" i="17"/>
  <c r="HN86" i="17"/>
  <c r="HL86" i="17"/>
  <c r="FX86" i="17"/>
  <c r="HN84" i="17"/>
  <c r="HL84" i="17"/>
  <c r="FX84" i="17"/>
  <c r="KD81" i="17"/>
  <c r="HL81" i="17"/>
  <c r="HN81" i="17"/>
  <c r="FX81" i="17"/>
  <c r="EN102" i="17"/>
  <c r="EQ102" i="17" s="1"/>
  <c r="EM102" i="17"/>
  <c r="EP102" i="17" s="1"/>
  <c r="EN100" i="17"/>
  <c r="EQ100" i="17" s="1"/>
  <c r="EM100" i="17"/>
  <c r="EP100" i="17" s="1"/>
  <c r="EN98" i="17"/>
  <c r="EQ98" i="17" s="1"/>
  <c r="EM98" i="17"/>
  <c r="EP98" i="17" s="1"/>
  <c r="EN96" i="17"/>
  <c r="EQ96" i="17" s="1"/>
  <c r="EM96" i="17"/>
  <c r="EP96" i="17" s="1"/>
  <c r="EN94" i="17"/>
  <c r="EQ94" i="17" s="1"/>
  <c r="EM94" i="17"/>
  <c r="EP94" i="17" s="1"/>
  <c r="EN92" i="17"/>
  <c r="EQ92" i="17" s="1"/>
  <c r="EM92" i="17"/>
  <c r="EP92" i="17" s="1"/>
  <c r="EN90" i="17"/>
  <c r="EQ90" i="17" s="1"/>
  <c r="EM90" i="17"/>
  <c r="EP90" i="17" s="1"/>
  <c r="EN88" i="17"/>
  <c r="EQ88" i="17" s="1"/>
  <c r="EM88" i="17"/>
  <c r="EP88" i="17" s="1"/>
  <c r="EN86" i="17"/>
  <c r="EQ86" i="17" s="1"/>
  <c r="EM86" i="17"/>
  <c r="EP86" i="17" s="1"/>
  <c r="EN84" i="17"/>
  <c r="EQ84" i="17" s="1"/>
  <c r="EM84" i="17"/>
  <c r="EP84" i="17" s="1"/>
  <c r="FM82" i="17"/>
  <c r="FR82" i="17"/>
  <c r="FX82" i="17" s="1"/>
  <c r="JX77" i="17"/>
  <c r="JT77" i="17"/>
  <c r="EW77" i="17"/>
  <c r="JX73" i="17"/>
  <c r="JT73" i="17"/>
  <c r="EW73" i="17"/>
  <c r="JX69" i="17"/>
  <c r="JT69" i="17"/>
  <c r="EW69" i="17"/>
  <c r="JX65" i="17"/>
  <c r="JT65" i="17"/>
  <c r="EW65" i="17"/>
  <c r="JX61" i="17"/>
  <c r="JT61" i="17"/>
  <c r="EW61" i="17"/>
  <c r="JW64" i="17"/>
  <c r="JW60" i="17"/>
  <c r="JX59" i="17"/>
  <c r="JT59" i="17"/>
  <c r="EW59" i="17"/>
  <c r="FR57" i="17"/>
  <c r="FM57" i="17"/>
  <c r="FV81" i="17"/>
  <c r="GX81" i="17" s="1"/>
  <c r="GZ81" i="17" s="1"/>
  <c r="FR80" i="17"/>
  <c r="FX80" i="17" s="1"/>
  <c r="FM80" i="17"/>
  <c r="EN80" i="17"/>
  <c r="EQ80" i="17" s="1"/>
  <c r="EM80" i="17"/>
  <c r="EP80" i="17" s="1"/>
  <c r="FM78" i="17"/>
  <c r="FR78" i="17"/>
  <c r="FV77" i="17"/>
  <c r="GX77" i="17" s="1"/>
  <c r="GZ77" i="17" s="1"/>
  <c r="HN76" i="17"/>
  <c r="HL76" i="17"/>
  <c r="FX76" i="17"/>
  <c r="EN76" i="17"/>
  <c r="EQ76" i="17" s="1"/>
  <c r="FV76" i="17" s="1"/>
  <c r="GX76" i="17" s="1"/>
  <c r="GZ76" i="17" s="1"/>
  <c r="EM76" i="17"/>
  <c r="EP76" i="17" s="1"/>
  <c r="FM74" i="17"/>
  <c r="FR74" i="17"/>
  <c r="FV73" i="17"/>
  <c r="GX73" i="17" s="1"/>
  <c r="GZ73" i="17" s="1"/>
  <c r="HN72" i="17"/>
  <c r="HL72" i="17"/>
  <c r="FX72" i="17"/>
  <c r="EN72" i="17"/>
  <c r="EQ72" i="17" s="1"/>
  <c r="FV72" i="17" s="1"/>
  <c r="GX72" i="17" s="1"/>
  <c r="GZ72" i="17" s="1"/>
  <c r="EM72" i="17"/>
  <c r="EP72" i="17" s="1"/>
  <c r="FM70" i="17"/>
  <c r="FR70" i="17"/>
  <c r="FV69" i="17"/>
  <c r="GX69" i="17" s="1"/>
  <c r="GZ69" i="17" s="1"/>
  <c r="HN68" i="17"/>
  <c r="HL68" i="17"/>
  <c r="FX68" i="17"/>
  <c r="EN68" i="17"/>
  <c r="EQ68" i="17" s="1"/>
  <c r="FV68" i="17" s="1"/>
  <c r="GX68" i="17" s="1"/>
  <c r="GZ68" i="17" s="1"/>
  <c r="EM68" i="17"/>
  <c r="EP68" i="17" s="1"/>
  <c r="FM66" i="17"/>
  <c r="FR66" i="17"/>
  <c r="FV65" i="17"/>
  <c r="GX65" i="17" s="1"/>
  <c r="GZ65" i="17" s="1"/>
  <c r="HN64" i="17"/>
  <c r="HL64" i="17"/>
  <c r="FX64" i="17"/>
  <c r="EN64" i="17"/>
  <c r="EQ64" i="17" s="1"/>
  <c r="FV64" i="17" s="1"/>
  <c r="GX64" i="17" s="1"/>
  <c r="GZ64" i="17" s="1"/>
  <c r="EM64" i="17"/>
  <c r="EP64" i="17" s="1"/>
  <c r="FM62" i="17"/>
  <c r="FR62" i="17"/>
  <c r="FV61" i="17"/>
  <c r="GX61" i="17" s="1"/>
  <c r="GZ61" i="17" s="1"/>
  <c r="HN60" i="17"/>
  <c r="HL60" i="17"/>
  <c r="FX60" i="17"/>
  <c r="EN60" i="17"/>
  <c r="EQ60" i="17" s="1"/>
  <c r="FV60" i="17" s="1"/>
  <c r="GX60" i="17" s="1"/>
  <c r="GZ60" i="17" s="1"/>
  <c r="EM60" i="17"/>
  <c r="EP60" i="17" s="1"/>
  <c r="KC58" i="17"/>
  <c r="HM58" i="17"/>
  <c r="FW58" i="17"/>
  <c r="HK58" i="17"/>
  <c r="JX53" i="17"/>
  <c r="JT53" i="17"/>
  <c r="EW53" i="17"/>
  <c r="FV53" i="17" s="1"/>
  <c r="GX53" i="17" s="1"/>
  <c r="GZ53" i="17" s="1"/>
  <c r="JX49" i="17"/>
  <c r="JT49" i="17"/>
  <c r="EW49" i="17"/>
  <c r="JX45" i="17"/>
  <c r="JT45" i="17"/>
  <c r="EW45" i="17"/>
  <c r="FV45" i="17" s="1"/>
  <c r="GX45" i="17" s="1"/>
  <c r="GZ45" i="17" s="1"/>
  <c r="JX41" i="17"/>
  <c r="JT41" i="17"/>
  <c r="EW41" i="17"/>
  <c r="JX37" i="17"/>
  <c r="JT37" i="17"/>
  <c r="EW37" i="17"/>
  <c r="FV37" i="17" s="1"/>
  <c r="GX37" i="17" s="1"/>
  <c r="GZ37" i="17" s="1"/>
  <c r="JX33" i="17"/>
  <c r="JT33" i="17"/>
  <c r="EW33" i="17"/>
  <c r="JX29" i="17"/>
  <c r="JT29" i="17"/>
  <c r="EW29" i="17"/>
  <c r="FV29" i="17" s="1"/>
  <c r="GX29" i="17" s="1"/>
  <c r="GZ29" i="17" s="1"/>
  <c r="JX25" i="17"/>
  <c r="JT25" i="17"/>
  <c r="EW25" i="17"/>
  <c r="JX21" i="17"/>
  <c r="JT21" i="17"/>
  <c r="EW21" i="17"/>
  <c r="FV21" i="17" s="1"/>
  <c r="GX21" i="17" s="1"/>
  <c r="GZ21" i="17" s="1"/>
  <c r="JX17" i="17"/>
  <c r="JT17" i="17"/>
  <c r="EW17" i="17"/>
  <c r="EM59" i="17"/>
  <c r="EP59" i="17" s="1"/>
  <c r="EN59" i="17"/>
  <c r="EQ59" i="17" s="1"/>
  <c r="EM57" i="17"/>
  <c r="EP57" i="17" s="1"/>
  <c r="EN57" i="17"/>
  <c r="EQ57" i="17" s="1"/>
  <c r="JX15" i="17"/>
  <c r="JT15" i="17"/>
  <c r="EW15" i="17"/>
  <c r="FV57" i="17"/>
  <c r="GX57" i="17" s="1"/>
  <c r="GZ57" i="17" s="1"/>
  <c r="HN56" i="17"/>
  <c r="HL56" i="17"/>
  <c r="FX56" i="17"/>
  <c r="EN56" i="17"/>
  <c r="EQ56" i="17" s="1"/>
  <c r="FV56" i="17" s="1"/>
  <c r="GX56" i="17" s="1"/>
  <c r="GZ56" i="17" s="1"/>
  <c r="EM56" i="17"/>
  <c r="EP56" i="17" s="1"/>
  <c r="FM54" i="17"/>
  <c r="FR54" i="17"/>
  <c r="HN52" i="17"/>
  <c r="HL52" i="17"/>
  <c r="FX52" i="17"/>
  <c r="EN52" i="17"/>
  <c r="EQ52" i="17" s="1"/>
  <c r="FV52" i="17" s="1"/>
  <c r="GX52" i="17" s="1"/>
  <c r="GZ52" i="17" s="1"/>
  <c r="EM52" i="17"/>
  <c r="EP52" i="17" s="1"/>
  <c r="FM50" i="17"/>
  <c r="FR50" i="17"/>
  <c r="FV49" i="17"/>
  <c r="GX49" i="17" s="1"/>
  <c r="GZ49" i="17" s="1"/>
  <c r="HN48" i="17"/>
  <c r="HL48" i="17"/>
  <c r="FX48" i="17"/>
  <c r="EN48" i="17"/>
  <c r="EQ48" i="17" s="1"/>
  <c r="FV48" i="17" s="1"/>
  <c r="GX48" i="17" s="1"/>
  <c r="GZ48" i="17" s="1"/>
  <c r="EM48" i="17"/>
  <c r="EP48" i="17" s="1"/>
  <c r="FM46" i="17"/>
  <c r="FR46" i="17"/>
  <c r="FX46" i="17" s="1"/>
  <c r="HN44" i="17"/>
  <c r="HL44" i="17"/>
  <c r="FX44" i="17"/>
  <c r="EN44" i="17"/>
  <c r="EQ44" i="17" s="1"/>
  <c r="FV44" i="17" s="1"/>
  <c r="GX44" i="17" s="1"/>
  <c r="GZ44" i="17" s="1"/>
  <c r="EM44" i="17"/>
  <c r="EP44" i="17" s="1"/>
  <c r="FM42" i="17"/>
  <c r="FR42" i="17"/>
  <c r="FX42" i="17" s="1"/>
  <c r="FV41" i="17"/>
  <c r="GX41" i="17" s="1"/>
  <c r="GZ41" i="17" s="1"/>
  <c r="HN40" i="17"/>
  <c r="HL40" i="17"/>
  <c r="FX40" i="17"/>
  <c r="EN40" i="17"/>
  <c r="EQ40" i="17" s="1"/>
  <c r="FV40" i="17" s="1"/>
  <c r="GX40" i="17" s="1"/>
  <c r="GZ40" i="17" s="1"/>
  <c r="EM40" i="17"/>
  <c r="EP40" i="17" s="1"/>
  <c r="FM38" i="17"/>
  <c r="FR38" i="17"/>
  <c r="HN36" i="17"/>
  <c r="HL36" i="17"/>
  <c r="FX36" i="17"/>
  <c r="EN36" i="17"/>
  <c r="EQ36" i="17" s="1"/>
  <c r="FV36" i="17" s="1"/>
  <c r="GX36" i="17" s="1"/>
  <c r="GZ36" i="17" s="1"/>
  <c r="EM36" i="17"/>
  <c r="EP36" i="17" s="1"/>
  <c r="FM34" i="17"/>
  <c r="FR34" i="17"/>
  <c r="FV33" i="17"/>
  <c r="GX33" i="17" s="1"/>
  <c r="GZ33" i="17" s="1"/>
  <c r="HN32" i="17"/>
  <c r="HL32" i="17"/>
  <c r="FX32" i="17"/>
  <c r="EN32" i="17"/>
  <c r="EQ32" i="17" s="1"/>
  <c r="FV32" i="17" s="1"/>
  <c r="GX32" i="17" s="1"/>
  <c r="GZ32" i="17" s="1"/>
  <c r="EM32" i="17"/>
  <c r="EP32" i="17" s="1"/>
  <c r="FM30" i="17"/>
  <c r="FR30" i="17"/>
  <c r="FX30" i="17" s="1"/>
  <c r="HN28" i="17"/>
  <c r="HL28" i="17"/>
  <c r="FX28" i="17"/>
  <c r="EN28" i="17"/>
  <c r="EQ28" i="17" s="1"/>
  <c r="FV28" i="17" s="1"/>
  <c r="GX28" i="17" s="1"/>
  <c r="GZ28" i="17" s="1"/>
  <c r="EM28" i="17"/>
  <c r="EP28" i="17" s="1"/>
  <c r="FM26" i="17"/>
  <c r="FR26" i="17"/>
  <c r="FX26" i="17" s="1"/>
  <c r="FV25" i="17"/>
  <c r="GX25" i="17" s="1"/>
  <c r="GZ25" i="17" s="1"/>
  <c r="HN24" i="17"/>
  <c r="HL24" i="17"/>
  <c r="FX24" i="17"/>
  <c r="EN24" i="17"/>
  <c r="EQ24" i="17" s="1"/>
  <c r="FV24" i="17" s="1"/>
  <c r="GX24" i="17" s="1"/>
  <c r="GZ24" i="17" s="1"/>
  <c r="EM24" i="17"/>
  <c r="EP24" i="17" s="1"/>
  <c r="FM22" i="17"/>
  <c r="FR22" i="17"/>
  <c r="HN20" i="17"/>
  <c r="HL20" i="17"/>
  <c r="FX20" i="17"/>
  <c r="EN20" i="17"/>
  <c r="EQ20" i="17" s="1"/>
  <c r="FV20" i="17" s="1"/>
  <c r="GX20" i="17" s="1"/>
  <c r="GZ20" i="17" s="1"/>
  <c r="EM20" i="17"/>
  <c r="EP20" i="17" s="1"/>
  <c r="FM18" i="17"/>
  <c r="FR18" i="17"/>
  <c r="FV17" i="17"/>
  <c r="GX17" i="17" s="1"/>
  <c r="GZ17" i="17" s="1"/>
  <c r="HN16" i="17"/>
  <c r="HL16" i="17"/>
  <c r="FX16" i="17"/>
  <c r="EN16" i="17"/>
  <c r="EQ16" i="17" s="1"/>
  <c r="FV16" i="17" s="1"/>
  <c r="GX16" i="17" s="1"/>
  <c r="GZ16" i="17" s="1"/>
  <c r="EM16" i="17"/>
  <c r="EP16" i="17" s="1"/>
  <c r="HM14" i="17"/>
  <c r="HM123" i="17" s="1"/>
  <c r="FW14" i="17"/>
  <c r="HK14" i="17"/>
  <c r="HK123" i="17" s="1"/>
  <c r="FM13" i="17"/>
  <c r="FR13" i="17"/>
  <c r="JX8" i="17"/>
  <c r="JT8" i="17"/>
  <c r="EW8" i="17"/>
  <c r="KF14" i="17"/>
  <c r="FV12" i="17"/>
  <c r="GX12" i="17" s="1"/>
  <c r="GZ12" i="17" s="1"/>
  <c r="FV11" i="17"/>
  <c r="GX11" i="17" s="1"/>
  <c r="GZ11" i="17" s="1"/>
  <c r="FV10" i="17"/>
  <c r="GX10" i="17" s="1"/>
  <c r="GZ10" i="17" s="1"/>
  <c r="HN9" i="17"/>
  <c r="HL9" i="17"/>
  <c r="FX9" i="17"/>
  <c r="JX9" i="17"/>
  <c r="EN9" i="17"/>
  <c r="EQ9" i="17" s="1"/>
  <c r="EM9" i="17"/>
  <c r="EP9" i="17" s="1"/>
  <c r="JX6" i="17"/>
  <c r="EM6" i="17"/>
  <c r="EP6" i="17" s="1"/>
  <c r="EN6" i="17"/>
  <c r="EQ6" i="17" s="1"/>
  <c r="FM5" i="17"/>
  <c r="FR5" i="17"/>
  <c r="JR123" i="17"/>
  <c r="HN14" i="17"/>
  <c r="HL14" i="17"/>
  <c r="FR14" i="17"/>
  <c r="FM14" i="17"/>
  <c r="EM14" i="17"/>
  <c r="EP14" i="17" s="1"/>
  <c r="FU14" i="17" s="1"/>
  <c r="GW14" i="17" s="1"/>
  <c r="GY14" i="17" s="1"/>
  <c r="EN14" i="17"/>
  <c r="EQ14" i="17" s="1"/>
  <c r="HN12" i="17"/>
  <c r="HL12" i="17"/>
  <c r="FX12" i="17"/>
  <c r="KD12" i="17"/>
  <c r="HB12" i="17" s="1"/>
  <c r="HD12" i="17" s="1"/>
  <c r="KD11" i="17"/>
  <c r="HN11" i="17"/>
  <c r="HL11" i="17"/>
  <c r="FX11" i="17"/>
  <c r="KD7" i="17"/>
  <c r="HN7" i="17"/>
  <c r="HL7" i="17"/>
  <c r="FX7" i="17"/>
  <c r="HO123" i="17"/>
  <c r="FW123" i="17"/>
  <c r="EL123" i="17"/>
  <c r="EN123" i="17" s="1"/>
  <c r="EN5" i="17"/>
  <c r="EQ5" i="17" s="1"/>
  <c r="EM5" i="17"/>
  <c r="EP5" i="17" s="1"/>
  <c r="FX14" i="17" l="1"/>
  <c r="FX13" i="17"/>
  <c r="FX18" i="17"/>
  <c r="FX22" i="17"/>
  <c r="FX34" i="17"/>
  <c r="FX38" i="17"/>
  <c r="FX50" i="17"/>
  <c r="FX54" i="17"/>
  <c r="FX62" i="17"/>
  <c r="FX66" i="17"/>
  <c r="FX70" i="17"/>
  <c r="FX74" i="17"/>
  <c r="FX78" i="17"/>
  <c r="FX117" i="17"/>
  <c r="FX119" i="17"/>
  <c r="FX118" i="17"/>
  <c r="FX122" i="17"/>
  <c r="FU119" i="17"/>
  <c r="GW119" i="17" s="1"/>
  <c r="GY119" i="17" s="1"/>
  <c r="KC121" i="17"/>
  <c r="HA121" i="17" s="1"/>
  <c r="HC121" i="17" s="1"/>
  <c r="KI115" i="17"/>
  <c r="FX115" i="17"/>
  <c r="HB13" i="17"/>
  <c r="HD13" i="17" s="1"/>
  <c r="FU5" i="17"/>
  <c r="KC5" i="17"/>
  <c r="HA5" i="17" s="1"/>
  <c r="KE5" i="17"/>
  <c r="GP5" i="17"/>
  <c r="HP5" i="17"/>
  <c r="HI9" i="17"/>
  <c r="HJ9" i="17"/>
  <c r="FV9" i="17"/>
  <c r="GX9" i="17" s="1"/>
  <c r="GZ9" i="17" s="1"/>
  <c r="FR8" i="17"/>
  <c r="FM8" i="17"/>
  <c r="KC16" i="17"/>
  <c r="HA16" i="17" s="1"/>
  <c r="HC16" i="17" s="1"/>
  <c r="FU16" i="17"/>
  <c r="GW16" i="17" s="1"/>
  <c r="GY16" i="17" s="1"/>
  <c r="KC20" i="17"/>
  <c r="HA20" i="17" s="1"/>
  <c r="HC20" i="17" s="1"/>
  <c r="FU20" i="17"/>
  <c r="GW20" i="17" s="1"/>
  <c r="GY20" i="17" s="1"/>
  <c r="KC24" i="17"/>
  <c r="HA24" i="17" s="1"/>
  <c r="HC24" i="17" s="1"/>
  <c r="FU24" i="17"/>
  <c r="GW24" i="17" s="1"/>
  <c r="GY24" i="17" s="1"/>
  <c r="KC36" i="17"/>
  <c r="HA36" i="17" s="1"/>
  <c r="HC36" i="17" s="1"/>
  <c r="FU36" i="17"/>
  <c r="GW36" i="17" s="1"/>
  <c r="GY36" i="17" s="1"/>
  <c r="KI36" i="17" s="1"/>
  <c r="KC40" i="17"/>
  <c r="HA40" i="17" s="1"/>
  <c r="HC40" i="17" s="1"/>
  <c r="FU40" i="17"/>
  <c r="GW40" i="17" s="1"/>
  <c r="GY40" i="17" s="1"/>
  <c r="KI40" i="17" s="1"/>
  <c r="KC44" i="17"/>
  <c r="HA44" i="17" s="1"/>
  <c r="HC44" i="17" s="1"/>
  <c r="FU44" i="17"/>
  <c r="GW44" i="17" s="1"/>
  <c r="GY44" i="17" s="1"/>
  <c r="KI44" i="17" s="1"/>
  <c r="EQ123" i="17"/>
  <c r="HI5" i="17"/>
  <c r="HJ5" i="17"/>
  <c r="HB7" i="17"/>
  <c r="HD7" i="17" s="1"/>
  <c r="HB11" i="17"/>
  <c r="HD11" i="17" s="1"/>
  <c r="JT123" i="17"/>
  <c r="FU6" i="17"/>
  <c r="GW6" i="17" s="1"/>
  <c r="GY6" i="17" s="1"/>
  <c r="KC6" i="17"/>
  <c r="HA6" i="17" s="1"/>
  <c r="HC6" i="17" s="1"/>
  <c r="KC9" i="17"/>
  <c r="HA9" i="17" s="1"/>
  <c r="HC9" i="17" s="1"/>
  <c r="FU9" i="17"/>
  <c r="GW9" i="17" s="1"/>
  <c r="GY9" i="17" s="1"/>
  <c r="KD9" i="17"/>
  <c r="HB9" i="17" s="1"/>
  <c r="HD9" i="17" s="1"/>
  <c r="KJ12" i="17"/>
  <c r="HN8" i="17"/>
  <c r="HL8" i="17"/>
  <c r="FX8" i="17"/>
  <c r="KD8" i="17"/>
  <c r="HB8" i="17" s="1"/>
  <c r="HD8" i="17" s="1"/>
  <c r="GP13" i="17"/>
  <c r="GQ13" i="17" s="1"/>
  <c r="GR13" i="17" s="1"/>
  <c r="KH13" i="17" s="1"/>
  <c r="KE13" i="17"/>
  <c r="HP13" i="17"/>
  <c r="KC14" i="17"/>
  <c r="HA14" i="17" s="1"/>
  <c r="HC14" i="17" s="1"/>
  <c r="KI14" i="17" s="1"/>
  <c r="HI16" i="17"/>
  <c r="HJ16" i="17"/>
  <c r="KD16" i="17"/>
  <c r="HB16" i="17" s="1"/>
  <c r="HD16" i="17" s="1"/>
  <c r="KE18" i="17"/>
  <c r="HP18" i="17"/>
  <c r="GP18" i="17"/>
  <c r="GQ18" i="17" s="1"/>
  <c r="GR18" i="17" s="1"/>
  <c r="KH18" i="17" s="1"/>
  <c r="HI20" i="17"/>
  <c r="HJ20" i="17"/>
  <c r="KD20" i="17"/>
  <c r="HB20" i="17" s="1"/>
  <c r="HD20" i="17" s="1"/>
  <c r="KE22" i="17"/>
  <c r="HP22" i="17"/>
  <c r="GP22" i="17"/>
  <c r="GQ22" i="17" s="1"/>
  <c r="GR22" i="17" s="1"/>
  <c r="KH22" i="17" s="1"/>
  <c r="HI24" i="17"/>
  <c r="HJ24" i="17"/>
  <c r="KD24" i="17"/>
  <c r="HB24" i="17" s="1"/>
  <c r="HD24" i="17" s="1"/>
  <c r="KJ24" i="17" s="1"/>
  <c r="KE26" i="17"/>
  <c r="HP26" i="17"/>
  <c r="GP26" i="17"/>
  <c r="GQ26" i="17" s="1"/>
  <c r="GR26" i="17" s="1"/>
  <c r="KH26" i="17" s="1"/>
  <c r="HI28" i="17"/>
  <c r="HJ28" i="17"/>
  <c r="KD28" i="17"/>
  <c r="HB28" i="17" s="1"/>
  <c r="HD28" i="17" s="1"/>
  <c r="KJ28" i="17" s="1"/>
  <c r="KE30" i="17"/>
  <c r="HP30" i="17"/>
  <c r="GP30" i="17"/>
  <c r="GQ30" i="17" s="1"/>
  <c r="GR30" i="17" s="1"/>
  <c r="KH30" i="17" s="1"/>
  <c r="HI32" i="17"/>
  <c r="HJ32" i="17"/>
  <c r="KD32" i="17"/>
  <c r="HB32" i="17" s="1"/>
  <c r="HD32" i="17" s="1"/>
  <c r="KJ32" i="17" s="1"/>
  <c r="KE34" i="17"/>
  <c r="HP34" i="17"/>
  <c r="GP34" i="17"/>
  <c r="GQ34" i="17" s="1"/>
  <c r="GR34" i="17" s="1"/>
  <c r="KH34" i="17" s="1"/>
  <c r="HI36" i="17"/>
  <c r="HJ36" i="17"/>
  <c r="KD36" i="17"/>
  <c r="HB36" i="17" s="1"/>
  <c r="HD36" i="17" s="1"/>
  <c r="KE38" i="17"/>
  <c r="HP38" i="17"/>
  <c r="GP38" i="17"/>
  <c r="GQ38" i="17" s="1"/>
  <c r="GR38" i="17" s="1"/>
  <c r="KH38" i="17" s="1"/>
  <c r="HI40" i="17"/>
  <c r="HJ40" i="17"/>
  <c r="KD40" i="17"/>
  <c r="HB40" i="17" s="1"/>
  <c r="HD40" i="17" s="1"/>
  <c r="KE42" i="17"/>
  <c r="HP42" i="17"/>
  <c r="GP42" i="17"/>
  <c r="GQ42" i="17" s="1"/>
  <c r="GR42" i="17" s="1"/>
  <c r="KH42" i="17" s="1"/>
  <c r="HI44" i="17"/>
  <c r="HJ44" i="17"/>
  <c r="KD44" i="17"/>
  <c r="HB44" i="17" s="1"/>
  <c r="HD44" i="17" s="1"/>
  <c r="KE46" i="17"/>
  <c r="HP46" i="17"/>
  <c r="GP46" i="17"/>
  <c r="GQ46" i="17" s="1"/>
  <c r="GR46" i="17" s="1"/>
  <c r="KH46" i="17" s="1"/>
  <c r="HI48" i="17"/>
  <c r="HJ48" i="17"/>
  <c r="KD48" i="17"/>
  <c r="HB48" i="17" s="1"/>
  <c r="HD48" i="17" s="1"/>
  <c r="KJ48" i="17" s="1"/>
  <c r="KE50" i="17"/>
  <c r="HP50" i="17"/>
  <c r="GP50" i="17"/>
  <c r="GQ50" i="17" s="1"/>
  <c r="GR50" i="17" s="1"/>
  <c r="KH50" i="17" s="1"/>
  <c r="HI52" i="17"/>
  <c r="HJ52" i="17"/>
  <c r="KD52" i="17"/>
  <c r="HB52" i="17" s="1"/>
  <c r="HD52" i="17" s="1"/>
  <c r="KE54" i="17"/>
  <c r="HP54" i="17"/>
  <c r="GP54" i="17"/>
  <c r="GQ54" i="17" s="1"/>
  <c r="GR54" i="17" s="1"/>
  <c r="KH54" i="17" s="1"/>
  <c r="HI56" i="17"/>
  <c r="HJ56" i="17"/>
  <c r="KD56" i="17"/>
  <c r="HB56" i="17" s="1"/>
  <c r="HD56" i="17" s="1"/>
  <c r="FR15" i="17"/>
  <c r="FM15" i="17"/>
  <c r="HI57" i="17"/>
  <c r="HJ57" i="17"/>
  <c r="KD57" i="17"/>
  <c r="HJ59" i="17"/>
  <c r="HI59" i="17"/>
  <c r="HN17" i="17"/>
  <c r="HL17" i="17"/>
  <c r="KD17" i="17"/>
  <c r="FR21" i="17"/>
  <c r="FM21" i="17"/>
  <c r="HN25" i="17"/>
  <c r="HL25" i="17"/>
  <c r="KD25" i="17"/>
  <c r="FR29" i="17"/>
  <c r="FM29" i="17"/>
  <c r="HN33" i="17"/>
  <c r="HL33" i="17"/>
  <c r="KD33" i="17"/>
  <c r="FR37" i="17"/>
  <c r="FM37" i="17"/>
  <c r="HN41" i="17"/>
  <c r="HL41" i="17"/>
  <c r="KD41" i="17"/>
  <c r="FR45" i="17"/>
  <c r="FM45" i="17"/>
  <c r="HN49" i="17"/>
  <c r="HL49" i="17"/>
  <c r="KD49" i="17"/>
  <c r="FR53" i="17"/>
  <c r="FM53" i="17"/>
  <c r="KC60" i="17"/>
  <c r="HA60" i="17" s="1"/>
  <c r="HC60" i="17" s="1"/>
  <c r="FU60" i="17"/>
  <c r="GW60" i="17" s="1"/>
  <c r="GY60" i="17" s="1"/>
  <c r="KC64" i="17"/>
  <c r="HA64" i="17" s="1"/>
  <c r="HC64" i="17" s="1"/>
  <c r="FU64" i="17"/>
  <c r="GW64" i="17" s="1"/>
  <c r="GY64" i="17" s="1"/>
  <c r="KC68" i="17"/>
  <c r="HA68" i="17" s="1"/>
  <c r="HC68" i="17" s="1"/>
  <c r="FU68" i="17"/>
  <c r="GW68" i="17" s="1"/>
  <c r="GY68" i="17" s="1"/>
  <c r="KC72" i="17"/>
  <c r="HA72" i="17" s="1"/>
  <c r="HC72" i="17" s="1"/>
  <c r="FU72" i="17"/>
  <c r="GW72" i="17" s="1"/>
  <c r="GY72" i="17" s="1"/>
  <c r="KC76" i="17"/>
  <c r="HA76" i="17" s="1"/>
  <c r="HC76" i="17" s="1"/>
  <c r="FU76" i="17"/>
  <c r="GW76" i="17" s="1"/>
  <c r="GY76" i="17" s="1"/>
  <c r="FU80" i="17"/>
  <c r="GW80" i="17" s="1"/>
  <c r="GY80" i="17" s="1"/>
  <c r="KC80" i="17"/>
  <c r="HA80" i="17" s="1"/>
  <c r="HC80" i="17" s="1"/>
  <c r="KE80" i="17"/>
  <c r="HP80" i="17"/>
  <c r="GP80" i="17"/>
  <c r="GQ80" i="17" s="1"/>
  <c r="GR80" i="17" s="1"/>
  <c r="KH80" i="17" s="1"/>
  <c r="FX57" i="17"/>
  <c r="FR59" i="17"/>
  <c r="FM59" i="17"/>
  <c r="HN61" i="17"/>
  <c r="HL61" i="17"/>
  <c r="KD61" i="17"/>
  <c r="FR65" i="17"/>
  <c r="FM65" i="17"/>
  <c r="HN69" i="17"/>
  <c r="HL69" i="17"/>
  <c r="KD69" i="17"/>
  <c r="FR73" i="17"/>
  <c r="FM73" i="17"/>
  <c r="HN77" i="17"/>
  <c r="HL77" i="17"/>
  <c r="KD77" i="17"/>
  <c r="KE82" i="17"/>
  <c r="HP82" i="17"/>
  <c r="GP82" i="17"/>
  <c r="GQ82" i="17" s="1"/>
  <c r="GR82" i="17" s="1"/>
  <c r="KH82" i="17" s="1"/>
  <c r="HI84" i="17"/>
  <c r="HJ84" i="17"/>
  <c r="HI86" i="17"/>
  <c r="HJ86" i="17"/>
  <c r="HI88" i="17"/>
  <c r="HJ88" i="17"/>
  <c r="HI90" i="17"/>
  <c r="HJ90" i="17"/>
  <c r="HI92" i="17"/>
  <c r="HJ92" i="17"/>
  <c r="HI94" i="17"/>
  <c r="HJ94" i="17"/>
  <c r="HI96" i="17"/>
  <c r="HJ96" i="17"/>
  <c r="HI98" i="17"/>
  <c r="HJ98" i="17"/>
  <c r="HI100" i="17"/>
  <c r="HJ100" i="17"/>
  <c r="HI102" i="17"/>
  <c r="HJ102" i="17"/>
  <c r="HB81" i="17"/>
  <c r="HD81" i="17" s="1"/>
  <c r="KJ81" i="17" s="1"/>
  <c r="KD84" i="17"/>
  <c r="HB84" i="17" s="1"/>
  <c r="HD84" i="17" s="1"/>
  <c r="KD86" i="17"/>
  <c r="HB86" i="17" s="1"/>
  <c r="HD86" i="17" s="1"/>
  <c r="KD88" i="17"/>
  <c r="HB88" i="17" s="1"/>
  <c r="HD88" i="17" s="1"/>
  <c r="KD90" i="17"/>
  <c r="HB90" i="17" s="1"/>
  <c r="HD90" i="17" s="1"/>
  <c r="KD92" i="17"/>
  <c r="HB92" i="17" s="1"/>
  <c r="HD92" i="17" s="1"/>
  <c r="KD94" i="17"/>
  <c r="HB94" i="17" s="1"/>
  <c r="HD94" i="17" s="1"/>
  <c r="KD96" i="17"/>
  <c r="HB96" i="17" s="1"/>
  <c r="HD96" i="17" s="1"/>
  <c r="KD98" i="17"/>
  <c r="HB98" i="17" s="1"/>
  <c r="HD98" i="17" s="1"/>
  <c r="KD100" i="17"/>
  <c r="HB100" i="17" s="1"/>
  <c r="HD100" i="17" s="1"/>
  <c r="KD102" i="17"/>
  <c r="HB102" i="17" s="1"/>
  <c r="HD102" i="17" s="1"/>
  <c r="FU103" i="17"/>
  <c r="GW103" i="17" s="1"/>
  <c r="GY103" i="17" s="1"/>
  <c r="KI103" i="17" s="1"/>
  <c r="KC103" i="17"/>
  <c r="HA103" i="17" s="1"/>
  <c r="HC103" i="17" s="1"/>
  <c r="FR83" i="17"/>
  <c r="FM83" i="17"/>
  <c r="HN85" i="17"/>
  <c r="HL85" i="17"/>
  <c r="KD85" i="17"/>
  <c r="FR87" i="17"/>
  <c r="FM87" i="17"/>
  <c r="HN89" i="17"/>
  <c r="HL89" i="17"/>
  <c r="KD89" i="17"/>
  <c r="FR91" i="17"/>
  <c r="FM91" i="17"/>
  <c r="HN93" i="17"/>
  <c r="HL93" i="17"/>
  <c r="KD93" i="17"/>
  <c r="FR95" i="17"/>
  <c r="FM95" i="17"/>
  <c r="HN97" i="17"/>
  <c r="HL97" i="17"/>
  <c r="KD97" i="17"/>
  <c r="FR99" i="17"/>
  <c r="FM99" i="17"/>
  <c r="HN101" i="17"/>
  <c r="HL101" i="17"/>
  <c r="KD101" i="17"/>
  <c r="HI105" i="17"/>
  <c r="HJ105" i="17"/>
  <c r="HI107" i="17"/>
  <c r="HJ107" i="17"/>
  <c r="HI109" i="17"/>
  <c r="HJ109" i="17"/>
  <c r="HI111" i="17"/>
  <c r="HJ111" i="17"/>
  <c r="HI113" i="17"/>
  <c r="HJ113" i="17"/>
  <c r="FR103" i="17"/>
  <c r="FM103" i="17"/>
  <c r="KD105" i="17"/>
  <c r="HB105" i="17" s="1"/>
  <c r="HD105" i="17" s="1"/>
  <c r="KD107" i="17"/>
  <c r="HB107" i="17" s="1"/>
  <c r="HD107" i="17" s="1"/>
  <c r="KD109" i="17"/>
  <c r="HB109" i="17" s="1"/>
  <c r="HD109" i="17" s="1"/>
  <c r="KD111" i="17"/>
  <c r="HB111" i="17" s="1"/>
  <c r="HD111" i="17" s="1"/>
  <c r="KD113" i="17"/>
  <c r="HB113" i="17" s="1"/>
  <c r="HD113" i="17" s="1"/>
  <c r="HI114" i="17"/>
  <c r="HJ114" i="17"/>
  <c r="FU116" i="17"/>
  <c r="GW116" i="17" s="1"/>
  <c r="GY116" i="17" s="1"/>
  <c r="KC116" i="17"/>
  <c r="HA116" i="17" s="1"/>
  <c r="HC116" i="17" s="1"/>
  <c r="FU118" i="17"/>
  <c r="GW118" i="17" s="1"/>
  <c r="GY118" i="17" s="1"/>
  <c r="KC118" i="17"/>
  <c r="HA118" i="17" s="1"/>
  <c r="HC118" i="17" s="1"/>
  <c r="KI121" i="17"/>
  <c r="KD114" i="17"/>
  <c r="HN114" i="17"/>
  <c r="HL114" i="17"/>
  <c r="GC7" i="4"/>
  <c r="GA7" i="4"/>
  <c r="BC7" i="4"/>
  <c r="BA7" i="4"/>
  <c r="DH11" i="4"/>
  <c r="DI11" i="4" s="1"/>
  <c r="GH11" i="4" s="1"/>
  <c r="EV11" i="4"/>
  <c r="FW11" i="4" s="1"/>
  <c r="KD116" i="17"/>
  <c r="HB116" i="17" s="1"/>
  <c r="HD116" i="17" s="1"/>
  <c r="KJ116" i="17" s="1"/>
  <c r="FV119" i="17"/>
  <c r="GX119" i="17" s="1"/>
  <c r="GZ119" i="17" s="1"/>
  <c r="GC6" i="4"/>
  <c r="GA6" i="4"/>
  <c r="BC6" i="4"/>
  <c r="BA6" i="4"/>
  <c r="DH15" i="4"/>
  <c r="DI15" i="4" s="1"/>
  <c r="GH15" i="4" s="1"/>
  <c r="EV15" i="4"/>
  <c r="FW15" i="4" s="1"/>
  <c r="GC12" i="4"/>
  <c r="GA12" i="4"/>
  <c r="BC12" i="4"/>
  <c r="BA12" i="4"/>
  <c r="DH16" i="4"/>
  <c r="DI16" i="4" s="1"/>
  <c r="GH16" i="4" s="1"/>
  <c r="EV16" i="4"/>
  <c r="FW16" i="4" s="1"/>
  <c r="GO19" i="4"/>
  <c r="GK19" i="4"/>
  <c r="GO20" i="4"/>
  <c r="GK20" i="4"/>
  <c r="GO21" i="4"/>
  <c r="GK21" i="4"/>
  <c r="GO22" i="4"/>
  <c r="GK22" i="4"/>
  <c r="GO23" i="4"/>
  <c r="GK23" i="4"/>
  <c r="GO24" i="4"/>
  <c r="GK24" i="4"/>
  <c r="GO25" i="4"/>
  <c r="GK25" i="4"/>
  <c r="GO26" i="4"/>
  <c r="GK26" i="4"/>
  <c r="GO27" i="4"/>
  <c r="GK27" i="4"/>
  <c r="GO28" i="4"/>
  <c r="GK28" i="4"/>
  <c r="GN31" i="4"/>
  <c r="GL31" i="4"/>
  <c r="GC8" i="4"/>
  <c r="GA8" i="4"/>
  <c r="BC8" i="4"/>
  <c r="BA8" i="4"/>
  <c r="DH17" i="4"/>
  <c r="DI17" i="4" s="1"/>
  <c r="GH17" i="4" s="1"/>
  <c r="EV17" i="4"/>
  <c r="FW17" i="4" s="1"/>
  <c r="GC10" i="4"/>
  <c r="GA10" i="4"/>
  <c r="BC10" i="4"/>
  <c r="BA10" i="4"/>
  <c r="DH18" i="4"/>
  <c r="DI18" i="4" s="1"/>
  <c r="GH18" i="4" s="1"/>
  <c r="EV18" i="4"/>
  <c r="FW18" i="4" s="1"/>
  <c r="GN34" i="4"/>
  <c r="GL34" i="4"/>
  <c r="KE7" i="17"/>
  <c r="HP7" i="17"/>
  <c r="GP7" i="17"/>
  <c r="GQ7" i="17" s="1"/>
  <c r="GR7" i="17" s="1"/>
  <c r="KH7" i="17" s="1"/>
  <c r="HI7" i="17"/>
  <c r="HJ7" i="17"/>
  <c r="FU8" i="17"/>
  <c r="GW8" i="17" s="1"/>
  <c r="GY8" i="17" s="1"/>
  <c r="KC8" i="17"/>
  <c r="HA8" i="17" s="1"/>
  <c r="HC8" i="17" s="1"/>
  <c r="KC10" i="17"/>
  <c r="HA10" i="17" s="1"/>
  <c r="HC10" i="17" s="1"/>
  <c r="FU10" i="17"/>
  <c r="GW10" i="17" s="1"/>
  <c r="GY10" i="17" s="1"/>
  <c r="KI10" i="17" s="1"/>
  <c r="KE11" i="17"/>
  <c r="HP11" i="17"/>
  <c r="GP11" i="17"/>
  <c r="GQ11" i="17" s="1"/>
  <c r="GR11" i="17" s="1"/>
  <c r="KH11" i="17" s="1"/>
  <c r="KC12" i="17"/>
  <c r="HA12" i="17" s="1"/>
  <c r="HC12" i="17" s="1"/>
  <c r="FU12" i="17"/>
  <c r="GW12" i="17" s="1"/>
  <c r="GY12" i="17" s="1"/>
  <c r="FX5" i="17"/>
  <c r="EW123" i="17"/>
  <c r="EI123" i="17"/>
  <c r="FV7" i="17"/>
  <c r="GX7" i="17" s="1"/>
  <c r="GZ7" i="17" s="1"/>
  <c r="KJ7" i="17" s="1"/>
  <c r="KC11" i="17"/>
  <c r="HA11" i="17" s="1"/>
  <c r="HC11" i="17" s="1"/>
  <c r="FU11" i="17"/>
  <c r="GW11" i="17" s="1"/>
  <c r="GY11" i="17" s="1"/>
  <c r="FU13" i="17"/>
  <c r="GW13" i="17" s="1"/>
  <c r="GY13" i="17" s="1"/>
  <c r="KC13" i="17"/>
  <c r="HA13" i="17" s="1"/>
  <c r="HC13" i="17" s="1"/>
  <c r="HJ15" i="17"/>
  <c r="HI15" i="17"/>
  <c r="HN10" i="17"/>
  <c r="HL10" i="17"/>
  <c r="KD10" i="17"/>
  <c r="FU18" i="17"/>
  <c r="GW18" i="17" s="1"/>
  <c r="GY18" i="17" s="1"/>
  <c r="KC18" i="17"/>
  <c r="HA18" i="17" s="1"/>
  <c r="HC18" i="17" s="1"/>
  <c r="FU22" i="17"/>
  <c r="GW22" i="17" s="1"/>
  <c r="GY22" i="17" s="1"/>
  <c r="KC22" i="17"/>
  <c r="HA22" i="17" s="1"/>
  <c r="HC22" i="17" s="1"/>
  <c r="FU26" i="17"/>
  <c r="GW26" i="17" s="1"/>
  <c r="GY26" i="17" s="1"/>
  <c r="KC26" i="17"/>
  <c r="HA26" i="17" s="1"/>
  <c r="HC26" i="17" s="1"/>
  <c r="FU30" i="17"/>
  <c r="GW30" i="17" s="1"/>
  <c r="GY30" i="17" s="1"/>
  <c r="KC30" i="17"/>
  <c r="HA30" i="17" s="1"/>
  <c r="HC30" i="17" s="1"/>
  <c r="FU34" i="17"/>
  <c r="GW34" i="17" s="1"/>
  <c r="GY34" i="17" s="1"/>
  <c r="KC34" i="17"/>
  <c r="HA34" i="17" s="1"/>
  <c r="HC34" i="17" s="1"/>
  <c r="FU38" i="17"/>
  <c r="GW38" i="17" s="1"/>
  <c r="GY38" i="17" s="1"/>
  <c r="KC38" i="17"/>
  <c r="HA38" i="17" s="1"/>
  <c r="HC38" i="17" s="1"/>
  <c r="FU42" i="17"/>
  <c r="GW42" i="17" s="1"/>
  <c r="GY42" i="17" s="1"/>
  <c r="KC42" i="17"/>
  <c r="HA42" i="17" s="1"/>
  <c r="HC42" i="17" s="1"/>
  <c r="FU46" i="17"/>
  <c r="GW46" i="17" s="1"/>
  <c r="GY46" i="17" s="1"/>
  <c r="KC46" i="17"/>
  <c r="HA46" i="17" s="1"/>
  <c r="HC46" i="17" s="1"/>
  <c r="FU50" i="17"/>
  <c r="GW50" i="17" s="1"/>
  <c r="GY50" i="17" s="1"/>
  <c r="KC50" i="17"/>
  <c r="HA50" i="17" s="1"/>
  <c r="HC50" i="17" s="1"/>
  <c r="FU54" i="17"/>
  <c r="GW54" i="17" s="1"/>
  <c r="GY54" i="17" s="1"/>
  <c r="KC54" i="17"/>
  <c r="HA54" i="17" s="1"/>
  <c r="HC54" i="17" s="1"/>
  <c r="HJ58" i="17"/>
  <c r="HI58" i="17"/>
  <c r="FV58" i="17"/>
  <c r="GX58" i="17" s="1"/>
  <c r="GZ58" i="17" s="1"/>
  <c r="KE58" i="17"/>
  <c r="HP58" i="17"/>
  <c r="GP58" i="17"/>
  <c r="GQ58" i="17" s="1"/>
  <c r="GR58" i="17" s="1"/>
  <c r="KH58" i="17" s="1"/>
  <c r="KD58" i="17"/>
  <c r="HB58" i="17" s="1"/>
  <c r="HD58" i="17" s="1"/>
  <c r="HJ17" i="17"/>
  <c r="HI17" i="17"/>
  <c r="HJ19" i="17"/>
  <c r="HI19" i="17"/>
  <c r="HJ21" i="17"/>
  <c r="HI21" i="17"/>
  <c r="HJ23" i="17"/>
  <c r="HI23" i="17"/>
  <c r="HJ25" i="17"/>
  <c r="HI25" i="17"/>
  <c r="HJ27" i="17"/>
  <c r="HI27" i="17"/>
  <c r="HJ29" i="17"/>
  <c r="HI29" i="17"/>
  <c r="HJ31" i="17"/>
  <c r="HI31" i="17"/>
  <c r="HJ33" i="17"/>
  <c r="HI33" i="17"/>
  <c r="HJ35" i="17"/>
  <c r="HI35" i="17"/>
  <c r="HJ37" i="17"/>
  <c r="HI37" i="17"/>
  <c r="HJ39" i="17"/>
  <c r="HI39" i="17"/>
  <c r="HJ41" i="17"/>
  <c r="HI41" i="17"/>
  <c r="HJ43" i="17"/>
  <c r="HI43" i="17"/>
  <c r="HJ45" i="17"/>
  <c r="HI45" i="17"/>
  <c r="HJ47" i="17"/>
  <c r="HI47" i="17"/>
  <c r="HJ49" i="17"/>
  <c r="HI49" i="17"/>
  <c r="HJ51" i="17"/>
  <c r="HI51" i="17"/>
  <c r="HJ53" i="17"/>
  <c r="HI53" i="17"/>
  <c r="HJ55" i="17"/>
  <c r="HI55" i="17"/>
  <c r="HN19" i="17"/>
  <c r="HL19" i="17"/>
  <c r="KD19" i="17"/>
  <c r="FR23" i="17"/>
  <c r="FM23" i="17"/>
  <c r="HN27" i="17"/>
  <c r="HL27" i="17"/>
  <c r="KD27" i="17"/>
  <c r="FR31" i="17"/>
  <c r="FM31" i="17"/>
  <c r="HN35" i="17"/>
  <c r="HL35" i="17"/>
  <c r="KD35" i="17"/>
  <c r="FR39" i="17"/>
  <c r="FM39" i="17"/>
  <c r="HN43" i="17"/>
  <c r="HL43" i="17"/>
  <c r="KD43" i="17"/>
  <c r="FR47" i="17"/>
  <c r="FM47" i="17"/>
  <c r="HN51" i="17"/>
  <c r="HL51" i="17"/>
  <c r="KD51" i="17"/>
  <c r="FR55" i="17"/>
  <c r="FM55" i="17"/>
  <c r="FV59" i="17"/>
  <c r="GX59" i="17" s="1"/>
  <c r="GZ59" i="17" s="1"/>
  <c r="KE60" i="17"/>
  <c r="HP60" i="17"/>
  <c r="GP60" i="17"/>
  <c r="GQ60" i="17" s="1"/>
  <c r="GR60" i="17" s="1"/>
  <c r="KH60" i="17" s="1"/>
  <c r="HI62" i="17"/>
  <c r="HJ62" i="17"/>
  <c r="KD62" i="17"/>
  <c r="HB62" i="17" s="1"/>
  <c r="HD62" i="17" s="1"/>
  <c r="KE64" i="17"/>
  <c r="HP64" i="17"/>
  <c r="GP64" i="17"/>
  <c r="GQ64" i="17" s="1"/>
  <c r="GR64" i="17" s="1"/>
  <c r="KH64" i="17" s="1"/>
  <c r="HI66" i="17"/>
  <c r="HJ66" i="17"/>
  <c r="KD66" i="17"/>
  <c r="HB66" i="17" s="1"/>
  <c r="HD66" i="17" s="1"/>
  <c r="KE68" i="17"/>
  <c r="HP68" i="17"/>
  <c r="GP68" i="17"/>
  <c r="GQ68" i="17" s="1"/>
  <c r="GR68" i="17" s="1"/>
  <c r="KH68" i="17" s="1"/>
  <c r="HI70" i="17"/>
  <c r="HJ70" i="17"/>
  <c r="KD70" i="17"/>
  <c r="HB70" i="17" s="1"/>
  <c r="HD70" i="17" s="1"/>
  <c r="KE72" i="17"/>
  <c r="HP72" i="17"/>
  <c r="GP72" i="17"/>
  <c r="GQ72" i="17" s="1"/>
  <c r="GR72" i="17" s="1"/>
  <c r="KH72" i="17" s="1"/>
  <c r="HI74" i="17"/>
  <c r="HJ74" i="17"/>
  <c r="KD74" i="17"/>
  <c r="HB74" i="17" s="1"/>
  <c r="HD74" i="17" s="1"/>
  <c r="KE76" i="17"/>
  <c r="HP76" i="17"/>
  <c r="GP76" i="17"/>
  <c r="GQ76" i="17" s="1"/>
  <c r="GR76" i="17" s="1"/>
  <c r="KH76" i="17" s="1"/>
  <c r="HI78" i="17"/>
  <c r="HJ78" i="17"/>
  <c r="KD78" i="17"/>
  <c r="HB78" i="17" s="1"/>
  <c r="HD78" i="17" s="1"/>
  <c r="HJ61" i="17"/>
  <c r="HI61" i="17"/>
  <c r="HJ63" i="17"/>
  <c r="HI63" i="17"/>
  <c r="HJ65" i="17"/>
  <c r="HI65" i="17"/>
  <c r="HJ67" i="17"/>
  <c r="HI67" i="17"/>
  <c r="HJ69" i="17"/>
  <c r="HI69" i="17"/>
  <c r="HJ71" i="17"/>
  <c r="HI71" i="17"/>
  <c r="HJ73" i="17"/>
  <c r="HI73" i="17"/>
  <c r="HJ75" i="17"/>
  <c r="HI75" i="17"/>
  <c r="HJ77" i="17"/>
  <c r="HI77" i="17"/>
  <c r="HJ79" i="17"/>
  <c r="HI79" i="17"/>
  <c r="KC81" i="17"/>
  <c r="HA81" i="17" s="1"/>
  <c r="HC81" i="17" s="1"/>
  <c r="FU81" i="17"/>
  <c r="GW81" i="17" s="1"/>
  <c r="GY81" i="17" s="1"/>
  <c r="FR63" i="17"/>
  <c r="FM63" i="17"/>
  <c r="HN67" i="17"/>
  <c r="HL67" i="17"/>
  <c r="KD67" i="17"/>
  <c r="FR71" i="17"/>
  <c r="FM71" i="17"/>
  <c r="HN75" i="17"/>
  <c r="HL75" i="17"/>
  <c r="KD75" i="17"/>
  <c r="FR79" i="17"/>
  <c r="FM79" i="17"/>
  <c r="FU82" i="17"/>
  <c r="GW82" i="17" s="1"/>
  <c r="GY82" i="17" s="1"/>
  <c r="KI82" i="17" s="1"/>
  <c r="KC82" i="17"/>
  <c r="HA82" i="17" s="1"/>
  <c r="HC82" i="17" s="1"/>
  <c r="FV84" i="17"/>
  <c r="GX84" i="17" s="1"/>
  <c r="GZ84" i="17" s="1"/>
  <c r="KJ84" i="17" s="1"/>
  <c r="FV86" i="17"/>
  <c r="GX86" i="17" s="1"/>
  <c r="GZ86" i="17" s="1"/>
  <c r="KJ86" i="17" s="1"/>
  <c r="FV88" i="17"/>
  <c r="GX88" i="17" s="1"/>
  <c r="GZ88" i="17" s="1"/>
  <c r="KJ88" i="17" s="1"/>
  <c r="FV90" i="17"/>
  <c r="GX90" i="17" s="1"/>
  <c r="GZ90" i="17" s="1"/>
  <c r="KJ90" i="17" s="1"/>
  <c r="FV92" i="17"/>
  <c r="GX92" i="17" s="1"/>
  <c r="GZ92" i="17" s="1"/>
  <c r="KJ92" i="17" s="1"/>
  <c r="FV94" i="17"/>
  <c r="GX94" i="17" s="1"/>
  <c r="GZ94" i="17" s="1"/>
  <c r="KJ94" i="17" s="1"/>
  <c r="FV96" i="17"/>
  <c r="GX96" i="17" s="1"/>
  <c r="GZ96" i="17" s="1"/>
  <c r="KJ96" i="17" s="1"/>
  <c r="FV98" i="17"/>
  <c r="GX98" i="17" s="1"/>
  <c r="GZ98" i="17" s="1"/>
  <c r="KJ98" i="17" s="1"/>
  <c r="FV100" i="17"/>
  <c r="GX100" i="17" s="1"/>
  <c r="GZ100" i="17" s="1"/>
  <c r="KJ100" i="17" s="1"/>
  <c r="FV102" i="17"/>
  <c r="GX102" i="17" s="1"/>
  <c r="GZ102" i="17" s="1"/>
  <c r="KJ102" i="17" s="1"/>
  <c r="HJ83" i="17"/>
  <c r="HI83" i="17"/>
  <c r="HJ85" i="17"/>
  <c r="HI85" i="17"/>
  <c r="HJ87" i="17"/>
  <c r="HI87" i="17"/>
  <c r="HJ89" i="17"/>
  <c r="HI89" i="17"/>
  <c r="HJ91" i="17"/>
  <c r="HI91" i="17"/>
  <c r="HJ93" i="17"/>
  <c r="HI93" i="17"/>
  <c r="HJ95" i="17"/>
  <c r="HI95" i="17"/>
  <c r="HJ97" i="17"/>
  <c r="HI97" i="17"/>
  <c r="HJ99" i="17"/>
  <c r="HI99" i="17"/>
  <c r="HJ101" i="17"/>
  <c r="HI101" i="17"/>
  <c r="FV105" i="17"/>
  <c r="GX105" i="17" s="1"/>
  <c r="GZ105" i="17" s="1"/>
  <c r="KJ105" i="17" s="1"/>
  <c r="FV107" i="17"/>
  <c r="GX107" i="17" s="1"/>
  <c r="GZ107" i="17" s="1"/>
  <c r="KJ107" i="17" s="1"/>
  <c r="FV109" i="17"/>
  <c r="GX109" i="17" s="1"/>
  <c r="GZ109" i="17" s="1"/>
  <c r="KJ109" i="17" s="1"/>
  <c r="FV111" i="17"/>
  <c r="GX111" i="17" s="1"/>
  <c r="GZ111" i="17" s="1"/>
  <c r="KJ111" i="17" s="1"/>
  <c r="FV113" i="17"/>
  <c r="GX113" i="17" s="1"/>
  <c r="GZ113" i="17" s="1"/>
  <c r="KJ113" i="17" s="1"/>
  <c r="HJ104" i="17"/>
  <c r="HI104" i="17"/>
  <c r="HJ106" i="17"/>
  <c r="HI106" i="17"/>
  <c r="HJ108" i="17"/>
  <c r="HI108" i="17"/>
  <c r="HJ110" i="17"/>
  <c r="HI110" i="17"/>
  <c r="HJ112" i="17"/>
  <c r="HI112" i="17"/>
  <c r="HN104" i="17"/>
  <c r="HL104" i="17"/>
  <c r="KD104" i="17"/>
  <c r="FR106" i="17"/>
  <c r="FM106" i="17"/>
  <c r="HN108" i="17"/>
  <c r="HL108" i="17"/>
  <c r="KD108" i="17"/>
  <c r="FR110" i="17"/>
  <c r="FM110" i="17"/>
  <c r="HN112" i="17"/>
  <c r="HL112" i="17"/>
  <c r="KD112" i="17"/>
  <c r="KE121" i="17"/>
  <c r="HP121" i="17"/>
  <c r="GP121" i="17"/>
  <c r="GQ121" i="17" s="1"/>
  <c r="GR121" i="17" s="1"/>
  <c r="KH121" i="17" s="1"/>
  <c r="KC120" i="17"/>
  <c r="HA120" i="17" s="1"/>
  <c r="HC120" i="17" s="1"/>
  <c r="FU120" i="17"/>
  <c r="GW120" i="17" s="1"/>
  <c r="GY120" i="17" s="1"/>
  <c r="KI120" i="17" s="1"/>
  <c r="KC122" i="17"/>
  <c r="HA122" i="17" s="1"/>
  <c r="HC122" i="17" s="1"/>
  <c r="FU122" i="17"/>
  <c r="GW122" i="17" s="1"/>
  <c r="GY122" i="17" s="1"/>
  <c r="KI122" i="17" s="1"/>
  <c r="GC5" i="4"/>
  <c r="GA5" i="4"/>
  <c r="BC5" i="4"/>
  <c r="BA5" i="4"/>
  <c r="DH9" i="4"/>
  <c r="DI9" i="4" s="1"/>
  <c r="GH9" i="4" s="1"/>
  <c r="EV9" i="4"/>
  <c r="FW9" i="4" s="1"/>
  <c r="KE116" i="17"/>
  <c r="HP116" i="17"/>
  <c r="GP116" i="17"/>
  <c r="GQ116" i="17" s="1"/>
  <c r="GR116" i="17" s="1"/>
  <c r="KH116" i="17" s="1"/>
  <c r="KC117" i="17"/>
  <c r="HA117" i="17" s="1"/>
  <c r="HC117" i="17" s="1"/>
  <c r="KI117" i="17" s="1"/>
  <c r="DH4" i="4"/>
  <c r="DI4" i="4" s="1"/>
  <c r="GH4" i="4" s="1"/>
  <c r="EV4" i="4"/>
  <c r="FW4" i="4" s="1"/>
  <c r="GC13" i="4"/>
  <c r="GA13" i="4"/>
  <c r="BC13" i="4"/>
  <c r="BA13" i="4"/>
  <c r="DH14" i="4"/>
  <c r="DI14" i="4" s="1"/>
  <c r="GH14" i="4" s="1"/>
  <c r="EV14" i="4"/>
  <c r="FW14" i="4" s="1"/>
  <c r="GN30" i="4"/>
  <c r="GL30" i="4"/>
  <c r="GN32" i="4"/>
  <c r="GL32" i="4"/>
  <c r="GN29" i="4"/>
  <c r="GL29" i="4"/>
  <c r="GN33" i="4"/>
  <c r="GL33" i="4"/>
  <c r="HJ14" i="17"/>
  <c r="HI14" i="17"/>
  <c r="FV14" i="17"/>
  <c r="GX14" i="17" s="1"/>
  <c r="GZ14" i="17" s="1"/>
  <c r="KE14" i="17"/>
  <c r="HP14" i="17"/>
  <c r="GP14" i="17"/>
  <c r="GQ14" i="17" s="1"/>
  <c r="GR14" i="17" s="1"/>
  <c r="KH14" i="17" s="1"/>
  <c r="KD14" i="17"/>
  <c r="HB14" i="17" s="1"/>
  <c r="HD14" i="17" s="1"/>
  <c r="HJ6" i="17"/>
  <c r="HI6" i="17"/>
  <c r="KJ11" i="17"/>
  <c r="KJ16" i="17"/>
  <c r="KJ20" i="17"/>
  <c r="KC28" i="17"/>
  <c r="HA28" i="17" s="1"/>
  <c r="HC28" i="17" s="1"/>
  <c r="FU28" i="17"/>
  <c r="GW28" i="17" s="1"/>
  <c r="GY28" i="17" s="1"/>
  <c r="KI28" i="17" s="1"/>
  <c r="KC32" i="17"/>
  <c r="HA32" i="17" s="1"/>
  <c r="HC32" i="17" s="1"/>
  <c r="FU32" i="17"/>
  <c r="GW32" i="17" s="1"/>
  <c r="GY32" i="17" s="1"/>
  <c r="KI32" i="17" s="1"/>
  <c r="KJ36" i="17"/>
  <c r="KJ40" i="17"/>
  <c r="KJ44" i="17"/>
  <c r="KC48" i="17"/>
  <c r="HA48" i="17" s="1"/>
  <c r="HC48" i="17" s="1"/>
  <c r="FU48" i="17"/>
  <c r="GW48" i="17" s="1"/>
  <c r="GY48" i="17" s="1"/>
  <c r="KC52" i="17"/>
  <c r="HA52" i="17" s="1"/>
  <c r="HC52" i="17" s="1"/>
  <c r="FU52" i="17"/>
  <c r="GW52" i="17" s="1"/>
  <c r="GY52" i="17" s="1"/>
  <c r="KJ52" i="17"/>
  <c r="KC56" i="17"/>
  <c r="HA56" i="17" s="1"/>
  <c r="HC56" i="17" s="1"/>
  <c r="FU56" i="17"/>
  <c r="GW56" i="17" s="1"/>
  <c r="GY56" i="17" s="1"/>
  <c r="KI56" i="17" s="1"/>
  <c r="KJ56" i="17"/>
  <c r="HN15" i="17"/>
  <c r="HL15" i="17"/>
  <c r="FX15" i="17"/>
  <c r="KD15" i="17"/>
  <c r="KC57" i="17"/>
  <c r="HA57" i="17" s="1"/>
  <c r="HC57" i="17" s="1"/>
  <c r="FU57" i="17"/>
  <c r="GW57" i="17" s="1"/>
  <c r="GY57" i="17" s="1"/>
  <c r="FU59" i="17"/>
  <c r="GW59" i="17" s="1"/>
  <c r="GY59" i="17" s="1"/>
  <c r="KI59" i="17" s="1"/>
  <c r="KC59" i="17"/>
  <c r="HA59" i="17" s="1"/>
  <c r="HC59" i="17" s="1"/>
  <c r="FR17" i="17"/>
  <c r="FX17" i="17" s="1"/>
  <c r="FM17" i="17"/>
  <c r="HN21" i="17"/>
  <c r="HL21" i="17"/>
  <c r="FX21" i="17"/>
  <c r="KD21" i="17"/>
  <c r="FR25" i="17"/>
  <c r="FX25" i="17" s="1"/>
  <c r="FM25" i="17"/>
  <c r="HN29" i="17"/>
  <c r="HL29" i="17"/>
  <c r="FX29" i="17"/>
  <c r="KD29" i="17"/>
  <c r="FR33" i="17"/>
  <c r="FX33" i="17" s="1"/>
  <c r="FM33" i="17"/>
  <c r="HN37" i="17"/>
  <c r="HL37" i="17"/>
  <c r="FX37" i="17"/>
  <c r="KD37" i="17"/>
  <c r="FR41" i="17"/>
  <c r="FX41" i="17" s="1"/>
  <c r="FM41" i="17"/>
  <c r="HN45" i="17"/>
  <c r="HL45" i="17"/>
  <c r="FX45" i="17"/>
  <c r="KD45" i="17"/>
  <c r="FR49" i="17"/>
  <c r="FX49" i="17" s="1"/>
  <c r="FM49" i="17"/>
  <c r="HN53" i="17"/>
  <c r="HL53" i="17"/>
  <c r="FX53" i="17"/>
  <c r="KD53" i="17"/>
  <c r="HA58" i="17"/>
  <c r="HC58" i="17" s="1"/>
  <c r="HI60" i="17"/>
  <c r="HJ60" i="17"/>
  <c r="KD60" i="17"/>
  <c r="HB60" i="17" s="1"/>
  <c r="HD60" i="17" s="1"/>
  <c r="KJ60" i="17" s="1"/>
  <c r="KE62" i="17"/>
  <c r="HP62" i="17"/>
  <c r="GP62" i="17"/>
  <c r="GQ62" i="17" s="1"/>
  <c r="GR62" i="17" s="1"/>
  <c r="KH62" i="17" s="1"/>
  <c r="HI64" i="17"/>
  <c r="HJ64" i="17"/>
  <c r="KD64" i="17"/>
  <c r="HB64" i="17" s="1"/>
  <c r="HD64" i="17" s="1"/>
  <c r="KJ64" i="17" s="1"/>
  <c r="KE66" i="17"/>
  <c r="HP66" i="17"/>
  <c r="GP66" i="17"/>
  <c r="GQ66" i="17" s="1"/>
  <c r="GR66" i="17" s="1"/>
  <c r="KH66" i="17" s="1"/>
  <c r="HI68" i="17"/>
  <c r="HJ68" i="17"/>
  <c r="KD68" i="17"/>
  <c r="HB68" i="17" s="1"/>
  <c r="HD68" i="17" s="1"/>
  <c r="KJ68" i="17" s="1"/>
  <c r="KE70" i="17"/>
  <c r="HP70" i="17"/>
  <c r="GP70" i="17"/>
  <c r="GQ70" i="17" s="1"/>
  <c r="GR70" i="17" s="1"/>
  <c r="KH70" i="17" s="1"/>
  <c r="HI72" i="17"/>
  <c r="HJ72" i="17"/>
  <c r="KD72" i="17"/>
  <c r="HB72" i="17" s="1"/>
  <c r="HD72" i="17" s="1"/>
  <c r="KJ72" i="17" s="1"/>
  <c r="KE74" i="17"/>
  <c r="HP74" i="17"/>
  <c r="GP74" i="17"/>
  <c r="GQ74" i="17" s="1"/>
  <c r="GR74" i="17" s="1"/>
  <c r="KH74" i="17" s="1"/>
  <c r="HI76" i="17"/>
  <c r="HJ76" i="17"/>
  <c r="KD76" i="17"/>
  <c r="HB76" i="17" s="1"/>
  <c r="HD76" i="17" s="1"/>
  <c r="KJ76" i="17" s="1"/>
  <c r="KE78" i="17"/>
  <c r="HP78" i="17"/>
  <c r="GP78" i="17"/>
  <c r="GQ78" i="17" s="1"/>
  <c r="GR78" i="17" s="1"/>
  <c r="KH78" i="17" s="1"/>
  <c r="HJ80" i="17"/>
  <c r="HI80" i="17"/>
  <c r="GP57" i="17"/>
  <c r="GQ57" i="17" s="1"/>
  <c r="GR57" i="17" s="1"/>
  <c r="KH57" i="17" s="1"/>
  <c r="KE57" i="17"/>
  <c r="HP57" i="17"/>
  <c r="HN59" i="17"/>
  <c r="HL59" i="17"/>
  <c r="FX59" i="17"/>
  <c r="KD59" i="17"/>
  <c r="FR61" i="17"/>
  <c r="FX61" i="17" s="1"/>
  <c r="FM61" i="17"/>
  <c r="HN65" i="17"/>
  <c r="HL65" i="17"/>
  <c r="FX65" i="17"/>
  <c r="KD65" i="17"/>
  <c r="FR69" i="17"/>
  <c r="FX69" i="17" s="1"/>
  <c r="FM69" i="17"/>
  <c r="HN73" i="17"/>
  <c r="HL73" i="17"/>
  <c r="FX73" i="17"/>
  <c r="KD73" i="17"/>
  <c r="FR77" i="17"/>
  <c r="FX77" i="17" s="1"/>
  <c r="FM77" i="17"/>
  <c r="FU84" i="17"/>
  <c r="GW84" i="17" s="1"/>
  <c r="GY84" i="17" s="1"/>
  <c r="KC84" i="17"/>
  <c r="HA84" i="17" s="1"/>
  <c r="HC84" i="17" s="1"/>
  <c r="FU86" i="17"/>
  <c r="GW86" i="17" s="1"/>
  <c r="GY86" i="17" s="1"/>
  <c r="KC86" i="17"/>
  <c r="HA86" i="17" s="1"/>
  <c r="HC86" i="17" s="1"/>
  <c r="FU88" i="17"/>
  <c r="GW88" i="17" s="1"/>
  <c r="GY88" i="17" s="1"/>
  <c r="KC88" i="17"/>
  <c r="HA88" i="17" s="1"/>
  <c r="HC88" i="17" s="1"/>
  <c r="FU90" i="17"/>
  <c r="GW90" i="17" s="1"/>
  <c r="GY90" i="17" s="1"/>
  <c r="KC90" i="17"/>
  <c r="HA90" i="17" s="1"/>
  <c r="HC90" i="17" s="1"/>
  <c r="FU92" i="17"/>
  <c r="GW92" i="17" s="1"/>
  <c r="GY92" i="17" s="1"/>
  <c r="KC92" i="17"/>
  <c r="HA92" i="17" s="1"/>
  <c r="HC92" i="17" s="1"/>
  <c r="FU94" i="17"/>
  <c r="GW94" i="17" s="1"/>
  <c r="GY94" i="17" s="1"/>
  <c r="KC94" i="17"/>
  <c r="HA94" i="17" s="1"/>
  <c r="HC94" i="17" s="1"/>
  <c r="FU96" i="17"/>
  <c r="GW96" i="17" s="1"/>
  <c r="GY96" i="17" s="1"/>
  <c r="KC96" i="17"/>
  <c r="HA96" i="17" s="1"/>
  <c r="HC96" i="17" s="1"/>
  <c r="FU98" i="17"/>
  <c r="GW98" i="17" s="1"/>
  <c r="GY98" i="17" s="1"/>
  <c r="KC98" i="17"/>
  <c r="HA98" i="17" s="1"/>
  <c r="HC98" i="17" s="1"/>
  <c r="FU100" i="17"/>
  <c r="GW100" i="17" s="1"/>
  <c r="GY100" i="17" s="1"/>
  <c r="KC100" i="17"/>
  <c r="HA100" i="17" s="1"/>
  <c r="HC100" i="17" s="1"/>
  <c r="FU102" i="17"/>
  <c r="GW102" i="17" s="1"/>
  <c r="GY102" i="17" s="1"/>
  <c r="KC102" i="17"/>
  <c r="HA102" i="17" s="1"/>
  <c r="HC102" i="17" s="1"/>
  <c r="HI103" i="17"/>
  <c r="HJ103" i="17"/>
  <c r="HN83" i="17"/>
  <c r="HL83" i="17"/>
  <c r="FX83" i="17"/>
  <c r="KD83" i="17"/>
  <c r="FR85" i="17"/>
  <c r="FX85" i="17" s="1"/>
  <c r="FM85" i="17"/>
  <c r="HN87" i="17"/>
  <c r="HL87" i="17"/>
  <c r="FX87" i="17"/>
  <c r="KD87" i="17"/>
  <c r="FR89" i="17"/>
  <c r="FX89" i="17" s="1"/>
  <c r="FM89" i="17"/>
  <c r="HN91" i="17"/>
  <c r="HL91" i="17"/>
  <c r="FX91" i="17"/>
  <c r="KD91" i="17"/>
  <c r="FR93" i="17"/>
  <c r="FX93" i="17" s="1"/>
  <c r="FM93" i="17"/>
  <c r="HN95" i="17"/>
  <c r="HL95" i="17"/>
  <c r="FX95" i="17"/>
  <c r="KD95" i="17"/>
  <c r="FR97" i="17"/>
  <c r="FX97" i="17" s="1"/>
  <c r="FM97" i="17"/>
  <c r="HN99" i="17"/>
  <c r="HL99" i="17"/>
  <c r="FX99" i="17"/>
  <c r="KD99" i="17"/>
  <c r="FR101" i="17"/>
  <c r="FX101" i="17" s="1"/>
  <c r="FM101" i="17"/>
  <c r="FU105" i="17"/>
  <c r="GW105" i="17" s="1"/>
  <c r="GY105" i="17" s="1"/>
  <c r="KC105" i="17"/>
  <c r="HA105" i="17" s="1"/>
  <c r="HC105" i="17" s="1"/>
  <c r="FU107" i="17"/>
  <c r="GW107" i="17" s="1"/>
  <c r="GY107" i="17" s="1"/>
  <c r="KC107" i="17"/>
  <c r="HA107" i="17" s="1"/>
  <c r="HC107" i="17" s="1"/>
  <c r="FU109" i="17"/>
  <c r="GW109" i="17" s="1"/>
  <c r="GY109" i="17" s="1"/>
  <c r="KC109" i="17"/>
  <c r="HA109" i="17" s="1"/>
  <c r="HC109" i="17" s="1"/>
  <c r="FU111" i="17"/>
  <c r="GW111" i="17" s="1"/>
  <c r="GY111" i="17" s="1"/>
  <c r="KC111" i="17"/>
  <c r="HA111" i="17" s="1"/>
  <c r="HC111" i="17" s="1"/>
  <c r="FU113" i="17"/>
  <c r="GW113" i="17" s="1"/>
  <c r="GY113" i="17" s="1"/>
  <c r="KC113" i="17"/>
  <c r="HA113" i="17" s="1"/>
  <c r="HC113" i="17" s="1"/>
  <c r="KD103" i="17"/>
  <c r="HN103" i="17"/>
  <c r="HL103" i="17"/>
  <c r="FX103" i="17"/>
  <c r="FU114" i="17"/>
  <c r="GW114" i="17" s="1"/>
  <c r="GY114" i="17" s="1"/>
  <c r="KC114" i="17"/>
  <c r="HA114" i="17" s="1"/>
  <c r="HC114" i="17" s="1"/>
  <c r="HI116" i="17"/>
  <c r="HJ116" i="17"/>
  <c r="HI118" i="17"/>
  <c r="HJ118" i="17"/>
  <c r="HJ121" i="17"/>
  <c r="HI121" i="17"/>
  <c r="KD121" i="17"/>
  <c r="HB121" i="17" s="1"/>
  <c r="HD121" i="17" s="1"/>
  <c r="FM114" i="17"/>
  <c r="FR114" i="17"/>
  <c r="FX114" i="17" s="1"/>
  <c r="KE117" i="17"/>
  <c r="HP117" i="17"/>
  <c r="GP117" i="17"/>
  <c r="GQ117" i="17" s="1"/>
  <c r="GR117" i="17" s="1"/>
  <c r="KH117" i="17" s="1"/>
  <c r="HJ119" i="17"/>
  <c r="HI119" i="17"/>
  <c r="KE119" i="17"/>
  <c r="HP119" i="17"/>
  <c r="GP119" i="17"/>
  <c r="GQ119" i="17" s="1"/>
  <c r="GR119" i="17" s="1"/>
  <c r="KH119" i="17" s="1"/>
  <c r="KD119" i="17"/>
  <c r="HB119" i="17" s="1"/>
  <c r="HD119" i="17" s="1"/>
  <c r="GP118" i="17"/>
  <c r="GQ118" i="17" s="1"/>
  <c r="GR118" i="17" s="1"/>
  <c r="KH118" i="17" s="1"/>
  <c r="KE118" i="17"/>
  <c r="HP118" i="17"/>
  <c r="FV121" i="17"/>
  <c r="GX121" i="17" s="1"/>
  <c r="GZ121" i="17" s="1"/>
  <c r="GP122" i="17"/>
  <c r="GQ122" i="17" s="1"/>
  <c r="GR122" i="17" s="1"/>
  <c r="KH122" i="17" s="1"/>
  <c r="KE122" i="17"/>
  <c r="HP122" i="17"/>
  <c r="DH7" i="4"/>
  <c r="DI7" i="4" s="1"/>
  <c r="GH7" i="4" s="1"/>
  <c r="EV7" i="4"/>
  <c r="FW7" i="4" s="1"/>
  <c r="GC11" i="4"/>
  <c r="GA11" i="4"/>
  <c r="BC11" i="4"/>
  <c r="BA11" i="4"/>
  <c r="KI119" i="17"/>
  <c r="KE120" i="17"/>
  <c r="HP120" i="17"/>
  <c r="GP120" i="17"/>
  <c r="GQ120" i="17" s="1"/>
  <c r="GR120" i="17" s="1"/>
  <c r="KH120" i="17" s="1"/>
  <c r="DH6" i="4"/>
  <c r="DI6" i="4" s="1"/>
  <c r="GH6" i="4" s="1"/>
  <c r="EV6" i="4"/>
  <c r="FW6" i="4" s="1"/>
  <c r="GC15" i="4"/>
  <c r="GA15" i="4"/>
  <c r="BC15" i="4"/>
  <c r="BA15" i="4"/>
  <c r="DH12" i="4"/>
  <c r="DI12" i="4" s="1"/>
  <c r="GH12" i="4" s="1"/>
  <c r="EV12" i="4"/>
  <c r="FW12" i="4" s="1"/>
  <c r="GC16" i="4"/>
  <c r="GA16" i="4"/>
  <c r="BC16" i="4"/>
  <c r="BA16" i="4"/>
  <c r="GO30" i="4"/>
  <c r="GK30" i="4"/>
  <c r="GO32" i="4"/>
  <c r="GK32" i="4"/>
  <c r="GO29" i="4"/>
  <c r="GK29" i="4"/>
  <c r="GO33" i="4"/>
  <c r="GK33" i="4"/>
  <c r="GK34" i="4"/>
  <c r="GO34" i="4"/>
  <c r="HB120" i="17"/>
  <c r="HD120" i="17" s="1"/>
  <c r="KJ120" i="17" s="1"/>
  <c r="DH8" i="4"/>
  <c r="DI8" i="4" s="1"/>
  <c r="GH8" i="4" s="1"/>
  <c r="EV8" i="4"/>
  <c r="FW8" i="4" s="1"/>
  <c r="GC17" i="4"/>
  <c r="GA17" i="4"/>
  <c r="BC17" i="4"/>
  <c r="BA17" i="4"/>
  <c r="DH10" i="4"/>
  <c r="DI10" i="4" s="1"/>
  <c r="GH10" i="4" s="1"/>
  <c r="EV10" i="4"/>
  <c r="FW10" i="4" s="1"/>
  <c r="GC18" i="4"/>
  <c r="GA18" i="4"/>
  <c r="BC18" i="4"/>
  <c r="BA18" i="4"/>
  <c r="GO31" i="4"/>
  <c r="GK31" i="4"/>
  <c r="KC7" i="17"/>
  <c r="HA7" i="17" s="1"/>
  <c r="HC7" i="17" s="1"/>
  <c r="FU7" i="17"/>
  <c r="GW7" i="17" s="1"/>
  <c r="GY7" i="17" s="1"/>
  <c r="HJ8" i="17"/>
  <c r="HI8" i="17"/>
  <c r="HJ10" i="17"/>
  <c r="HI10" i="17"/>
  <c r="KE12" i="17"/>
  <c r="HP12" i="17"/>
  <c r="GP12" i="17"/>
  <c r="GQ12" i="17" s="1"/>
  <c r="GR12" i="17" s="1"/>
  <c r="KH12" i="17" s="1"/>
  <c r="HJ12" i="17"/>
  <c r="HI12" i="17"/>
  <c r="KJ13" i="17"/>
  <c r="KD5" i="17"/>
  <c r="FV5" i="17"/>
  <c r="KD6" i="17"/>
  <c r="HB6" i="17" s="1"/>
  <c r="HD6" i="17" s="1"/>
  <c r="KE6" i="17"/>
  <c r="HP6" i="17"/>
  <c r="GP6" i="17"/>
  <c r="GQ6" i="17" s="1"/>
  <c r="GR6" i="17" s="1"/>
  <c r="KH6" i="17" s="1"/>
  <c r="FV6" i="17"/>
  <c r="GX6" i="17" s="1"/>
  <c r="GZ6" i="17" s="1"/>
  <c r="KJ6" i="17" s="1"/>
  <c r="FV8" i="17"/>
  <c r="GX8" i="17" s="1"/>
  <c r="GZ8" i="17" s="1"/>
  <c r="KJ8" i="17" s="1"/>
  <c r="KE9" i="17"/>
  <c r="HP9" i="17"/>
  <c r="GP9" i="17"/>
  <c r="GQ9" i="17" s="1"/>
  <c r="GR9" i="17" s="1"/>
  <c r="KH9" i="17" s="1"/>
  <c r="HI11" i="17"/>
  <c r="HJ11" i="17"/>
  <c r="HI13" i="17"/>
  <c r="HJ13" i="17"/>
  <c r="FU15" i="17"/>
  <c r="GW15" i="17" s="1"/>
  <c r="GY15" i="17" s="1"/>
  <c r="KC15" i="17"/>
  <c r="HA15" i="17" s="1"/>
  <c r="HC15" i="17" s="1"/>
  <c r="FR10" i="17"/>
  <c r="FM10" i="17"/>
  <c r="FV15" i="17"/>
  <c r="GX15" i="17" s="1"/>
  <c r="GZ15" i="17" s="1"/>
  <c r="KE16" i="17"/>
  <c r="HP16" i="17"/>
  <c r="GP16" i="17"/>
  <c r="GQ16" i="17" s="1"/>
  <c r="GR16" i="17" s="1"/>
  <c r="KH16" i="17" s="1"/>
  <c r="HI18" i="17"/>
  <c r="HJ18" i="17"/>
  <c r="KD18" i="17"/>
  <c r="HB18" i="17" s="1"/>
  <c r="HD18" i="17" s="1"/>
  <c r="KJ18" i="17" s="1"/>
  <c r="KE20" i="17"/>
  <c r="HP20" i="17"/>
  <c r="GP20" i="17"/>
  <c r="GQ20" i="17" s="1"/>
  <c r="GR20" i="17" s="1"/>
  <c r="KH20" i="17" s="1"/>
  <c r="HI22" i="17"/>
  <c r="HJ22" i="17"/>
  <c r="KD22" i="17"/>
  <c r="HB22" i="17" s="1"/>
  <c r="HD22" i="17" s="1"/>
  <c r="KJ22" i="17" s="1"/>
  <c r="KE24" i="17"/>
  <c r="HP24" i="17"/>
  <c r="GP24" i="17"/>
  <c r="GQ24" i="17" s="1"/>
  <c r="GR24" i="17" s="1"/>
  <c r="KH24" i="17" s="1"/>
  <c r="HI26" i="17"/>
  <c r="HJ26" i="17"/>
  <c r="KD26" i="17"/>
  <c r="HB26" i="17" s="1"/>
  <c r="HD26" i="17" s="1"/>
  <c r="KJ26" i="17" s="1"/>
  <c r="KE28" i="17"/>
  <c r="HP28" i="17"/>
  <c r="GP28" i="17"/>
  <c r="GQ28" i="17" s="1"/>
  <c r="GR28" i="17" s="1"/>
  <c r="KH28" i="17" s="1"/>
  <c r="HI30" i="17"/>
  <c r="HJ30" i="17"/>
  <c r="KD30" i="17"/>
  <c r="HB30" i="17" s="1"/>
  <c r="HD30" i="17" s="1"/>
  <c r="KJ30" i="17" s="1"/>
  <c r="KE32" i="17"/>
  <c r="HP32" i="17"/>
  <c r="GP32" i="17"/>
  <c r="GQ32" i="17" s="1"/>
  <c r="GR32" i="17" s="1"/>
  <c r="KH32" i="17" s="1"/>
  <c r="HI34" i="17"/>
  <c r="HJ34" i="17"/>
  <c r="KD34" i="17"/>
  <c r="HB34" i="17" s="1"/>
  <c r="HD34" i="17" s="1"/>
  <c r="KJ34" i="17" s="1"/>
  <c r="KE36" i="17"/>
  <c r="HP36" i="17"/>
  <c r="GP36" i="17"/>
  <c r="GQ36" i="17" s="1"/>
  <c r="GR36" i="17" s="1"/>
  <c r="KH36" i="17" s="1"/>
  <c r="HI38" i="17"/>
  <c r="HJ38" i="17"/>
  <c r="KD38" i="17"/>
  <c r="HB38" i="17" s="1"/>
  <c r="HD38" i="17" s="1"/>
  <c r="KJ38" i="17" s="1"/>
  <c r="KE40" i="17"/>
  <c r="HP40" i="17"/>
  <c r="GP40" i="17"/>
  <c r="GQ40" i="17" s="1"/>
  <c r="GR40" i="17" s="1"/>
  <c r="KH40" i="17" s="1"/>
  <c r="HI42" i="17"/>
  <c r="HJ42" i="17"/>
  <c r="KD42" i="17"/>
  <c r="HB42" i="17" s="1"/>
  <c r="HD42" i="17" s="1"/>
  <c r="KJ42" i="17" s="1"/>
  <c r="KE44" i="17"/>
  <c r="HP44" i="17"/>
  <c r="GP44" i="17"/>
  <c r="GQ44" i="17" s="1"/>
  <c r="GR44" i="17" s="1"/>
  <c r="KH44" i="17" s="1"/>
  <c r="HI46" i="17"/>
  <c r="HJ46" i="17"/>
  <c r="KD46" i="17"/>
  <c r="HB46" i="17" s="1"/>
  <c r="HD46" i="17" s="1"/>
  <c r="KJ46" i="17" s="1"/>
  <c r="KE48" i="17"/>
  <c r="HP48" i="17"/>
  <c r="GP48" i="17"/>
  <c r="GQ48" i="17" s="1"/>
  <c r="GR48" i="17" s="1"/>
  <c r="KH48" i="17" s="1"/>
  <c r="HI50" i="17"/>
  <c r="HJ50" i="17"/>
  <c r="KD50" i="17"/>
  <c r="HB50" i="17" s="1"/>
  <c r="HD50" i="17" s="1"/>
  <c r="KJ50" i="17" s="1"/>
  <c r="KE52" i="17"/>
  <c r="HP52" i="17"/>
  <c r="GP52" i="17"/>
  <c r="GQ52" i="17" s="1"/>
  <c r="GR52" i="17" s="1"/>
  <c r="KH52" i="17" s="1"/>
  <c r="HI54" i="17"/>
  <c r="HJ54" i="17"/>
  <c r="KD54" i="17"/>
  <c r="HB54" i="17" s="1"/>
  <c r="HD54" i="17" s="1"/>
  <c r="KJ54" i="17" s="1"/>
  <c r="KE56" i="17"/>
  <c r="HP56" i="17"/>
  <c r="GP56" i="17"/>
  <c r="GQ56" i="17" s="1"/>
  <c r="GR56" i="17" s="1"/>
  <c r="KH56" i="17" s="1"/>
  <c r="KI58" i="17"/>
  <c r="FU17" i="17"/>
  <c r="GW17" i="17" s="1"/>
  <c r="GY17" i="17" s="1"/>
  <c r="KI17" i="17" s="1"/>
  <c r="KC17" i="17"/>
  <c r="HA17" i="17" s="1"/>
  <c r="HC17" i="17" s="1"/>
  <c r="FU19" i="17"/>
  <c r="GW19" i="17" s="1"/>
  <c r="GY19" i="17" s="1"/>
  <c r="KI19" i="17" s="1"/>
  <c r="KC19" i="17"/>
  <c r="HA19" i="17" s="1"/>
  <c r="HC19" i="17" s="1"/>
  <c r="FU21" i="17"/>
  <c r="GW21" i="17" s="1"/>
  <c r="GY21" i="17" s="1"/>
  <c r="KI21" i="17" s="1"/>
  <c r="KC21" i="17"/>
  <c r="HA21" i="17" s="1"/>
  <c r="HC21" i="17" s="1"/>
  <c r="FU23" i="17"/>
  <c r="GW23" i="17" s="1"/>
  <c r="GY23" i="17" s="1"/>
  <c r="KI23" i="17" s="1"/>
  <c r="KC23" i="17"/>
  <c r="HA23" i="17" s="1"/>
  <c r="HC23" i="17" s="1"/>
  <c r="FU25" i="17"/>
  <c r="GW25" i="17" s="1"/>
  <c r="GY25" i="17" s="1"/>
  <c r="KI25" i="17" s="1"/>
  <c r="KC25" i="17"/>
  <c r="HA25" i="17" s="1"/>
  <c r="HC25" i="17" s="1"/>
  <c r="FU27" i="17"/>
  <c r="GW27" i="17" s="1"/>
  <c r="GY27" i="17" s="1"/>
  <c r="KI27" i="17" s="1"/>
  <c r="KC27" i="17"/>
  <c r="HA27" i="17" s="1"/>
  <c r="HC27" i="17" s="1"/>
  <c r="FU29" i="17"/>
  <c r="GW29" i="17" s="1"/>
  <c r="GY29" i="17" s="1"/>
  <c r="KI29" i="17" s="1"/>
  <c r="KC29" i="17"/>
  <c r="HA29" i="17" s="1"/>
  <c r="HC29" i="17" s="1"/>
  <c r="FU31" i="17"/>
  <c r="GW31" i="17" s="1"/>
  <c r="GY31" i="17" s="1"/>
  <c r="KI31" i="17" s="1"/>
  <c r="KC31" i="17"/>
  <c r="HA31" i="17" s="1"/>
  <c r="HC31" i="17" s="1"/>
  <c r="FU33" i="17"/>
  <c r="GW33" i="17" s="1"/>
  <c r="GY33" i="17" s="1"/>
  <c r="KI33" i="17" s="1"/>
  <c r="KC33" i="17"/>
  <c r="HA33" i="17" s="1"/>
  <c r="HC33" i="17" s="1"/>
  <c r="FU35" i="17"/>
  <c r="GW35" i="17" s="1"/>
  <c r="GY35" i="17" s="1"/>
  <c r="KI35" i="17" s="1"/>
  <c r="KC35" i="17"/>
  <c r="HA35" i="17" s="1"/>
  <c r="HC35" i="17" s="1"/>
  <c r="FU37" i="17"/>
  <c r="GW37" i="17" s="1"/>
  <c r="GY37" i="17" s="1"/>
  <c r="KI37" i="17" s="1"/>
  <c r="KC37" i="17"/>
  <c r="HA37" i="17" s="1"/>
  <c r="HC37" i="17" s="1"/>
  <c r="FU39" i="17"/>
  <c r="GW39" i="17" s="1"/>
  <c r="GY39" i="17" s="1"/>
  <c r="KI39" i="17" s="1"/>
  <c r="KC39" i="17"/>
  <c r="HA39" i="17" s="1"/>
  <c r="HC39" i="17" s="1"/>
  <c r="FU41" i="17"/>
  <c r="GW41" i="17" s="1"/>
  <c r="GY41" i="17" s="1"/>
  <c r="KI41" i="17" s="1"/>
  <c r="KC41" i="17"/>
  <c r="HA41" i="17" s="1"/>
  <c r="HC41" i="17" s="1"/>
  <c r="FU43" i="17"/>
  <c r="GW43" i="17" s="1"/>
  <c r="GY43" i="17" s="1"/>
  <c r="KI43" i="17" s="1"/>
  <c r="KC43" i="17"/>
  <c r="HA43" i="17" s="1"/>
  <c r="HC43" i="17" s="1"/>
  <c r="FU45" i="17"/>
  <c r="GW45" i="17" s="1"/>
  <c r="GY45" i="17" s="1"/>
  <c r="KI45" i="17" s="1"/>
  <c r="KC45" i="17"/>
  <c r="HA45" i="17" s="1"/>
  <c r="HC45" i="17" s="1"/>
  <c r="FU47" i="17"/>
  <c r="GW47" i="17" s="1"/>
  <c r="GY47" i="17" s="1"/>
  <c r="KI47" i="17" s="1"/>
  <c r="KC47" i="17"/>
  <c r="HA47" i="17" s="1"/>
  <c r="HC47" i="17" s="1"/>
  <c r="FU49" i="17"/>
  <c r="GW49" i="17" s="1"/>
  <c r="GY49" i="17" s="1"/>
  <c r="KI49" i="17" s="1"/>
  <c r="KC49" i="17"/>
  <c r="HA49" i="17" s="1"/>
  <c r="HC49" i="17" s="1"/>
  <c r="FU51" i="17"/>
  <c r="GW51" i="17" s="1"/>
  <c r="GY51" i="17" s="1"/>
  <c r="KI51" i="17" s="1"/>
  <c r="KC51" i="17"/>
  <c r="HA51" i="17" s="1"/>
  <c r="HC51" i="17" s="1"/>
  <c r="FU53" i="17"/>
  <c r="GW53" i="17" s="1"/>
  <c r="GY53" i="17" s="1"/>
  <c r="KI53" i="17" s="1"/>
  <c r="KC53" i="17"/>
  <c r="HA53" i="17" s="1"/>
  <c r="HC53" i="17" s="1"/>
  <c r="FU55" i="17"/>
  <c r="GW55" i="17" s="1"/>
  <c r="GY55" i="17" s="1"/>
  <c r="KI55" i="17" s="1"/>
  <c r="KC55" i="17"/>
  <c r="HA55" i="17" s="1"/>
  <c r="HC55" i="17" s="1"/>
  <c r="FR19" i="17"/>
  <c r="FX19" i="17" s="1"/>
  <c r="FM19" i="17"/>
  <c r="HN23" i="17"/>
  <c r="HL23" i="17"/>
  <c r="FX23" i="17"/>
  <c r="KD23" i="17"/>
  <c r="FR27" i="17"/>
  <c r="FX27" i="17" s="1"/>
  <c r="FM27" i="17"/>
  <c r="HN31" i="17"/>
  <c r="HL31" i="17"/>
  <c r="FX31" i="17"/>
  <c r="KD31" i="17"/>
  <c r="FR35" i="17"/>
  <c r="FX35" i="17" s="1"/>
  <c r="FM35" i="17"/>
  <c r="HN39" i="17"/>
  <c r="HL39" i="17"/>
  <c r="FX39" i="17"/>
  <c r="KD39" i="17"/>
  <c r="FR43" i="17"/>
  <c r="FX43" i="17" s="1"/>
  <c r="FM43" i="17"/>
  <c r="HN47" i="17"/>
  <c r="HL47" i="17"/>
  <c r="FX47" i="17"/>
  <c r="KD47" i="17"/>
  <c r="FR51" i="17"/>
  <c r="FX51" i="17" s="1"/>
  <c r="FM51" i="17"/>
  <c r="HN55" i="17"/>
  <c r="HL55" i="17"/>
  <c r="FX55" i="17"/>
  <c r="KD55" i="17"/>
  <c r="FU62" i="17"/>
  <c r="GW62" i="17" s="1"/>
  <c r="GY62" i="17" s="1"/>
  <c r="KI62" i="17" s="1"/>
  <c r="KC62" i="17"/>
  <c r="HA62" i="17" s="1"/>
  <c r="HC62" i="17" s="1"/>
  <c r="KJ62" i="17"/>
  <c r="FU66" i="17"/>
  <c r="GW66" i="17" s="1"/>
  <c r="GY66" i="17" s="1"/>
  <c r="KC66" i="17"/>
  <c r="HA66" i="17" s="1"/>
  <c r="HC66" i="17" s="1"/>
  <c r="KJ66" i="17"/>
  <c r="FU70" i="17"/>
  <c r="GW70" i="17" s="1"/>
  <c r="GY70" i="17" s="1"/>
  <c r="KI70" i="17" s="1"/>
  <c r="KC70" i="17"/>
  <c r="HA70" i="17" s="1"/>
  <c r="HC70" i="17" s="1"/>
  <c r="KJ70" i="17"/>
  <c r="FU74" i="17"/>
  <c r="GW74" i="17" s="1"/>
  <c r="GY74" i="17" s="1"/>
  <c r="KC74" i="17"/>
  <c r="HA74" i="17" s="1"/>
  <c r="HC74" i="17" s="1"/>
  <c r="KJ74" i="17"/>
  <c r="FU78" i="17"/>
  <c r="GW78" i="17" s="1"/>
  <c r="GY78" i="17" s="1"/>
  <c r="KI78" i="17" s="1"/>
  <c r="KC78" i="17"/>
  <c r="HA78" i="17" s="1"/>
  <c r="HC78" i="17" s="1"/>
  <c r="KJ78" i="17"/>
  <c r="KD80" i="17"/>
  <c r="HB80" i="17" s="1"/>
  <c r="HD80" i="17" s="1"/>
  <c r="FV80" i="17"/>
  <c r="GX80" i="17" s="1"/>
  <c r="GZ80" i="17" s="1"/>
  <c r="KJ80" i="17" s="1"/>
  <c r="FU61" i="17"/>
  <c r="GW61" i="17" s="1"/>
  <c r="GY61" i="17" s="1"/>
  <c r="KC61" i="17"/>
  <c r="HA61" i="17" s="1"/>
  <c r="HC61" i="17" s="1"/>
  <c r="FU63" i="17"/>
  <c r="GW63" i="17" s="1"/>
  <c r="GY63" i="17" s="1"/>
  <c r="KC63" i="17"/>
  <c r="HA63" i="17" s="1"/>
  <c r="HC63" i="17" s="1"/>
  <c r="FU65" i="17"/>
  <c r="GW65" i="17" s="1"/>
  <c r="GY65" i="17" s="1"/>
  <c r="KC65" i="17"/>
  <c r="HA65" i="17" s="1"/>
  <c r="HC65" i="17" s="1"/>
  <c r="FU67" i="17"/>
  <c r="GW67" i="17" s="1"/>
  <c r="GY67" i="17" s="1"/>
  <c r="KC67" i="17"/>
  <c r="HA67" i="17" s="1"/>
  <c r="HC67" i="17" s="1"/>
  <c r="FU69" i="17"/>
  <c r="GW69" i="17" s="1"/>
  <c r="GY69" i="17" s="1"/>
  <c r="KC69" i="17"/>
  <c r="HA69" i="17" s="1"/>
  <c r="HC69" i="17" s="1"/>
  <c r="FU71" i="17"/>
  <c r="GW71" i="17" s="1"/>
  <c r="GY71" i="17" s="1"/>
  <c r="KC71" i="17"/>
  <c r="HA71" i="17" s="1"/>
  <c r="HC71" i="17" s="1"/>
  <c r="FU73" i="17"/>
  <c r="GW73" i="17" s="1"/>
  <c r="GY73" i="17" s="1"/>
  <c r="KC73" i="17"/>
  <c r="HA73" i="17" s="1"/>
  <c r="HC73" i="17" s="1"/>
  <c r="FU75" i="17"/>
  <c r="GW75" i="17" s="1"/>
  <c r="GY75" i="17" s="1"/>
  <c r="KC75" i="17"/>
  <c r="HA75" i="17" s="1"/>
  <c r="HC75" i="17" s="1"/>
  <c r="FU77" i="17"/>
  <c r="GW77" i="17" s="1"/>
  <c r="GY77" i="17" s="1"/>
  <c r="KC77" i="17"/>
  <c r="HA77" i="17" s="1"/>
  <c r="HC77" i="17" s="1"/>
  <c r="FU79" i="17"/>
  <c r="GW79" i="17" s="1"/>
  <c r="GY79" i="17" s="1"/>
  <c r="KC79" i="17"/>
  <c r="HA79" i="17" s="1"/>
  <c r="HC79" i="17" s="1"/>
  <c r="HI81" i="17"/>
  <c r="HJ81" i="17"/>
  <c r="HN63" i="17"/>
  <c r="HL63" i="17"/>
  <c r="FX63" i="17"/>
  <c r="KD63" i="17"/>
  <c r="HB63" i="17" s="1"/>
  <c r="HD63" i="17" s="1"/>
  <c r="KJ63" i="17" s="1"/>
  <c r="FR67" i="17"/>
  <c r="FM67" i="17"/>
  <c r="HN71" i="17"/>
  <c r="HL71" i="17"/>
  <c r="FX71" i="17"/>
  <c r="KD71" i="17"/>
  <c r="HB71" i="17" s="1"/>
  <c r="HD71" i="17" s="1"/>
  <c r="KJ71" i="17" s="1"/>
  <c r="FR75" i="17"/>
  <c r="FM75" i="17"/>
  <c r="HN79" i="17"/>
  <c r="HL79" i="17"/>
  <c r="FX79" i="17"/>
  <c r="KD79" i="17"/>
  <c r="HB79" i="17" s="1"/>
  <c r="HD79" i="17" s="1"/>
  <c r="KJ79" i="17" s="1"/>
  <c r="HI82" i="17"/>
  <c r="HJ82" i="17"/>
  <c r="KD82" i="17"/>
  <c r="HB82" i="17" s="1"/>
  <c r="HD82" i="17" s="1"/>
  <c r="KJ82" i="17" s="1"/>
  <c r="FV83" i="17"/>
  <c r="GX83" i="17" s="1"/>
  <c r="GZ83" i="17" s="1"/>
  <c r="FV85" i="17"/>
  <c r="GX85" i="17" s="1"/>
  <c r="GZ85" i="17" s="1"/>
  <c r="FV87" i="17"/>
  <c r="GX87" i="17" s="1"/>
  <c r="GZ87" i="17" s="1"/>
  <c r="FV89" i="17"/>
  <c r="GX89" i="17" s="1"/>
  <c r="GZ89" i="17" s="1"/>
  <c r="FV91" i="17"/>
  <c r="GX91" i="17" s="1"/>
  <c r="GZ91" i="17" s="1"/>
  <c r="FV93" i="17"/>
  <c r="GX93" i="17" s="1"/>
  <c r="GZ93" i="17" s="1"/>
  <c r="FV95" i="17"/>
  <c r="GX95" i="17" s="1"/>
  <c r="GZ95" i="17" s="1"/>
  <c r="FV97" i="17"/>
  <c r="GX97" i="17" s="1"/>
  <c r="GZ97" i="17" s="1"/>
  <c r="FV99" i="17"/>
  <c r="GX99" i="17" s="1"/>
  <c r="GZ99" i="17" s="1"/>
  <c r="FV101" i="17"/>
  <c r="GX101" i="17" s="1"/>
  <c r="GZ101" i="17" s="1"/>
  <c r="FV103" i="17"/>
  <c r="GX103" i="17" s="1"/>
  <c r="GZ103" i="17" s="1"/>
  <c r="KE81" i="17"/>
  <c r="HP81" i="17"/>
  <c r="GP81" i="17"/>
  <c r="GQ81" i="17" s="1"/>
  <c r="GR81" i="17" s="1"/>
  <c r="KH81" i="17" s="1"/>
  <c r="FU83" i="17"/>
  <c r="GW83" i="17" s="1"/>
  <c r="GY83" i="17" s="1"/>
  <c r="KI83" i="17" s="1"/>
  <c r="KC83" i="17"/>
  <c r="HA83" i="17" s="1"/>
  <c r="HC83" i="17" s="1"/>
  <c r="KE84" i="17"/>
  <c r="HP84" i="17"/>
  <c r="GP84" i="17"/>
  <c r="GQ84" i="17" s="1"/>
  <c r="GR84" i="17" s="1"/>
  <c r="KH84" i="17" s="1"/>
  <c r="FU85" i="17"/>
  <c r="GW85" i="17" s="1"/>
  <c r="GY85" i="17" s="1"/>
  <c r="KC85" i="17"/>
  <c r="HA85" i="17" s="1"/>
  <c r="HC85" i="17" s="1"/>
  <c r="KE86" i="17"/>
  <c r="HP86" i="17"/>
  <c r="GP86" i="17"/>
  <c r="GQ86" i="17" s="1"/>
  <c r="GR86" i="17" s="1"/>
  <c r="KH86" i="17" s="1"/>
  <c r="FU87" i="17"/>
  <c r="GW87" i="17" s="1"/>
  <c r="GY87" i="17" s="1"/>
  <c r="KI87" i="17" s="1"/>
  <c r="KC87" i="17"/>
  <c r="HA87" i="17" s="1"/>
  <c r="HC87" i="17" s="1"/>
  <c r="KE88" i="17"/>
  <c r="HP88" i="17"/>
  <c r="GP88" i="17"/>
  <c r="GQ88" i="17" s="1"/>
  <c r="GR88" i="17" s="1"/>
  <c r="KH88" i="17" s="1"/>
  <c r="FU89" i="17"/>
  <c r="GW89" i="17" s="1"/>
  <c r="GY89" i="17" s="1"/>
  <c r="KC89" i="17"/>
  <c r="HA89" i="17" s="1"/>
  <c r="HC89" i="17" s="1"/>
  <c r="KE90" i="17"/>
  <c r="HP90" i="17"/>
  <c r="GP90" i="17"/>
  <c r="GQ90" i="17" s="1"/>
  <c r="GR90" i="17" s="1"/>
  <c r="KH90" i="17" s="1"/>
  <c r="FU91" i="17"/>
  <c r="GW91" i="17" s="1"/>
  <c r="GY91" i="17" s="1"/>
  <c r="KI91" i="17" s="1"/>
  <c r="KC91" i="17"/>
  <c r="HA91" i="17" s="1"/>
  <c r="HC91" i="17" s="1"/>
  <c r="KE92" i="17"/>
  <c r="HP92" i="17"/>
  <c r="GP92" i="17"/>
  <c r="GQ92" i="17" s="1"/>
  <c r="GR92" i="17" s="1"/>
  <c r="KH92" i="17" s="1"/>
  <c r="FU93" i="17"/>
  <c r="GW93" i="17" s="1"/>
  <c r="GY93" i="17" s="1"/>
  <c r="KC93" i="17"/>
  <c r="HA93" i="17" s="1"/>
  <c r="HC93" i="17" s="1"/>
  <c r="KE94" i="17"/>
  <c r="HP94" i="17"/>
  <c r="GP94" i="17"/>
  <c r="GQ94" i="17" s="1"/>
  <c r="GR94" i="17" s="1"/>
  <c r="KH94" i="17" s="1"/>
  <c r="FU95" i="17"/>
  <c r="GW95" i="17" s="1"/>
  <c r="GY95" i="17" s="1"/>
  <c r="KI95" i="17" s="1"/>
  <c r="KC95" i="17"/>
  <c r="HA95" i="17" s="1"/>
  <c r="HC95" i="17" s="1"/>
  <c r="KE96" i="17"/>
  <c r="HP96" i="17"/>
  <c r="GP96" i="17"/>
  <c r="GQ96" i="17" s="1"/>
  <c r="GR96" i="17" s="1"/>
  <c r="KH96" i="17" s="1"/>
  <c r="FU97" i="17"/>
  <c r="GW97" i="17" s="1"/>
  <c r="GY97" i="17" s="1"/>
  <c r="KC97" i="17"/>
  <c r="HA97" i="17" s="1"/>
  <c r="HC97" i="17" s="1"/>
  <c r="KE98" i="17"/>
  <c r="HP98" i="17"/>
  <c r="GP98" i="17"/>
  <c r="GQ98" i="17" s="1"/>
  <c r="GR98" i="17" s="1"/>
  <c r="KH98" i="17" s="1"/>
  <c r="FU99" i="17"/>
  <c r="GW99" i="17" s="1"/>
  <c r="GY99" i="17" s="1"/>
  <c r="KI99" i="17" s="1"/>
  <c r="KC99" i="17"/>
  <c r="HA99" i="17" s="1"/>
  <c r="HC99" i="17" s="1"/>
  <c r="KE100" i="17"/>
  <c r="HP100" i="17"/>
  <c r="GP100" i="17"/>
  <c r="GQ100" i="17" s="1"/>
  <c r="GR100" i="17" s="1"/>
  <c r="KH100" i="17" s="1"/>
  <c r="FU101" i="17"/>
  <c r="GW101" i="17" s="1"/>
  <c r="GY101" i="17" s="1"/>
  <c r="KC101" i="17"/>
  <c r="HA101" i="17" s="1"/>
  <c r="HC101" i="17" s="1"/>
  <c r="KE102" i="17"/>
  <c r="HP102" i="17"/>
  <c r="GP102" i="17"/>
  <c r="GQ102" i="17" s="1"/>
  <c r="GR102" i="17" s="1"/>
  <c r="KH102" i="17" s="1"/>
  <c r="FV114" i="17"/>
  <c r="GX114" i="17" s="1"/>
  <c r="GZ114" i="17" s="1"/>
  <c r="FU104" i="17"/>
  <c r="GW104" i="17" s="1"/>
  <c r="GY104" i="17" s="1"/>
  <c r="KC104" i="17"/>
  <c r="HA104" i="17" s="1"/>
  <c r="HC104" i="17" s="1"/>
  <c r="KE105" i="17"/>
  <c r="HP105" i="17"/>
  <c r="GP105" i="17"/>
  <c r="GQ105" i="17" s="1"/>
  <c r="GR105" i="17" s="1"/>
  <c r="KH105" i="17" s="1"/>
  <c r="FU106" i="17"/>
  <c r="GW106" i="17" s="1"/>
  <c r="GY106" i="17" s="1"/>
  <c r="KC106" i="17"/>
  <c r="HA106" i="17" s="1"/>
  <c r="HC106" i="17" s="1"/>
  <c r="KE107" i="17"/>
  <c r="HP107" i="17"/>
  <c r="GP107" i="17"/>
  <c r="GQ107" i="17" s="1"/>
  <c r="GR107" i="17" s="1"/>
  <c r="KH107" i="17" s="1"/>
  <c r="FU108" i="17"/>
  <c r="GW108" i="17" s="1"/>
  <c r="GY108" i="17" s="1"/>
  <c r="KC108" i="17"/>
  <c r="HA108" i="17" s="1"/>
  <c r="HC108" i="17" s="1"/>
  <c r="KE109" i="17"/>
  <c r="HP109" i="17"/>
  <c r="GP109" i="17"/>
  <c r="GQ109" i="17" s="1"/>
  <c r="GR109" i="17" s="1"/>
  <c r="KH109" i="17" s="1"/>
  <c r="FU110" i="17"/>
  <c r="GW110" i="17" s="1"/>
  <c r="GY110" i="17" s="1"/>
  <c r="KC110" i="17"/>
  <c r="HA110" i="17" s="1"/>
  <c r="HC110" i="17" s="1"/>
  <c r="KE111" i="17"/>
  <c r="HP111" i="17"/>
  <c r="GP111" i="17"/>
  <c r="GQ111" i="17" s="1"/>
  <c r="GR111" i="17" s="1"/>
  <c r="KH111" i="17" s="1"/>
  <c r="FU112" i="17"/>
  <c r="GW112" i="17" s="1"/>
  <c r="GY112" i="17" s="1"/>
  <c r="KC112" i="17"/>
  <c r="HA112" i="17" s="1"/>
  <c r="HC112" i="17" s="1"/>
  <c r="KE113" i="17"/>
  <c r="HP113" i="17"/>
  <c r="GP113" i="17"/>
  <c r="GQ113" i="17" s="1"/>
  <c r="GR113" i="17" s="1"/>
  <c r="KH113" i="17" s="1"/>
  <c r="FR104" i="17"/>
  <c r="FX104" i="17" s="1"/>
  <c r="FM104" i="17"/>
  <c r="HN106" i="17"/>
  <c r="HL106" i="17"/>
  <c r="FX106" i="17"/>
  <c r="KD106" i="17"/>
  <c r="FR108" i="17"/>
  <c r="FX108" i="17" s="1"/>
  <c r="FM108" i="17"/>
  <c r="HN110" i="17"/>
  <c r="HL110" i="17"/>
  <c r="FX110" i="17"/>
  <c r="KD110" i="17"/>
  <c r="FR112" i="17"/>
  <c r="FX112" i="17" s="1"/>
  <c r="FM112" i="17"/>
  <c r="HJ115" i="17"/>
  <c r="HI115" i="17"/>
  <c r="KE115" i="17"/>
  <c r="HP115" i="17"/>
  <c r="GP115" i="17"/>
  <c r="GQ115" i="17" s="1"/>
  <c r="GR115" i="17" s="1"/>
  <c r="KH115" i="17" s="1"/>
  <c r="KD115" i="17"/>
  <c r="HB115" i="17" s="1"/>
  <c r="HD115" i="17" s="1"/>
  <c r="HJ117" i="17"/>
  <c r="HI117" i="17"/>
  <c r="KD117" i="17"/>
  <c r="HB117" i="17" s="1"/>
  <c r="HD117" i="17" s="1"/>
  <c r="KJ117" i="17" s="1"/>
  <c r="FV118" i="17"/>
  <c r="GX118" i="17" s="1"/>
  <c r="GZ118" i="17" s="1"/>
  <c r="HI120" i="17"/>
  <c r="HJ120" i="17"/>
  <c r="HI122" i="17"/>
  <c r="HJ122" i="17"/>
  <c r="KD118" i="17"/>
  <c r="HB118" i="17" s="1"/>
  <c r="HD118" i="17" s="1"/>
  <c r="KD122" i="17"/>
  <c r="HB122" i="17" s="1"/>
  <c r="HD122" i="17" s="1"/>
  <c r="KJ122" i="17" s="1"/>
  <c r="DH5" i="4"/>
  <c r="DI5" i="4" s="1"/>
  <c r="GH5" i="4" s="1"/>
  <c r="EV5" i="4"/>
  <c r="FW5" i="4" s="1"/>
  <c r="GC9" i="4"/>
  <c r="GA9" i="4"/>
  <c r="BC9" i="4"/>
  <c r="BA9" i="4"/>
  <c r="FV115" i="17"/>
  <c r="GX115" i="17" s="1"/>
  <c r="GZ115" i="17" s="1"/>
  <c r="GC4" i="4"/>
  <c r="GA4" i="4"/>
  <c r="BC4" i="4"/>
  <c r="BA4" i="4"/>
  <c r="DH13" i="4"/>
  <c r="DI13" i="4" s="1"/>
  <c r="GH13" i="4" s="1"/>
  <c r="EV13" i="4"/>
  <c r="FW13" i="4" s="1"/>
  <c r="GC14" i="4"/>
  <c r="GA14" i="4"/>
  <c r="BC14" i="4"/>
  <c r="BA14" i="4"/>
  <c r="HN123" i="17" l="1"/>
  <c r="KJ118" i="17"/>
  <c r="HB110" i="17"/>
  <c r="HD110" i="17" s="1"/>
  <c r="KJ110" i="17" s="1"/>
  <c r="HB106" i="17"/>
  <c r="HD106" i="17" s="1"/>
  <c r="KJ106" i="17" s="1"/>
  <c r="KI112" i="17"/>
  <c r="KI108" i="17"/>
  <c r="KI104" i="17"/>
  <c r="FX75" i="17"/>
  <c r="FX67" i="17"/>
  <c r="HL123" i="17"/>
  <c r="FR123" i="17"/>
  <c r="KI7" i="17"/>
  <c r="KJ121" i="17"/>
  <c r="HB99" i="17"/>
  <c r="HD99" i="17" s="1"/>
  <c r="KJ99" i="17" s="1"/>
  <c r="HB95" i="17"/>
  <c r="HD95" i="17" s="1"/>
  <c r="KJ95" i="17" s="1"/>
  <c r="HB91" i="17"/>
  <c r="HD91" i="17" s="1"/>
  <c r="KJ91" i="17" s="1"/>
  <c r="HB87" i="17"/>
  <c r="HD87" i="17" s="1"/>
  <c r="KJ87" i="17" s="1"/>
  <c r="HB83" i="17"/>
  <c r="HD83" i="17" s="1"/>
  <c r="KJ83" i="17" s="1"/>
  <c r="HB73" i="17"/>
  <c r="HD73" i="17" s="1"/>
  <c r="KJ73" i="17" s="1"/>
  <c r="HB65" i="17"/>
  <c r="HD65" i="17" s="1"/>
  <c r="KJ65" i="17" s="1"/>
  <c r="HB59" i="17"/>
  <c r="HD59" i="17" s="1"/>
  <c r="KI11" i="17"/>
  <c r="KI76" i="17"/>
  <c r="KI72" i="17"/>
  <c r="KI68" i="17"/>
  <c r="KI64" i="17"/>
  <c r="KI60" i="17"/>
  <c r="KI6" i="17"/>
  <c r="GO5" i="4"/>
  <c r="GK5" i="4"/>
  <c r="KE108" i="17"/>
  <c r="HP108" i="17"/>
  <c r="GP108" i="17"/>
  <c r="GQ108" i="17" s="1"/>
  <c r="GR108" i="17" s="1"/>
  <c r="KH108" i="17" s="1"/>
  <c r="KE75" i="17"/>
  <c r="HP75" i="17"/>
  <c r="GP75" i="17"/>
  <c r="GQ75" i="17" s="1"/>
  <c r="GR75" i="17" s="1"/>
  <c r="KH75" i="17" s="1"/>
  <c r="KE67" i="17"/>
  <c r="HP67" i="17"/>
  <c r="GP67" i="17"/>
  <c r="GQ67" i="17" s="1"/>
  <c r="GR67" i="17" s="1"/>
  <c r="KH67" i="17" s="1"/>
  <c r="KE10" i="17"/>
  <c r="HP10" i="17"/>
  <c r="GP10" i="17"/>
  <c r="GQ10" i="17" s="1"/>
  <c r="GR10" i="17" s="1"/>
  <c r="KH10" i="17" s="1"/>
  <c r="KD123" i="17"/>
  <c r="HB5" i="17"/>
  <c r="GO10" i="4"/>
  <c r="GK10" i="4"/>
  <c r="GO8" i="4"/>
  <c r="GK8" i="4"/>
  <c r="GN16" i="4"/>
  <c r="GL16" i="4"/>
  <c r="GN15" i="4"/>
  <c r="GL15" i="4"/>
  <c r="GN11" i="4"/>
  <c r="GL11" i="4"/>
  <c r="KE101" i="17"/>
  <c r="HP101" i="17"/>
  <c r="GP101" i="17"/>
  <c r="GQ101" i="17" s="1"/>
  <c r="GR101" i="17" s="1"/>
  <c r="KH101" i="17" s="1"/>
  <c r="KE97" i="17"/>
  <c r="HP97" i="17"/>
  <c r="GP97" i="17"/>
  <c r="GQ97" i="17" s="1"/>
  <c r="GR97" i="17" s="1"/>
  <c r="KH97" i="17" s="1"/>
  <c r="KE93" i="17"/>
  <c r="HP93" i="17"/>
  <c r="GP93" i="17"/>
  <c r="GQ93" i="17" s="1"/>
  <c r="GR93" i="17" s="1"/>
  <c r="KH93" i="17" s="1"/>
  <c r="KE89" i="17"/>
  <c r="HP89" i="17"/>
  <c r="GP89" i="17"/>
  <c r="GQ89" i="17" s="1"/>
  <c r="GR89" i="17" s="1"/>
  <c r="KH89" i="17" s="1"/>
  <c r="KE85" i="17"/>
  <c r="HP85" i="17"/>
  <c r="GP85" i="17"/>
  <c r="GQ85" i="17" s="1"/>
  <c r="GR85" i="17" s="1"/>
  <c r="KH85" i="17" s="1"/>
  <c r="KE77" i="17"/>
  <c r="HP77" i="17"/>
  <c r="GP77" i="17"/>
  <c r="GQ77" i="17" s="1"/>
  <c r="GR77" i="17" s="1"/>
  <c r="KH77" i="17" s="1"/>
  <c r="KE69" i="17"/>
  <c r="HP69" i="17"/>
  <c r="GP69" i="17"/>
  <c r="GQ69" i="17" s="1"/>
  <c r="GR69" i="17" s="1"/>
  <c r="KH69" i="17" s="1"/>
  <c r="KE61" i="17"/>
  <c r="HP61" i="17"/>
  <c r="GP61" i="17"/>
  <c r="GQ61" i="17" s="1"/>
  <c r="GR61" i="17" s="1"/>
  <c r="KH61" i="17" s="1"/>
  <c r="GO14" i="4"/>
  <c r="GK14" i="4"/>
  <c r="GO4" i="4"/>
  <c r="GK4" i="4"/>
  <c r="GO9" i="4"/>
  <c r="GK9" i="4"/>
  <c r="HB112" i="17"/>
  <c r="HD112" i="17" s="1"/>
  <c r="KJ112" i="17" s="1"/>
  <c r="KE110" i="17"/>
  <c r="HP110" i="17"/>
  <c r="GP110" i="17"/>
  <c r="GQ110" i="17" s="1"/>
  <c r="GR110" i="17" s="1"/>
  <c r="KH110" i="17" s="1"/>
  <c r="HB108" i="17"/>
  <c r="HD108" i="17" s="1"/>
  <c r="KJ108" i="17" s="1"/>
  <c r="KE106" i="17"/>
  <c r="HP106" i="17"/>
  <c r="GP106" i="17"/>
  <c r="GQ106" i="17" s="1"/>
  <c r="GR106" i="17" s="1"/>
  <c r="KH106" i="17" s="1"/>
  <c r="HB104" i="17"/>
  <c r="HD104" i="17" s="1"/>
  <c r="KJ104" i="17" s="1"/>
  <c r="KJ59" i="17"/>
  <c r="GN10" i="4"/>
  <c r="GL10" i="4"/>
  <c r="GN8" i="4"/>
  <c r="GL8" i="4"/>
  <c r="GN12" i="4"/>
  <c r="GL12" i="4"/>
  <c r="GN6" i="4"/>
  <c r="GL6" i="4"/>
  <c r="GN7" i="4"/>
  <c r="GL7" i="4"/>
  <c r="HB114" i="17"/>
  <c r="HD114" i="17" s="1"/>
  <c r="KI118" i="17"/>
  <c r="KI116" i="17"/>
  <c r="KE103" i="17"/>
  <c r="HP103" i="17"/>
  <c r="GP103" i="17"/>
  <c r="GQ103" i="17" s="1"/>
  <c r="GR103" i="17" s="1"/>
  <c r="KH103" i="17" s="1"/>
  <c r="HB101" i="17"/>
  <c r="HD101" i="17" s="1"/>
  <c r="KE99" i="17"/>
  <c r="HP99" i="17"/>
  <c r="GP99" i="17"/>
  <c r="GQ99" i="17" s="1"/>
  <c r="GR99" i="17" s="1"/>
  <c r="KH99" i="17" s="1"/>
  <c r="HB97" i="17"/>
  <c r="HD97" i="17" s="1"/>
  <c r="KE95" i="17"/>
  <c r="HP95" i="17"/>
  <c r="GP95" i="17"/>
  <c r="GQ95" i="17" s="1"/>
  <c r="GR95" i="17" s="1"/>
  <c r="KH95" i="17" s="1"/>
  <c r="HB93" i="17"/>
  <c r="HD93" i="17" s="1"/>
  <c r="KE91" i="17"/>
  <c r="HP91" i="17"/>
  <c r="GP91" i="17"/>
  <c r="GQ91" i="17" s="1"/>
  <c r="GR91" i="17" s="1"/>
  <c r="KH91" i="17" s="1"/>
  <c r="HB89" i="17"/>
  <c r="HD89" i="17" s="1"/>
  <c r="KE87" i="17"/>
  <c r="HP87" i="17"/>
  <c r="GP87" i="17"/>
  <c r="GQ87" i="17" s="1"/>
  <c r="GR87" i="17" s="1"/>
  <c r="KH87" i="17" s="1"/>
  <c r="HB85" i="17"/>
  <c r="HD85" i="17" s="1"/>
  <c r="KE83" i="17"/>
  <c r="HP83" i="17"/>
  <c r="GP83" i="17"/>
  <c r="GQ83" i="17" s="1"/>
  <c r="GR83" i="17" s="1"/>
  <c r="KH83" i="17" s="1"/>
  <c r="HB77" i="17"/>
  <c r="HD77" i="17" s="1"/>
  <c r="KJ77" i="17" s="1"/>
  <c r="KE73" i="17"/>
  <c r="HP73" i="17"/>
  <c r="GP73" i="17"/>
  <c r="GQ73" i="17" s="1"/>
  <c r="GR73" i="17" s="1"/>
  <c r="KH73" i="17" s="1"/>
  <c r="HB69" i="17"/>
  <c r="HD69" i="17" s="1"/>
  <c r="KJ69" i="17" s="1"/>
  <c r="KE65" i="17"/>
  <c r="HP65" i="17"/>
  <c r="GP65" i="17"/>
  <c r="GQ65" i="17" s="1"/>
  <c r="GR65" i="17" s="1"/>
  <c r="KH65" i="17" s="1"/>
  <c r="HB61" i="17"/>
  <c r="HD61" i="17" s="1"/>
  <c r="KJ61" i="17" s="1"/>
  <c r="KE59" i="17"/>
  <c r="HP59" i="17"/>
  <c r="GP59" i="17"/>
  <c r="GQ59" i="17" s="1"/>
  <c r="GR59" i="17" s="1"/>
  <c r="KH59" i="17" s="1"/>
  <c r="KI80" i="17"/>
  <c r="KE15" i="17"/>
  <c r="HP15" i="17"/>
  <c r="GP15" i="17"/>
  <c r="GQ15" i="17" s="1"/>
  <c r="GR15" i="17" s="1"/>
  <c r="KH15" i="17" s="1"/>
  <c r="KI9" i="17"/>
  <c r="HI123" i="17"/>
  <c r="KI24" i="17"/>
  <c r="KI20" i="17"/>
  <c r="KI16" i="17"/>
  <c r="KE8" i="17"/>
  <c r="HP8" i="17"/>
  <c r="GP8" i="17"/>
  <c r="GQ8" i="17" s="1"/>
  <c r="GR8" i="17" s="1"/>
  <c r="KH8" i="17" s="1"/>
  <c r="KJ9" i="17"/>
  <c r="GQ5" i="17"/>
  <c r="GR5" i="17" s="1"/>
  <c r="KH5" i="17" s="1"/>
  <c r="FM123" i="17"/>
  <c r="FU123" i="17"/>
  <c r="GW5" i="17"/>
  <c r="GN14" i="4"/>
  <c r="GL14" i="4"/>
  <c r="GN4" i="4"/>
  <c r="GL4" i="4"/>
  <c r="KE112" i="17"/>
  <c r="HP112" i="17"/>
  <c r="GP112" i="17"/>
  <c r="GQ112" i="17" s="1"/>
  <c r="GR112" i="17" s="1"/>
  <c r="KH112" i="17" s="1"/>
  <c r="KE104" i="17"/>
  <c r="HP104" i="17"/>
  <c r="GP104" i="17"/>
  <c r="GQ104" i="17" s="1"/>
  <c r="GR104" i="17" s="1"/>
  <c r="KH104" i="17" s="1"/>
  <c r="GO13" i="4"/>
  <c r="GK13" i="4"/>
  <c r="KJ115" i="17"/>
  <c r="GN9" i="4"/>
  <c r="GL9" i="4"/>
  <c r="KI110" i="17"/>
  <c r="KI106" i="17"/>
  <c r="KJ114" i="17"/>
  <c r="KI101" i="17"/>
  <c r="KI97" i="17"/>
  <c r="KI93" i="17"/>
  <c r="KI89" i="17"/>
  <c r="KI85" i="17"/>
  <c r="KJ101" i="17"/>
  <c r="KJ97" i="17"/>
  <c r="KJ93" i="17"/>
  <c r="KJ89" i="17"/>
  <c r="KJ85" i="17"/>
  <c r="KI79" i="17"/>
  <c r="KI77" i="17"/>
  <c r="KI75" i="17"/>
  <c r="KI73" i="17"/>
  <c r="KI71" i="17"/>
  <c r="KI69" i="17"/>
  <c r="KI67" i="17"/>
  <c r="KI65" i="17"/>
  <c r="KI63" i="17"/>
  <c r="KI61" i="17"/>
  <c r="KI74" i="17"/>
  <c r="KI66" i="17"/>
  <c r="HB55" i="17"/>
  <c r="HD55" i="17" s="1"/>
  <c r="KJ55" i="17" s="1"/>
  <c r="KE51" i="17"/>
  <c r="HP51" i="17"/>
  <c r="GP51" i="17"/>
  <c r="GQ51" i="17" s="1"/>
  <c r="GR51" i="17" s="1"/>
  <c r="KH51" i="17" s="1"/>
  <c r="HB47" i="17"/>
  <c r="HD47" i="17" s="1"/>
  <c r="KJ47" i="17" s="1"/>
  <c r="KE43" i="17"/>
  <c r="HP43" i="17"/>
  <c r="GP43" i="17"/>
  <c r="GQ43" i="17" s="1"/>
  <c r="GR43" i="17" s="1"/>
  <c r="KH43" i="17" s="1"/>
  <c r="HB39" i="17"/>
  <c r="HD39" i="17" s="1"/>
  <c r="KJ39" i="17" s="1"/>
  <c r="KE35" i="17"/>
  <c r="HP35" i="17"/>
  <c r="GP35" i="17"/>
  <c r="GQ35" i="17" s="1"/>
  <c r="GR35" i="17" s="1"/>
  <c r="KH35" i="17" s="1"/>
  <c r="HB31" i="17"/>
  <c r="HD31" i="17" s="1"/>
  <c r="KJ31" i="17" s="1"/>
  <c r="KE27" i="17"/>
  <c r="HP27" i="17"/>
  <c r="GP27" i="17"/>
  <c r="GQ27" i="17" s="1"/>
  <c r="GR27" i="17" s="1"/>
  <c r="KH27" i="17" s="1"/>
  <c r="HB23" i="17"/>
  <c r="HD23" i="17" s="1"/>
  <c r="KJ23" i="17" s="1"/>
  <c r="KE19" i="17"/>
  <c r="HP19" i="17"/>
  <c r="GP19" i="17"/>
  <c r="GQ19" i="17" s="1"/>
  <c r="GR19" i="17" s="1"/>
  <c r="KH19" i="17" s="1"/>
  <c r="KI15" i="17"/>
  <c r="FV123" i="17"/>
  <c r="GX5" i="17"/>
  <c r="GN18" i="4"/>
  <c r="GL18" i="4"/>
  <c r="GN17" i="4"/>
  <c r="GL17" i="4"/>
  <c r="GK12" i="4"/>
  <c r="GO12" i="4"/>
  <c r="GO6" i="4"/>
  <c r="GK6" i="4"/>
  <c r="GK7" i="4"/>
  <c r="GO7" i="4"/>
  <c r="KE114" i="17"/>
  <c r="HP114" i="17"/>
  <c r="GP114" i="17"/>
  <c r="GQ114" i="17" s="1"/>
  <c r="GR114" i="17" s="1"/>
  <c r="KH114" i="17" s="1"/>
  <c r="KI114" i="17"/>
  <c r="HB103" i="17"/>
  <c r="HD103" i="17" s="1"/>
  <c r="KJ103" i="17" s="1"/>
  <c r="KI113" i="17"/>
  <c r="KI111" i="17"/>
  <c r="KI109" i="17"/>
  <c r="KI107" i="17"/>
  <c r="KI105" i="17"/>
  <c r="KI102" i="17"/>
  <c r="KI100" i="17"/>
  <c r="KI98" i="17"/>
  <c r="KI96" i="17"/>
  <c r="KI94" i="17"/>
  <c r="KI92" i="17"/>
  <c r="KI90" i="17"/>
  <c r="KI88" i="17"/>
  <c r="KI86" i="17"/>
  <c r="KI84" i="17"/>
  <c r="HB53" i="17"/>
  <c r="HD53" i="17" s="1"/>
  <c r="KJ53" i="17" s="1"/>
  <c r="KE49" i="17"/>
  <c r="HP49" i="17"/>
  <c r="GP49" i="17"/>
  <c r="GQ49" i="17" s="1"/>
  <c r="GR49" i="17" s="1"/>
  <c r="KH49" i="17" s="1"/>
  <c r="HB45" i="17"/>
  <c r="HD45" i="17" s="1"/>
  <c r="KJ45" i="17" s="1"/>
  <c r="KE41" i="17"/>
  <c r="HP41" i="17"/>
  <c r="GP41" i="17"/>
  <c r="GQ41" i="17" s="1"/>
  <c r="GR41" i="17" s="1"/>
  <c r="KH41" i="17" s="1"/>
  <c r="HB37" i="17"/>
  <c r="HD37" i="17" s="1"/>
  <c r="KJ37" i="17" s="1"/>
  <c r="KE33" i="17"/>
  <c r="HP33" i="17"/>
  <c r="GP33" i="17"/>
  <c r="GQ33" i="17" s="1"/>
  <c r="GR33" i="17" s="1"/>
  <c r="KH33" i="17" s="1"/>
  <c r="HB29" i="17"/>
  <c r="HD29" i="17" s="1"/>
  <c r="KJ29" i="17" s="1"/>
  <c r="KE25" i="17"/>
  <c r="HP25" i="17"/>
  <c r="GP25" i="17"/>
  <c r="GQ25" i="17" s="1"/>
  <c r="GR25" i="17" s="1"/>
  <c r="KH25" i="17" s="1"/>
  <c r="HB21" i="17"/>
  <c r="HD21" i="17" s="1"/>
  <c r="KJ21" i="17" s="1"/>
  <c r="KE17" i="17"/>
  <c r="HP17" i="17"/>
  <c r="GP17" i="17"/>
  <c r="GQ17" i="17" s="1"/>
  <c r="GR17" i="17" s="1"/>
  <c r="KH17" i="17" s="1"/>
  <c r="KI57" i="17"/>
  <c r="HB15" i="17"/>
  <c r="HD15" i="17" s="1"/>
  <c r="KJ15" i="17" s="1"/>
  <c r="KI52" i="17"/>
  <c r="KI48" i="17"/>
  <c r="KJ14" i="17"/>
  <c r="GN13" i="4"/>
  <c r="GL13" i="4"/>
  <c r="GN5" i="4"/>
  <c r="GL5" i="4"/>
  <c r="KE79" i="17"/>
  <c r="HP79" i="17"/>
  <c r="GP79" i="17"/>
  <c r="GQ79" i="17" s="1"/>
  <c r="GR79" i="17" s="1"/>
  <c r="KH79" i="17" s="1"/>
  <c r="HB75" i="17"/>
  <c r="HD75" i="17" s="1"/>
  <c r="KJ75" i="17" s="1"/>
  <c r="KE71" i="17"/>
  <c r="HP71" i="17"/>
  <c r="GP71" i="17"/>
  <c r="GQ71" i="17" s="1"/>
  <c r="GR71" i="17" s="1"/>
  <c r="KH71" i="17" s="1"/>
  <c r="HB67" i="17"/>
  <c r="HD67" i="17" s="1"/>
  <c r="KJ67" i="17" s="1"/>
  <c r="KE63" i="17"/>
  <c r="HP63" i="17"/>
  <c r="GP63" i="17"/>
  <c r="GQ63" i="17" s="1"/>
  <c r="GR63" i="17" s="1"/>
  <c r="KH63" i="17" s="1"/>
  <c r="KI81" i="17"/>
  <c r="KE55" i="17"/>
  <c r="HP55" i="17"/>
  <c r="GP55" i="17"/>
  <c r="GQ55" i="17" s="1"/>
  <c r="GR55" i="17" s="1"/>
  <c r="KH55" i="17" s="1"/>
  <c r="HB51" i="17"/>
  <c r="HD51" i="17" s="1"/>
  <c r="KJ51" i="17" s="1"/>
  <c r="KE47" i="17"/>
  <c r="HP47" i="17"/>
  <c r="GP47" i="17"/>
  <c r="GQ47" i="17" s="1"/>
  <c r="GR47" i="17" s="1"/>
  <c r="KH47" i="17" s="1"/>
  <c r="HB43" i="17"/>
  <c r="HD43" i="17" s="1"/>
  <c r="KJ43" i="17" s="1"/>
  <c r="KE39" i="17"/>
  <c r="HP39" i="17"/>
  <c r="GP39" i="17"/>
  <c r="GQ39" i="17" s="1"/>
  <c r="GR39" i="17" s="1"/>
  <c r="KH39" i="17" s="1"/>
  <c r="HB35" i="17"/>
  <c r="HD35" i="17" s="1"/>
  <c r="KJ35" i="17" s="1"/>
  <c r="KE31" i="17"/>
  <c r="HP31" i="17"/>
  <c r="GP31" i="17"/>
  <c r="GQ31" i="17" s="1"/>
  <c r="GR31" i="17" s="1"/>
  <c r="KH31" i="17" s="1"/>
  <c r="HB27" i="17"/>
  <c r="HD27" i="17" s="1"/>
  <c r="KJ27" i="17" s="1"/>
  <c r="KE23" i="17"/>
  <c r="HP23" i="17"/>
  <c r="GP23" i="17"/>
  <c r="GQ23" i="17" s="1"/>
  <c r="GR23" i="17" s="1"/>
  <c r="KH23" i="17" s="1"/>
  <c r="HB19" i="17"/>
  <c r="HD19" i="17" s="1"/>
  <c r="KJ19" i="17" s="1"/>
  <c r="KJ58" i="17"/>
  <c r="KI54" i="17"/>
  <c r="KI50" i="17"/>
  <c r="KI46" i="17"/>
  <c r="KI42" i="17"/>
  <c r="KI38" i="17"/>
  <c r="KI34" i="17"/>
  <c r="KI30" i="17"/>
  <c r="KI26" i="17"/>
  <c r="KI22" i="17"/>
  <c r="KI18" i="17"/>
  <c r="FX10" i="17"/>
  <c r="FX123" i="17" s="1"/>
  <c r="KI13" i="17"/>
  <c r="KI12" i="17"/>
  <c r="KI8" i="17"/>
  <c r="GO18" i="4"/>
  <c r="GK18" i="4"/>
  <c r="GO17" i="4"/>
  <c r="GK17" i="4"/>
  <c r="GK16" i="4"/>
  <c r="GO16" i="4"/>
  <c r="GK15" i="4"/>
  <c r="GO15" i="4"/>
  <c r="KJ119" i="17"/>
  <c r="GO11" i="4"/>
  <c r="GK11" i="4"/>
  <c r="KE53" i="17"/>
  <c r="HP53" i="17"/>
  <c r="GP53" i="17"/>
  <c r="GQ53" i="17" s="1"/>
  <c r="GR53" i="17" s="1"/>
  <c r="KH53" i="17" s="1"/>
  <c r="HB49" i="17"/>
  <c r="HD49" i="17" s="1"/>
  <c r="KJ49" i="17" s="1"/>
  <c r="KE45" i="17"/>
  <c r="HP45" i="17"/>
  <c r="GP45" i="17"/>
  <c r="GQ45" i="17" s="1"/>
  <c r="GR45" i="17" s="1"/>
  <c r="KH45" i="17" s="1"/>
  <c r="HB41" i="17"/>
  <c r="HD41" i="17" s="1"/>
  <c r="KJ41" i="17" s="1"/>
  <c r="KE37" i="17"/>
  <c r="HP37" i="17"/>
  <c r="GP37" i="17"/>
  <c r="GQ37" i="17" s="1"/>
  <c r="GR37" i="17" s="1"/>
  <c r="KH37" i="17" s="1"/>
  <c r="HB33" i="17"/>
  <c r="HD33" i="17" s="1"/>
  <c r="KJ33" i="17" s="1"/>
  <c r="KE29" i="17"/>
  <c r="HP29" i="17"/>
  <c r="GP29" i="17"/>
  <c r="GQ29" i="17" s="1"/>
  <c r="GR29" i="17" s="1"/>
  <c r="KH29" i="17" s="1"/>
  <c r="HB25" i="17"/>
  <c r="HD25" i="17" s="1"/>
  <c r="KJ25" i="17" s="1"/>
  <c r="KE21" i="17"/>
  <c r="HP21" i="17"/>
  <c r="GP21" i="17"/>
  <c r="GQ21" i="17" s="1"/>
  <c r="GR21" i="17" s="1"/>
  <c r="KH21" i="17" s="1"/>
  <c r="HB17" i="17"/>
  <c r="HD17" i="17" s="1"/>
  <c r="KJ17" i="17" s="1"/>
  <c r="HB57" i="17"/>
  <c r="HD57" i="17" s="1"/>
  <c r="KJ57" i="17" s="1"/>
  <c r="HJ123" i="17"/>
  <c r="HP123" i="17"/>
  <c r="HA123" i="17"/>
  <c r="HC5" i="17"/>
  <c r="HC123" i="17" s="1"/>
  <c r="KE123" i="17" l="1"/>
  <c r="KH123" i="17"/>
  <c r="HB10" i="17"/>
  <c r="HD10" i="17" s="1"/>
  <c r="KJ10" i="17" s="1"/>
  <c r="GX123" i="17"/>
  <c r="GZ5" i="17"/>
  <c r="GW123" i="17"/>
  <c r="GY5" i="17"/>
  <c r="GP123" i="17"/>
  <c r="GQ123" i="17" s="1"/>
  <c r="GR123" i="17" s="1"/>
  <c r="HB123" i="17"/>
  <c r="HD5" i="17"/>
  <c r="HD123" i="17" s="1"/>
  <c r="GY123" i="17" l="1"/>
  <c r="KI123" i="17" s="1"/>
  <c r="KI5" i="17"/>
  <c r="GZ123" i="17"/>
  <c r="KJ5" i="17"/>
</calcChain>
</file>

<file path=xl/sharedStrings.xml><?xml version="1.0" encoding="utf-8"?>
<sst xmlns="http://schemas.openxmlformats.org/spreadsheetml/2006/main" count="763" uniqueCount="389">
  <si>
    <r>
      <t>c</t>
    </r>
    <r>
      <rPr>
        <b/>
        <vertAlign val="subscript"/>
        <sz val="12"/>
        <color indexed="8"/>
        <rFont val="Times New Roman"/>
        <family val="1"/>
      </rPr>
      <t>F(GT)</t>
    </r>
    <r>
      <rPr>
        <b/>
        <sz val="12"/>
        <color indexed="8"/>
        <rFont val="Times New Roman"/>
        <family val="1"/>
      </rPr>
      <t>(RM/GJ)</t>
    </r>
  </si>
  <si>
    <t>Fuel</t>
  </si>
  <si>
    <t>(kg/s)</t>
  </si>
  <si>
    <t>n</t>
  </si>
  <si>
    <r>
      <t>T</t>
    </r>
    <r>
      <rPr>
        <b/>
        <vertAlign val="subscript"/>
        <sz val="12"/>
        <color indexed="8"/>
        <rFont val="Times New Roman"/>
        <family val="1"/>
      </rPr>
      <t>0</t>
    </r>
  </si>
  <si>
    <t>Celcius</t>
  </si>
  <si>
    <t>LHV</t>
  </si>
  <si>
    <r>
      <t>T</t>
    </r>
    <r>
      <rPr>
        <b/>
        <vertAlign val="subscript"/>
        <sz val="12"/>
        <color indexed="8"/>
        <rFont val="Times New Roman"/>
        <family val="1"/>
      </rPr>
      <t>3</t>
    </r>
  </si>
  <si>
    <r>
      <t>m</t>
    </r>
    <r>
      <rPr>
        <b/>
        <vertAlign val="subscript"/>
        <sz val="12"/>
        <color indexed="8"/>
        <rFont val="Times New Roman"/>
        <family val="1"/>
      </rPr>
      <t>4</t>
    </r>
  </si>
  <si>
    <r>
      <t>T</t>
    </r>
    <r>
      <rPr>
        <b/>
        <vertAlign val="subscript"/>
        <sz val="12"/>
        <color indexed="8"/>
        <rFont val="Times New Roman"/>
        <family val="1"/>
      </rPr>
      <t>4</t>
    </r>
  </si>
  <si>
    <r>
      <t>m</t>
    </r>
    <r>
      <rPr>
        <b/>
        <vertAlign val="subscript"/>
        <sz val="12"/>
        <color indexed="8"/>
        <rFont val="Times New Roman"/>
        <family val="1"/>
      </rPr>
      <t>5</t>
    </r>
  </si>
  <si>
    <r>
      <t>T</t>
    </r>
    <r>
      <rPr>
        <b/>
        <vertAlign val="subscript"/>
        <sz val="12"/>
        <color indexed="8"/>
        <rFont val="Times New Roman"/>
        <family val="1"/>
      </rPr>
      <t>5</t>
    </r>
  </si>
  <si>
    <r>
      <t>T</t>
    </r>
    <r>
      <rPr>
        <b/>
        <vertAlign val="subscript"/>
        <sz val="12"/>
        <color indexed="8"/>
        <rFont val="Times New Roman"/>
        <family val="1"/>
      </rPr>
      <t>7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</si>
  <si>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7</t>
    </r>
    <r>
      <rPr>
        <b/>
        <sz val="12"/>
        <color indexed="8"/>
        <rFont val="Times New Roman"/>
        <family val="1"/>
      </rPr>
      <t>)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</si>
  <si>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0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</si>
  <si>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7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</si>
  <si>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0</t>
    </r>
    <r>
      <rPr>
        <b/>
        <sz val="12"/>
        <color indexed="8"/>
        <rFont val="Times New Roman"/>
        <family val="1"/>
      </rPr>
      <t>)</t>
    </r>
  </si>
  <si>
    <r>
      <t>T</t>
    </r>
    <r>
      <rPr>
        <b/>
        <vertAlign val="subscript"/>
        <sz val="12"/>
        <color indexed="8"/>
        <rFont val="Times New Roman"/>
        <family val="1"/>
      </rPr>
      <t>9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</si>
  <si>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9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</si>
  <si>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9</t>
    </r>
    <r>
      <rPr>
        <b/>
        <sz val="12"/>
        <color indexed="8"/>
        <rFont val="Times New Roman"/>
        <family val="1"/>
      </rPr>
      <t>)</t>
    </r>
  </si>
  <si>
    <r>
      <t>T</t>
    </r>
    <r>
      <rPr>
        <b/>
        <vertAlign val="subscript"/>
        <sz val="12"/>
        <color indexed="8"/>
        <rFont val="Times New Roman"/>
        <family val="1"/>
      </rPr>
      <t>8</t>
    </r>
  </si>
  <si>
    <r>
      <t>T</t>
    </r>
    <r>
      <rPr>
        <b/>
        <vertAlign val="subscript"/>
        <sz val="12"/>
        <color indexed="8"/>
        <rFont val="Times New Roman"/>
        <family val="1"/>
      </rPr>
      <t>12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</si>
  <si>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12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</si>
  <si>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12</t>
    </r>
    <r>
      <rPr>
        <b/>
        <sz val="12"/>
        <color indexed="8"/>
        <rFont val="Times New Roman"/>
        <family val="1"/>
      </rPr>
      <t>)</t>
    </r>
  </si>
  <si>
    <r>
      <t>m</t>
    </r>
    <r>
      <rPr>
        <b/>
        <vertAlign val="subscript"/>
        <sz val="12"/>
        <color indexed="8"/>
        <rFont val="Times New Roman"/>
        <family val="1"/>
      </rPr>
      <t>13</t>
    </r>
  </si>
  <si>
    <r>
      <t>T</t>
    </r>
    <r>
      <rPr>
        <b/>
        <vertAlign val="subscript"/>
        <sz val="12"/>
        <color indexed="8"/>
        <rFont val="Times New Roman"/>
        <family val="1"/>
      </rPr>
      <t>13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</si>
  <si>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13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</si>
  <si>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13</t>
    </r>
    <r>
      <rPr>
        <b/>
        <sz val="12"/>
        <color indexed="8"/>
        <rFont val="Times New Roman"/>
        <family val="1"/>
      </rPr>
      <t>)</t>
    </r>
  </si>
  <si>
    <r>
      <t>m</t>
    </r>
    <r>
      <rPr>
        <b/>
        <vertAlign val="subscript"/>
        <sz val="12"/>
        <color indexed="8"/>
        <rFont val="Times New Roman"/>
        <family val="1"/>
      </rPr>
      <t>10</t>
    </r>
  </si>
  <si>
    <r>
      <t>T</t>
    </r>
    <r>
      <rPr>
        <b/>
        <vertAlign val="subscript"/>
        <sz val="12"/>
        <color indexed="8"/>
        <rFont val="Times New Roman"/>
        <family val="1"/>
      </rPr>
      <t>10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</si>
  <si>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10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</si>
  <si>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10</t>
    </r>
    <r>
      <rPr>
        <b/>
        <sz val="12"/>
        <color indexed="8"/>
        <rFont val="Times New Roman"/>
        <family val="1"/>
      </rPr>
      <t>)</t>
    </r>
  </si>
  <si>
    <r>
      <t>m</t>
    </r>
    <r>
      <rPr>
        <b/>
        <vertAlign val="subscript"/>
        <sz val="12"/>
        <color indexed="8"/>
        <rFont val="Times New Roman"/>
        <family val="1"/>
      </rPr>
      <t>11</t>
    </r>
  </si>
  <si>
    <r>
      <t>T</t>
    </r>
    <r>
      <rPr>
        <b/>
        <vertAlign val="subscript"/>
        <sz val="12"/>
        <color indexed="8"/>
        <rFont val="Times New Roman"/>
        <family val="1"/>
      </rPr>
      <t>11</t>
    </r>
  </si>
  <si>
    <r>
      <t>Enthalpy (h</t>
    </r>
    <r>
      <rPr>
        <b/>
        <vertAlign val="subscript"/>
        <sz val="12"/>
        <color indexed="8"/>
        <rFont val="Times New Roman"/>
        <family val="1"/>
      </rPr>
      <t>11</t>
    </r>
    <r>
      <rPr>
        <b/>
        <sz val="12"/>
        <color indexed="8"/>
        <rFont val="Times New Roman"/>
        <family val="1"/>
      </rPr>
      <t>)</t>
    </r>
  </si>
  <si>
    <r>
      <t>Enthropy (s</t>
    </r>
    <r>
      <rPr>
        <b/>
        <vertAlign val="subscript"/>
        <sz val="12"/>
        <color indexed="8"/>
        <rFont val="Times New Roman"/>
        <family val="1"/>
      </rPr>
      <t>11</t>
    </r>
    <r>
      <rPr>
        <b/>
        <sz val="12"/>
        <color indexed="8"/>
        <rFont val="Times New Roman"/>
        <family val="1"/>
      </rPr>
      <t>)</t>
    </r>
  </si>
  <si>
    <t>(kJ/kg)</t>
  </si>
  <si>
    <t xml:space="preserve"> (kJ/kg)</t>
  </si>
  <si>
    <r>
      <t>c</t>
    </r>
    <r>
      <rPr>
        <b/>
        <vertAlign val="subscript"/>
        <sz val="12"/>
        <color indexed="8"/>
        <rFont val="Times New Roman"/>
        <family val="1"/>
      </rPr>
      <t>1</t>
    </r>
    <r>
      <rPr>
        <b/>
        <sz val="12"/>
        <color indexed="8"/>
        <rFont val="Times New Roman"/>
        <family val="1"/>
      </rPr>
      <t>(RM/GJ)</t>
    </r>
  </si>
  <si>
    <t>True Cost of Power</t>
  </si>
  <si>
    <t>Interest Rate</t>
  </si>
  <si>
    <t>Number of Period</t>
  </si>
  <si>
    <t>Capital Cost of GT</t>
  </si>
  <si>
    <t>Salvage Cost of GT</t>
  </si>
  <si>
    <t>Cost of Operation of GT</t>
  </si>
  <si>
    <t>Cost of Repair of GT</t>
  </si>
  <si>
    <t>Cost of Maintenance of GT</t>
  </si>
  <si>
    <t>Capital Cost of HRSG</t>
  </si>
  <si>
    <t>Salvage Cost of HRSG</t>
  </si>
  <si>
    <t>Cost of Operation of HRSG</t>
  </si>
  <si>
    <t>Cost of Repair of HRSG</t>
  </si>
  <si>
    <t>Cost of Maintenance of HRSG</t>
  </si>
  <si>
    <t>Capital Cost of SAC</t>
  </si>
  <si>
    <t>Salvage Cost of SAC</t>
  </si>
  <si>
    <t>Cost of Operation of SAC</t>
  </si>
  <si>
    <t>Cost of Repair of SAC</t>
  </si>
  <si>
    <t>Cost of Maintenance of SAC</t>
  </si>
  <si>
    <t>Operating Hours</t>
  </si>
  <si>
    <t>Mass flow rate of exhaust heat</t>
  </si>
  <si>
    <t>Mass flow rate of Steam</t>
  </si>
  <si>
    <t>Mass flow rate of CHW</t>
  </si>
  <si>
    <t>Cooling water Temp in</t>
  </si>
  <si>
    <t>Tg2</t>
  </si>
  <si>
    <t>Energy Efficiency of GT</t>
  </si>
  <si>
    <t>Energy Efficiency of HRSG</t>
  </si>
  <si>
    <t>Exergetic Efficiency of GT</t>
  </si>
  <si>
    <t>Exergetic Efficiency of HRSG</t>
  </si>
  <si>
    <t>Exergetic Efficiency of SAC</t>
  </si>
  <si>
    <t>True Cost of CHW</t>
  </si>
  <si>
    <t>Inefficientcy Cost</t>
  </si>
  <si>
    <t>Hour</t>
  </si>
  <si>
    <t>Temperature of exhaust heat</t>
  </si>
  <si>
    <t>Temp of steam, Ts</t>
  </si>
  <si>
    <t>Enthalpy vapour, hs</t>
  </si>
  <si>
    <t>Cpg(evap)</t>
  </si>
  <si>
    <t>Specific heat gas of evaporator</t>
  </si>
  <si>
    <t>Tw2</t>
  </si>
  <si>
    <t>Enthalpy hCHWin</t>
  </si>
  <si>
    <t>Enthalpy hCHWout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</si>
  <si>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</si>
  <si>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</si>
  <si>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</si>
  <si>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</si>
  <si>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</si>
  <si>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</si>
  <si>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</si>
  <si>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</si>
  <si>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</si>
  <si>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</si>
  <si>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</si>
  <si>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</si>
  <si>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Temp</t>
  </si>
  <si>
    <t>h</t>
  </si>
  <si>
    <t>New X</t>
  </si>
  <si>
    <t>Interpolated Value</t>
  </si>
  <si>
    <t>&lt;-- using cell references</t>
  </si>
  <si>
    <t>&lt;-- using named ranges</t>
  </si>
  <si>
    <t>KnownX</t>
  </si>
  <si>
    <t>blue cells</t>
  </si>
  <si>
    <t>KnownY</t>
  </si>
  <si>
    <t>green cells</t>
  </si>
  <si>
    <t>Enthalpy hwTw2fluid</t>
  </si>
  <si>
    <t>Enthalpy hwTw2vapor</t>
  </si>
  <si>
    <t>Enthalpy Cooling water Temp in</t>
  </si>
  <si>
    <t>Enthalpy Cooling water Temp out</t>
  </si>
  <si>
    <t>Gas temp drop</t>
  </si>
  <si>
    <t>Enthalpy liquid h sac drain</t>
  </si>
  <si>
    <t>Zgt</t>
  </si>
  <si>
    <t>Zhrsg</t>
  </si>
  <si>
    <t>Zsac</t>
  </si>
  <si>
    <t>CRF</t>
  </si>
  <si>
    <t>Mass flow rate of fuel</t>
  </si>
  <si>
    <t>Days</t>
  </si>
  <si>
    <t>Mass flow rate of air</t>
  </si>
  <si>
    <t>HRSG heat loss factor</t>
  </si>
  <si>
    <t>(%)</t>
  </si>
  <si>
    <t>HRSG blow down factor</t>
  </si>
  <si>
    <t xml:space="preserve"> (Celcius)</t>
  </si>
  <si>
    <t>Temp of steam</t>
  </si>
  <si>
    <t>(Celcius)</t>
  </si>
  <si>
    <t>Temperature of SAC Drain</t>
  </si>
  <si>
    <t>Temperature of feed water in HRSG</t>
  </si>
  <si>
    <t>Mass flow rate of cooling water in SAC</t>
  </si>
  <si>
    <t>Temperature of cooling water in</t>
  </si>
  <si>
    <t>Temperature of cooling water out</t>
  </si>
  <si>
    <r>
      <t>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</si>
  <si>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t>Temperature of chilled water in</t>
  </si>
  <si>
    <t>Temperature of chilled water out</t>
  </si>
  <si>
    <t>Actual chilled water generated</t>
  </si>
  <si>
    <t>(RTh)</t>
  </si>
  <si>
    <t>(kg)</t>
  </si>
  <si>
    <t>Power generated</t>
  </si>
  <si>
    <t>(kWh)</t>
  </si>
  <si>
    <t>THERMODYNAMIC MODULE</t>
  </si>
  <si>
    <t>ECONOMIC MODULE</t>
  </si>
  <si>
    <t xml:space="preserve"> heat loss</t>
  </si>
  <si>
    <t>(Kelvin)</t>
  </si>
  <si>
    <t>Ambient Temperature</t>
  </si>
  <si>
    <t>HRSG feed water temperature</t>
  </si>
  <si>
    <t>Enthalpy of feed water by keyin Tw1</t>
  </si>
  <si>
    <t>(RM)</t>
  </si>
  <si>
    <t>Temperature of exhaust heat at HRSG stack</t>
  </si>
  <si>
    <t>Mass flow rate of feed water in HRSG</t>
  </si>
  <si>
    <t>Mass flow rate of steam</t>
  </si>
  <si>
    <t>Temperature of steam</t>
  </si>
  <si>
    <t>Mass flow rate of exhaust heat at HRSG stack</t>
  </si>
  <si>
    <t>Mass flow rate of chilled water</t>
  </si>
  <si>
    <t>(Ton)</t>
  </si>
  <si>
    <t>Exhaust heat temperature leaving HRSG (T3)</t>
  </si>
  <si>
    <t>tem</t>
  </si>
  <si>
    <t>sf</t>
  </si>
  <si>
    <t>KnownX1</t>
  </si>
  <si>
    <t>KnownY1</t>
  </si>
  <si>
    <t>hf</t>
  </si>
  <si>
    <t>kW</t>
  </si>
  <si>
    <t>(kW)</t>
  </si>
  <si>
    <t>EXERGY 11</t>
  </si>
  <si>
    <t>EXERGY 10</t>
  </si>
  <si>
    <t>Cpg(Tg3-Tg1)</t>
  </si>
  <si>
    <t>(Tg3-Tg1)</t>
  </si>
  <si>
    <t>Actual steam generated</t>
  </si>
  <si>
    <t>(T/h)</t>
  </si>
  <si>
    <t>COP of SAC</t>
  </si>
  <si>
    <t xml:space="preserve">Steam suply to SAC </t>
  </si>
  <si>
    <t>(RT/kg)</t>
  </si>
  <si>
    <t>Enthalpy hs</t>
  </si>
  <si>
    <t>DAYS</t>
  </si>
  <si>
    <t>Operating hours</t>
  </si>
  <si>
    <t>hours</t>
  </si>
  <si>
    <t>Power</t>
  </si>
  <si>
    <t>GT INPUT</t>
  </si>
  <si>
    <t>Exhaust heat temperature</t>
  </si>
  <si>
    <t>Deg C</t>
  </si>
  <si>
    <t>Mass flow  of fuel</t>
  </si>
  <si>
    <t>Mass flow of feed water</t>
  </si>
  <si>
    <t>T</t>
  </si>
  <si>
    <t>Steam flow</t>
  </si>
  <si>
    <t>T/h</t>
  </si>
  <si>
    <t>HRSG INPUT</t>
  </si>
  <si>
    <t>Chilled water generated</t>
  </si>
  <si>
    <t>RTh</t>
  </si>
  <si>
    <t>Steam supply</t>
  </si>
  <si>
    <t>kg</t>
  </si>
  <si>
    <t>Chilled water flow</t>
  </si>
  <si>
    <t>SAC INPUT</t>
  </si>
  <si>
    <t xml:space="preserve">Capital Cost of GT </t>
  </si>
  <si>
    <t>O&amp;M cost of GT</t>
  </si>
  <si>
    <t>O&amp;M cost of HRSG</t>
  </si>
  <si>
    <t>O&amp;M cost of SAC</t>
  </si>
  <si>
    <t>RM</t>
  </si>
  <si>
    <t>kg/s</t>
  </si>
  <si>
    <t>M3/h</t>
  </si>
  <si>
    <t>Mass flow  of air</t>
  </si>
  <si>
    <t>Mass flow rate of exhaust heat generated</t>
  </si>
  <si>
    <t>Mass flow rate of chw</t>
  </si>
  <si>
    <t>(-)</t>
  </si>
  <si>
    <t>Lower Heating Value</t>
  </si>
  <si>
    <t>kJ/kg</t>
  </si>
  <si>
    <t>Steam temperature</t>
  </si>
  <si>
    <t>Heat loss factor</t>
  </si>
  <si>
    <t>Blowdown factor</t>
  </si>
  <si>
    <t>heatloss factor</t>
  </si>
  <si>
    <t>blowdown factor</t>
  </si>
  <si>
    <t>Temperature profile of HRSG</t>
  </si>
  <si>
    <t>Temperature of steam in Kelvin</t>
  </si>
  <si>
    <t>Temperature of exhaust heat in Kelvin (Tg1)</t>
  </si>
  <si>
    <t>Tg3</t>
  </si>
  <si>
    <t>h@Ts</t>
  </si>
  <si>
    <t>h@Tw1(fluid)</t>
  </si>
  <si>
    <t>h@Tw2(fluid)</t>
  </si>
  <si>
    <t>Cpg(econ)</t>
  </si>
  <si>
    <t>Gas Temperature drop</t>
  </si>
  <si>
    <t>Economizer duty</t>
  </si>
  <si>
    <t>Temperature of Tw1 in Celcius</t>
  </si>
  <si>
    <t>Temperature of Tw2 in Celcius</t>
  </si>
  <si>
    <t>Tg1-Tg3</t>
  </si>
  <si>
    <t>Cpg         (Tg1-Tg3)</t>
  </si>
  <si>
    <t>h@SAC drain</t>
  </si>
  <si>
    <t>ξ</t>
  </si>
  <si>
    <t>(MW)</t>
  </si>
  <si>
    <t>T3</t>
  </si>
  <si>
    <t>Cpg</t>
  </si>
  <si>
    <t>To</t>
  </si>
  <si>
    <t>T4</t>
  </si>
  <si>
    <t>m4</t>
  </si>
  <si>
    <t>T5</t>
  </si>
  <si>
    <t>m5</t>
  </si>
  <si>
    <t>m7</t>
  </si>
  <si>
    <t>T7</t>
  </si>
  <si>
    <t>h7</t>
  </si>
  <si>
    <t>ho</t>
  </si>
  <si>
    <t>So</t>
  </si>
  <si>
    <t>S7</t>
  </si>
  <si>
    <t>m8</t>
  </si>
  <si>
    <t>m9</t>
  </si>
  <si>
    <t>T9</t>
  </si>
  <si>
    <t>h9</t>
  </si>
  <si>
    <t>S9</t>
  </si>
  <si>
    <t>m10</t>
  </si>
  <si>
    <t>h10</t>
  </si>
  <si>
    <t>S10</t>
  </si>
  <si>
    <t>m11</t>
  </si>
  <si>
    <t>T11</t>
  </si>
  <si>
    <t>h11</t>
  </si>
  <si>
    <t>S11</t>
  </si>
  <si>
    <t>m12</t>
  </si>
  <si>
    <t>h12</t>
  </si>
  <si>
    <t>S12</t>
  </si>
  <si>
    <t>m13</t>
  </si>
  <si>
    <t>h13</t>
  </si>
  <si>
    <t>S13</t>
  </si>
  <si>
    <t>(Deg C)</t>
  </si>
  <si>
    <t>Cost of fuel</t>
  </si>
  <si>
    <t>RM/GJ</t>
  </si>
  <si>
    <t>kW/h</t>
  </si>
  <si>
    <t>(RM/RTh)</t>
  </si>
  <si>
    <t>(RM/GJ)</t>
  </si>
  <si>
    <t>(RM/kWh)</t>
  </si>
  <si>
    <t>RM/year</t>
  </si>
  <si>
    <t>(RM/s)</t>
  </si>
  <si>
    <t>(RM/h)</t>
  </si>
  <si>
    <t>MW</t>
  </si>
  <si>
    <t>Capacity of SAC</t>
  </si>
  <si>
    <t>RT</t>
  </si>
  <si>
    <t>DATE</t>
  </si>
  <si>
    <t>Capacity of GT</t>
  </si>
  <si>
    <t>M3</t>
  </si>
  <si>
    <t>Energy efficiency of GT (actual)</t>
  </si>
  <si>
    <t>Energy efficiency of HRSG (actual)</t>
  </si>
  <si>
    <t>OUTPUT</t>
  </si>
  <si>
    <t>Exergetic efficiency of GT (actual)</t>
  </si>
  <si>
    <t>Exergetic efficiency of HRSG (actual)</t>
  </si>
  <si>
    <t>Exergetic efficiency of SAC (actual)</t>
  </si>
  <si>
    <t>Estimated cost of power</t>
  </si>
  <si>
    <t>Estimated cost of chilled water</t>
  </si>
  <si>
    <t>Cpg         (evap@Tg1)</t>
  </si>
  <si>
    <t>Tg1-Tg2</t>
  </si>
  <si>
    <t>h@Tw2 (vapour)</t>
  </si>
  <si>
    <t xml:space="preserve">EXERGY 13 STREAMS </t>
  </si>
  <si>
    <t>E1(act)</t>
  </si>
  <si>
    <t>E3(act)</t>
  </si>
  <si>
    <t>E4(act)</t>
  </si>
  <si>
    <t>E5(act)</t>
  </si>
  <si>
    <t>E6(act)</t>
  </si>
  <si>
    <t>E7(act)</t>
  </si>
  <si>
    <t>E8(act)</t>
  </si>
  <si>
    <t>E9(act)</t>
  </si>
  <si>
    <t>E10(act)</t>
  </si>
  <si>
    <t>E11(act)</t>
  </si>
  <si>
    <t>E12(act)</t>
  </si>
  <si>
    <t>E13(act)</t>
  </si>
  <si>
    <t>E1 (theory)</t>
  </si>
  <si>
    <t>E3 (theory)</t>
  </si>
  <si>
    <t>E4 (theory)</t>
  </si>
  <si>
    <t>E5 (teory)</t>
  </si>
  <si>
    <t>E6 (theory)</t>
  </si>
  <si>
    <t>E7 (theory)</t>
  </si>
  <si>
    <t>E8 (theory)</t>
  </si>
  <si>
    <t>E9 (theory)</t>
  </si>
  <si>
    <t>E10 (theory)</t>
  </si>
  <si>
    <t>E11 (theory)</t>
  </si>
  <si>
    <t>E12 (theory)</t>
  </si>
  <si>
    <t>E13 (theory)</t>
  </si>
  <si>
    <t>Compressor inlet temperature</t>
  </si>
  <si>
    <t>K</t>
  </si>
  <si>
    <t>Compressor pressure ratio</t>
  </si>
  <si>
    <t>Compressor isentropic efficiency</t>
  </si>
  <si>
    <t>Specific heat ratio of air</t>
  </si>
  <si>
    <t>Specific heat ratio of gas</t>
  </si>
  <si>
    <t>Turbine isentropic efficiency</t>
  </si>
  <si>
    <t>%</t>
  </si>
  <si>
    <t>T02</t>
  </si>
  <si>
    <t>Wcomp</t>
  </si>
  <si>
    <t>Cpa</t>
  </si>
  <si>
    <t>T04</t>
  </si>
  <si>
    <t>T05</t>
  </si>
  <si>
    <t>Wturb</t>
  </si>
  <si>
    <t>(T04-T05)</t>
  </si>
  <si>
    <t>Cpg    (T04-T05)</t>
  </si>
  <si>
    <t>Cpg (theory)</t>
  </si>
  <si>
    <t>T8 (actual)</t>
  </si>
  <si>
    <t>COP of SAC (act)</t>
  </si>
  <si>
    <t>Assume temperature of combustion product=900</t>
  </si>
  <si>
    <t>Temp. of combustion product</t>
  </si>
  <si>
    <t>Mass flow rate of ex heat to HRSG</t>
  </si>
  <si>
    <r>
      <t xml:space="preserve">Temperature of </t>
    </r>
    <r>
      <rPr>
        <b/>
        <sz val="11"/>
        <color rgb="FFFF0000"/>
        <rFont val="Book Antiqua"/>
        <family val="1"/>
        <scheme val="minor"/>
      </rPr>
      <t xml:space="preserve">chilled water </t>
    </r>
    <r>
      <rPr>
        <b/>
        <sz val="11"/>
        <color theme="1"/>
        <rFont val="Book Antiqua"/>
        <family val="1"/>
        <scheme val="minor"/>
      </rPr>
      <t>out</t>
    </r>
  </si>
  <si>
    <r>
      <t xml:space="preserve">Temperature of </t>
    </r>
    <r>
      <rPr>
        <b/>
        <sz val="11"/>
        <color rgb="FFFF0000"/>
        <rFont val="Book Antiqua"/>
        <family val="1"/>
        <scheme val="minor"/>
      </rPr>
      <t>chilled water</t>
    </r>
    <r>
      <rPr>
        <b/>
        <sz val="11"/>
        <color theme="1"/>
        <rFont val="Book Antiqua"/>
        <family val="1"/>
        <scheme val="minor"/>
      </rPr>
      <t xml:space="preserve"> return</t>
    </r>
  </si>
  <si>
    <r>
      <t xml:space="preserve">Temperature of </t>
    </r>
    <r>
      <rPr>
        <b/>
        <sz val="11"/>
        <color rgb="FF002060"/>
        <rFont val="Book Antiqua"/>
        <family val="1"/>
        <scheme val="minor"/>
      </rPr>
      <t xml:space="preserve">cooling water </t>
    </r>
    <r>
      <rPr>
        <b/>
        <sz val="11"/>
        <color theme="1"/>
        <rFont val="Book Antiqua"/>
        <family val="1"/>
        <scheme val="minor"/>
      </rPr>
      <t>return</t>
    </r>
  </si>
  <si>
    <r>
      <t>T</t>
    </r>
    <r>
      <rPr>
        <vertAlign val="subscript"/>
        <sz val="11"/>
        <color theme="1"/>
        <rFont val="Book Antiqua"/>
        <family val="1"/>
        <scheme val="minor"/>
      </rPr>
      <t>1(steam)</t>
    </r>
  </si>
  <si>
    <r>
      <t>T</t>
    </r>
    <r>
      <rPr>
        <vertAlign val="subscript"/>
        <sz val="11"/>
        <color theme="1"/>
        <rFont val="Book Antiqua"/>
        <family val="1"/>
        <scheme val="minor"/>
      </rPr>
      <t>2(cooling water)</t>
    </r>
  </si>
  <si>
    <r>
      <t>T</t>
    </r>
    <r>
      <rPr>
        <vertAlign val="subscript"/>
        <sz val="11"/>
        <color theme="1"/>
        <rFont val="Book Antiqua"/>
        <family val="1"/>
        <scheme val="minor"/>
      </rPr>
      <t>R(chw)</t>
    </r>
  </si>
  <si>
    <t>T3 (theory)</t>
  </si>
  <si>
    <t>T4 /T5 (theory)</t>
  </si>
  <si>
    <t>T8 (theory)</t>
  </si>
  <si>
    <t>Exergy Destruction of GT (MODEL)</t>
  </si>
  <si>
    <t>Exergy Destruction of HRSG (MODEL)</t>
  </si>
  <si>
    <t>Exergy Destruction of SAC (MODEL)</t>
  </si>
  <si>
    <r>
      <t xml:space="preserve">Temperature of </t>
    </r>
    <r>
      <rPr>
        <b/>
        <sz val="11"/>
        <color rgb="FF002060"/>
        <rFont val="Book Antiqua"/>
        <family val="1"/>
        <scheme val="minor"/>
      </rPr>
      <t xml:space="preserve">cooling water </t>
    </r>
    <r>
      <rPr>
        <b/>
        <sz val="11"/>
        <color theme="1"/>
        <rFont val="Book Antiqua"/>
        <family val="1"/>
        <scheme val="minor"/>
      </rPr>
      <t>out</t>
    </r>
  </si>
  <si>
    <t>RM/s</t>
  </si>
  <si>
    <r>
      <t>Z</t>
    </r>
    <r>
      <rPr>
        <vertAlign val="subscript"/>
        <sz val="11"/>
        <color theme="1"/>
        <rFont val="Book Antiqua"/>
        <family val="1"/>
        <scheme val="minor"/>
      </rPr>
      <t>GT</t>
    </r>
  </si>
  <si>
    <t>True cost of power (act)</t>
  </si>
  <si>
    <t>True cost of power (model)</t>
  </si>
  <si>
    <t>True cost of chilled water(act)</t>
  </si>
  <si>
    <t>True cost of chilled water(model)</t>
  </si>
  <si>
    <r>
      <t>Z</t>
    </r>
    <r>
      <rPr>
        <vertAlign val="subscript"/>
        <sz val="11"/>
        <color theme="1"/>
        <rFont val="Book Antiqua"/>
        <family val="1"/>
        <scheme val="minor"/>
      </rPr>
      <t>HRSG</t>
    </r>
  </si>
  <si>
    <r>
      <t>Z</t>
    </r>
    <r>
      <rPr>
        <vertAlign val="subscript"/>
        <sz val="11"/>
        <color theme="1"/>
        <rFont val="Book Antiqua"/>
        <family val="1"/>
        <scheme val="minor"/>
      </rPr>
      <t>SAC</t>
    </r>
  </si>
  <si>
    <t>Inefficiencies cost of GT (act)</t>
  </si>
  <si>
    <t>Inefficiencies cost of GT (model)</t>
  </si>
  <si>
    <t>Inefficiencies cost of GT(act)</t>
  </si>
  <si>
    <t>Inefficiencies cost of GT(model)</t>
  </si>
  <si>
    <t>Inefficiencies cost of HRSG(act)</t>
  </si>
  <si>
    <t>Inefficiencies cost of HRSG (model)</t>
  </si>
  <si>
    <t>INEFFICIENCIES COST OF GT</t>
  </si>
  <si>
    <t>INEFFICIENCIES COST OF HRSG</t>
  </si>
  <si>
    <t xml:space="preserve">Inefficiencies cost of SAC </t>
  </si>
  <si>
    <t>Inefficiencies cost of SAC (act)</t>
  </si>
  <si>
    <t>Inefficiencies cost of SAC (model)</t>
  </si>
  <si>
    <t>Inefficiencies cost of SAC(act)</t>
  </si>
  <si>
    <t>Inefficiencies cost of SAC(model)</t>
  </si>
  <si>
    <t>Exergy Destruction of GT (act)</t>
  </si>
  <si>
    <t>Exergy Destruction of HRSG (act)</t>
  </si>
  <si>
    <t>Exergy Destruction of SAC (model)</t>
  </si>
  <si>
    <t>TOTAL Inefficiencies cost (ACT)</t>
  </si>
  <si>
    <t>TOTAL Inefficiencies cost (MODEL)</t>
  </si>
  <si>
    <t>GT</t>
  </si>
  <si>
    <t>HRSG</t>
  </si>
  <si>
    <t>SAC</t>
  </si>
  <si>
    <t>ECONOMIC</t>
  </si>
  <si>
    <t>Actual Power generated</t>
  </si>
  <si>
    <t>Model Power generated</t>
  </si>
  <si>
    <t>Actual mass flow rate of steam generated</t>
  </si>
  <si>
    <t>Model mass flow rate of steam generated</t>
  </si>
  <si>
    <t>Model mass flow rate of chilled water generated</t>
  </si>
  <si>
    <t>Actual mass flw rate ofchilled water generated</t>
  </si>
  <si>
    <t>Energy efficiency of GT (model)</t>
  </si>
  <si>
    <t>Energy efficiency of HRSG (model)</t>
  </si>
  <si>
    <t>COP of SAC (model)</t>
  </si>
  <si>
    <t>Exergetic efficiency of GT (model)</t>
  </si>
  <si>
    <t>Exergetic efficiency of HRSG (model)</t>
  </si>
  <si>
    <t>Exergetic efficiency of SAC (model)</t>
  </si>
  <si>
    <t>Exergy rate of fuel (act)</t>
  </si>
  <si>
    <t>Exergy rate of fuel (Model)</t>
  </si>
  <si>
    <t>Exergy rate of product (act)</t>
  </si>
  <si>
    <t>Exergy rate of product (Model)</t>
  </si>
  <si>
    <t>RM/h</t>
  </si>
  <si>
    <t>Number of period</t>
  </si>
  <si>
    <t>Interest rate</t>
  </si>
  <si>
    <t>Year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</si>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</sst>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0"/>
    <numFmt numFmtId="168" formatCode="&quot;RM&quot;#,##0.00"/>
  </numFmts>
  <fonts count="25" x14ac:knownFonts="1">
    <font>
      <sz val="11"/>
      <color theme="1"/>
      <name val="Book Antiqu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1"/>
      <color theme="10"/>
      <name val="Book Antiqua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Book Antiqua"/>
      <family val="2"/>
      <scheme val="minor"/>
    </font>
    <font>
      <sz val="11"/>
      <color rgb="FF9C6500"/>
      <name val="Book Antiqua"/>
      <family val="2"/>
      <scheme val="minor"/>
    </font>
    <font>
      <vertAlign val="superscript"/>
      <sz val="12"/>
      <color theme="1"/>
      <name val="Times New Roman"/>
      <family val="1"/>
    </font>
    <font>
      <sz val="12"/>
      <color rgb="FF9C6500"/>
      <name val="Times New Roman"/>
      <family val="1"/>
    </font>
    <font>
      <b/>
      <sz val="11"/>
      <color theme="1"/>
      <name val="Book Antiqua"/>
      <family val="1"/>
      <scheme val="minor"/>
    </font>
    <font>
      <b/>
      <sz val="22"/>
      <color theme="1"/>
      <name val="Book Antiqua"/>
      <family val="1"/>
      <scheme val="minor"/>
    </font>
    <font>
      <b/>
      <sz val="18"/>
      <color theme="1"/>
      <name val="Book Antiqua"/>
      <family val="1"/>
      <scheme val="minor"/>
    </font>
    <font>
      <sz val="18"/>
      <color theme="1"/>
      <name val="Book Antiqua"/>
      <family val="2"/>
      <scheme val="minor"/>
    </font>
    <font>
      <sz val="18"/>
      <color theme="1"/>
      <name val="Book Antiqua"/>
      <family val="1"/>
      <scheme val="minor"/>
    </font>
    <font>
      <sz val="11"/>
      <color theme="1"/>
      <name val="Book Antiqua"/>
      <family val="1"/>
      <scheme val="minor"/>
    </font>
    <font>
      <vertAlign val="subscript"/>
      <sz val="11"/>
      <color theme="1"/>
      <name val="Book Antiqua"/>
      <family val="1"/>
      <scheme val="minor"/>
    </font>
    <font>
      <b/>
      <sz val="11"/>
      <color rgb="FFFF0000"/>
      <name val="Book Antiqua"/>
      <family val="1"/>
      <scheme val="minor"/>
    </font>
    <font>
      <b/>
      <sz val="11"/>
      <color rgb="FF002060"/>
      <name val="Book Antiqua"/>
      <family val="1"/>
      <scheme val="minor"/>
    </font>
    <font>
      <sz val="48"/>
      <color theme="1"/>
      <name val="Book Antiqua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4F7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/>
    <xf numFmtId="0" fontId="12" fillId="11" borderId="0" applyNumberFormat="0" applyBorder="0" applyAlignment="0" applyProtection="0"/>
  </cellStyleXfs>
  <cellXfs count="350">
    <xf numFmtId="0" fontId="0" fillId="0" borderId="0" xfId="0"/>
    <xf numFmtId="2" fontId="2" fillId="3" borderId="3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/>
    <xf numFmtId="165" fontId="1" fillId="0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6" borderId="3" xfId="0" applyNumberFormat="1" applyFont="1" applyFill="1" applyBorder="1" applyAlignment="1">
      <alignment horizontal="center"/>
    </xf>
    <xf numFmtId="0" fontId="1" fillId="6" borderId="0" xfId="0" applyFont="1" applyFill="1"/>
    <xf numFmtId="1" fontId="1" fillId="6" borderId="3" xfId="0" applyNumberFormat="1" applyFont="1" applyFill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8" fillId="0" borderId="0" xfId="2"/>
    <xf numFmtId="0" fontId="9" fillId="0" borderId="6" xfId="2" applyFont="1" applyFill="1" applyBorder="1" applyAlignment="1">
      <alignment horizontal="center" vertical="top" wrapText="1"/>
    </xf>
    <xf numFmtId="0" fontId="8" fillId="0" borderId="0" xfId="2" applyFill="1" applyBorder="1" applyAlignment="1">
      <alignment horizontal="center"/>
    </xf>
    <xf numFmtId="0" fontId="8" fillId="0" borderId="8" xfId="2" applyFill="1" applyBorder="1" applyAlignment="1">
      <alignment horizontal="center"/>
    </xf>
    <xf numFmtId="2" fontId="8" fillId="0" borderId="0" xfId="2" applyNumberFormat="1" applyFill="1" applyBorder="1" applyAlignment="1">
      <alignment horizontal="center"/>
    </xf>
    <xf numFmtId="0" fontId="8" fillId="9" borderId="0" xfId="2" applyFill="1"/>
    <xf numFmtId="0" fontId="8" fillId="8" borderId="0" xfId="2" applyFill="1"/>
    <xf numFmtId="2" fontId="8" fillId="0" borderId="8" xfId="2" applyNumberFormat="1" applyFill="1" applyBorder="1" applyAlignment="1">
      <alignment horizontal="center"/>
    </xf>
    <xf numFmtId="2" fontId="0" fillId="0" borderId="0" xfId="0" applyNumberFormat="1"/>
    <xf numFmtId="2" fontId="11" fillId="10" borderId="0" xfId="4" applyNumberFormat="1"/>
    <xf numFmtId="164" fontId="0" fillId="0" borderId="0" xfId="0" applyNumberFormat="1"/>
    <xf numFmtId="0" fontId="1" fillId="6" borderId="10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1" fillId="0" borderId="0" xfId="0" applyFont="1" applyFill="1" applyBorder="1"/>
    <xf numFmtId="0" fontId="1" fillId="5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2" borderId="3" xfId="0" applyFont="1" applyFill="1" applyBorder="1" applyAlignment="1">
      <alignment horizontal="center"/>
    </xf>
    <xf numFmtId="0" fontId="1" fillId="6" borderId="11" xfId="0" applyNumberFormat="1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5" fillId="3" borderId="3" xfId="1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2" fillId="7" borderId="3" xfId="5" applyNumberFormat="1" applyFont="1" applyFill="1" applyBorder="1" applyAlignment="1">
      <alignment horizontal="center"/>
    </xf>
    <xf numFmtId="0" fontId="2" fillId="7" borderId="3" xfId="5" applyFont="1" applyFill="1" applyBorder="1" applyAlignment="1">
      <alignment horizontal="center"/>
    </xf>
    <xf numFmtId="0" fontId="11" fillId="0" borderId="3" xfId="5" applyFont="1" applyFill="1" applyBorder="1"/>
    <xf numFmtId="164" fontId="14" fillId="11" borderId="3" xfId="5" applyNumberFormat="1" applyFont="1" applyBorder="1" applyAlignment="1">
      <alignment horizontal="center"/>
    </xf>
    <xf numFmtId="2" fontId="1" fillId="12" borderId="7" xfId="0" applyNumberFormat="1" applyFont="1" applyFill="1" applyBorder="1" applyAlignment="1">
      <alignment horizontal="center" vertical="center"/>
    </xf>
    <xf numFmtId="2" fontId="2" fillId="13" borderId="3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2" fontId="0" fillId="0" borderId="3" xfId="5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165" fontId="0" fillId="9" borderId="0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167" fontId="1" fillId="6" borderId="3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2" fontId="1" fillId="15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2" fontId="2" fillId="15" borderId="3" xfId="0" applyNumberFormat="1" applyFont="1" applyFill="1" applyBorder="1" applyAlignment="1">
      <alignment horizontal="center"/>
    </xf>
    <xf numFmtId="2" fontId="1" fillId="15" borderId="3" xfId="0" applyNumberFormat="1" applyFont="1" applyFill="1" applyBorder="1" applyAlignment="1">
      <alignment horizontal="center"/>
    </xf>
    <xf numFmtId="164" fontId="1" fillId="15" borderId="3" xfId="0" applyNumberFormat="1" applyFont="1" applyFill="1" applyBorder="1" applyAlignment="1">
      <alignment horizontal="center"/>
    </xf>
    <xf numFmtId="2" fontId="14" fillId="11" borderId="3" xfId="5" applyNumberFormat="1" applyFont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1" fillId="0" borderId="3" xfId="0" applyFont="1" applyBorder="1"/>
    <xf numFmtId="2" fontId="14" fillId="11" borderId="3" xfId="5" applyNumberFormat="1" applyFont="1" applyBorder="1"/>
    <xf numFmtId="0" fontId="0" fillId="0" borderId="3" xfId="0" applyBorder="1"/>
    <xf numFmtId="0" fontId="15" fillId="17" borderId="4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/>
    </xf>
    <xf numFmtId="0" fontId="15" fillId="17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13" borderId="3" xfId="0" applyFill="1" applyBorder="1" applyAlignment="1">
      <alignment horizontal="center" vertical="center" wrapText="1"/>
    </xf>
    <xf numFmtId="0" fontId="15" fillId="17" borderId="19" xfId="0" applyFont="1" applyFill="1" applyBorder="1" applyAlignment="1">
      <alignment horizontal="center" vertical="center" wrapText="1"/>
    </xf>
    <xf numFmtId="0" fontId="15" fillId="19" borderId="7" xfId="0" applyFont="1" applyFill="1" applyBorder="1" applyAlignment="1">
      <alignment horizontal="center"/>
    </xf>
    <xf numFmtId="0" fontId="15" fillId="17" borderId="22" xfId="0" applyFont="1" applyFill="1" applyBorder="1" applyAlignment="1">
      <alignment horizontal="center" vertical="center" wrapText="1"/>
    </xf>
    <xf numFmtId="0" fontId="15" fillId="17" borderId="23" xfId="0" applyFont="1" applyFill="1" applyBorder="1" applyAlignment="1">
      <alignment horizontal="center" vertical="center"/>
    </xf>
    <xf numFmtId="0" fontId="15" fillId="19" borderId="2" xfId="0" applyFont="1" applyFill="1" applyBorder="1" applyAlignment="1">
      <alignment horizontal="center"/>
    </xf>
    <xf numFmtId="0" fontId="15" fillId="19" borderId="24" xfId="0" applyFont="1" applyFill="1" applyBorder="1" applyAlignment="1">
      <alignment horizontal="center"/>
    </xf>
    <xf numFmtId="0" fontId="15" fillId="17" borderId="23" xfId="0" applyFont="1" applyFill="1" applyBorder="1" applyAlignment="1">
      <alignment horizontal="center" vertical="center" wrapText="1"/>
    </xf>
    <xf numFmtId="0" fontId="15" fillId="17" borderId="24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2" fontId="2" fillId="24" borderId="3" xfId="0" applyNumberFormat="1" applyFont="1" applyFill="1" applyBorder="1" applyAlignment="1">
      <alignment horizontal="center"/>
    </xf>
    <xf numFmtId="2" fontId="5" fillId="24" borderId="3" xfId="0" applyNumberFormat="1" applyFont="1" applyFill="1" applyBorder="1" applyAlignment="1">
      <alignment horizontal="center"/>
    </xf>
    <xf numFmtId="0" fontId="0" fillId="28" borderId="3" xfId="0" applyFill="1" applyBorder="1" applyAlignment="1">
      <alignment horizontal="center" vertical="center" wrapText="1"/>
    </xf>
    <xf numFmtId="0" fontId="0" fillId="12" borderId="3" xfId="0" applyFill="1" applyBorder="1"/>
    <xf numFmtId="2" fontId="0" fillId="0" borderId="3" xfId="0" applyNumberFormat="1" applyBorder="1" applyAlignment="1">
      <alignment horizontal="center"/>
    </xf>
    <xf numFmtId="0" fontId="0" fillId="27" borderId="3" xfId="0" applyFill="1" applyBorder="1"/>
    <xf numFmtId="2" fontId="0" fillId="0" borderId="3" xfId="0" applyNumberFormat="1" applyBorder="1"/>
    <xf numFmtId="168" fontId="0" fillId="0" borderId="3" xfId="0" applyNumberFormat="1" applyFill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29" borderId="3" xfId="0" applyNumberFormat="1" applyFill="1" applyBorder="1" applyAlignment="1">
      <alignment horizontal="center"/>
    </xf>
    <xf numFmtId="2" fontId="0" fillId="18" borderId="3" xfId="0" applyNumberFormat="1" applyFill="1" applyBorder="1" applyAlignment="1">
      <alignment horizontal="center"/>
    </xf>
    <xf numFmtId="0" fontId="0" fillId="13" borderId="5" xfId="0" applyFill="1" applyBorder="1" applyAlignment="1">
      <alignment horizontal="center" vertical="center" wrapText="1"/>
    </xf>
    <xf numFmtId="0" fontId="0" fillId="25" borderId="5" xfId="0" applyFill="1" applyBorder="1" applyAlignment="1">
      <alignment horizontal="center" vertical="center" wrapText="1"/>
    </xf>
    <xf numFmtId="0" fontId="0" fillId="26" borderId="5" xfId="0" applyFill="1" applyBorder="1" applyAlignment="1">
      <alignment horizontal="center" vertical="center" wrapText="1"/>
    </xf>
    <xf numFmtId="0" fontId="0" fillId="31" borderId="30" xfId="0" applyFill="1" applyBorder="1" applyAlignment="1">
      <alignment horizontal="center"/>
    </xf>
    <xf numFmtId="0" fontId="0" fillId="31" borderId="31" xfId="0" applyFill="1" applyBorder="1" applyAlignment="1">
      <alignment horizontal="center"/>
    </xf>
    <xf numFmtId="165" fontId="0" fillId="31" borderId="30" xfId="0" applyNumberFormat="1" applyFill="1" applyBorder="1" applyAlignment="1">
      <alignment horizontal="center"/>
    </xf>
    <xf numFmtId="2" fontId="0" fillId="31" borderId="30" xfId="0" applyNumberFormat="1" applyFill="1" applyBorder="1" applyAlignment="1">
      <alignment horizontal="center"/>
    </xf>
    <xf numFmtId="2" fontId="0" fillId="31" borderId="31" xfId="0" applyNumberFormat="1" applyFill="1" applyBorder="1" applyAlignment="1">
      <alignment horizontal="center"/>
    </xf>
    <xf numFmtId="0" fontId="0" fillId="31" borderId="3" xfId="0" applyFill="1" applyBorder="1" applyAlignment="1">
      <alignment horizontal="center"/>
    </xf>
    <xf numFmtId="0" fontId="0" fillId="31" borderId="24" xfId="0" applyFill="1" applyBorder="1" applyAlignment="1">
      <alignment horizontal="center"/>
    </xf>
    <xf numFmtId="165" fontId="0" fillId="31" borderId="3" xfId="0" applyNumberFormat="1" applyFill="1" applyBorder="1" applyAlignment="1">
      <alignment horizontal="center"/>
    </xf>
    <xf numFmtId="2" fontId="0" fillId="31" borderId="3" xfId="0" applyNumberFormat="1" applyFill="1" applyBorder="1" applyAlignment="1">
      <alignment horizontal="center"/>
    </xf>
    <xf numFmtId="2" fontId="0" fillId="31" borderId="24" xfId="0" applyNumberFormat="1" applyFill="1" applyBorder="1" applyAlignment="1">
      <alignment horizontal="center"/>
    </xf>
    <xf numFmtId="0" fontId="0" fillId="31" borderId="26" xfId="0" applyFill="1" applyBorder="1" applyAlignment="1">
      <alignment horizontal="center"/>
    </xf>
    <xf numFmtId="0" fontId="0" fillId="31" borderId="27" xfId="0" applyFill="1" applyBorder="1" applyAlignment="1">
      <alignment horizontal="center"/>
    </xf>
    <xf numFmtId="165" fontId="0" fillId="31" borderId="26" xfId="0" applyNumberFormat="1" applyFill="1" applyBorder="1" applyAlignment="1">
      <alignment horizontal="center"/>
    </xf>
    <xf numFmtId="2" fontId="0" fillId="31" borderId="26" xfId="0" applyNumberFormat="1" applyFill="1" applyBorder="1" applyAlignment="1">
      <alignment horizontal="center"/>
    </xf>
    <xf numFmtId="2" fontId="0" fillId="31" borderId="27" xfId="0" applyNumberFormat="1" applyFill="1" applyBorder="1" applyAlignment="1">
      <alignment horizontal="center"/>
    </xf>
    <xf numFmtId="0" fontId="0" fillId="32" borderId="30" xfId="0" applyFill="1" applyBorder="1" applyAlignment="1">
      <alignment horizontal="center"/>
    </xf>
    <xf numFmtId="165" fontId="0" fillId="32" borderId="30" xfId="0" applyNumberFormat="1" applyFill="1" applyBorder="1" applyAlignment="1">
      <alignment horizontal="center"/>
    </xf>
    <xf numFmtId="2" fontId="0" fillId="32" borderId="30" xfId="0" applyNumberFormat="1" applyFill="1" applyBorder="1" applyAlignment="1">
      <alignment horizontal="center"/>
    </xf>
    <xf numFmtId="2" fontId="0" fillId="32" borderId="31" xfId="0" applyNumberFormat="1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24" xfId="0" applyFill="1" applyBorder="1" applyAlignment="1">
      <alignment horizontal="center"/>
    </xf>
    <xf numFmtId="165" fontId="0" fillId="32" borderId="3" xfId="0" applyNumberFormat="1" applyFill="1" applyBorder="1" applyAlignment="1">
      <alignment horizontal="center"/>
    </xf>
    <xf numFmtId="2" fontId="0" fillId="32" borderId="3" xfId="0" applyNumberFormat="1" applyFill="1" applyBorder="1" applyAlignment="1">
      <alignment horizontal="center"/>
    </xf>
    <xf numFmtId="2" fontId="0" fillId="32" borderId="24" xfId="0" applyNumberFormat="1" applyFill="1" applyBorder="1" applyAlignment="1">
      <alignment horizontal="center"/>
    </xf>
    <xf numFmtId="0" fontId="0" fillId="32" borderId="26" xfId="0" applyFill="1" applyBorder="1" applyAlignment="1">
      <alignment horizontal="center"/>
    </xf>
    <xf numFmtId="0" fontId="0" fillId="32" borderId="27" xfId="0" applyFill="1" applyBorder="1" applyAlignment="1">
      <alignment horizontal="center"/>
    </xf>
    <xf numFmtId="165" fontId="0" fillId="32" borderId="26" xfId="0" applyNumberFormat="1" applyFill="1" applyBorder="1" applyAlignment="1">
      <alignment horizontal="center"/>
    </xf>
    <xf numFmtId="2" fontId="0" fillId="32" borderId="26" xfId="0" applyNumberFormat="1" applyFill="1" applyBorder="1" applyAlignment="1">
      <alignment horizontal="center"/>
    </xf>
    <xf numFmtId="2" fontId="0" fillId="32" borderId="27" xfId="0" applyNumberFormat="1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32" borderId="7" xfId="0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0" fontId="0" fillId="31" borderId="7" xfId="0" applyFill="1" applyBorder="1" applyAlignment="1">
      <alignment horizontal="center"/>
    </xf>
    <xf numFmtId="0" fontId="0" fillId="31" borderId="25" xfId="0" applyFill="1" applyBorder="1" applyAlignment="1">
      <alignment horizontal="center"/>
    </xf>
    <xf numFmtId="0" fontId="0" fillId="31" borderId="3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31" borderId="29" xfId="0" applyFill="1" applyBorder="1" applyAlignment="1">
      <alignment horizontal="center"/>
    </xf>
    <xf numFmtId="0" fontId="0" fillId="32" borderId="29" xfId="0" applyFill="1" applyBorder="1" applyAlignment="1">
      <alignment horizontal="center"/>
    </xf>
    <xf numFmtId="0" fontId="0" fillId="32" borderId="25" xfId="0" applyFill="1" applyBorder="1" applyAlignment="1">
      <alignment horizontal="center"/>
    </xf>
    <xf numFmtId="0" fontId="0" fillId="32" borderId="35" xfId="0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2" borderId="32" xfId="0" applyFill="1" applyBorder="1" applyAlignment="1">
      <alignment horizontal="center"/>
    </xf>
    <xf numFmtId="2" fontId="0" fillId="32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37" xfId="0" applyFont="1" applyBorder="1" applyAlignment="1">
      <alignment horizontal="center"/>
    </xf>
    <xf numFmtId="14" fontId="0" fillId="32" borderId="1" xfId="0" applyNumberFormat="1" applyFill="1" applyBorder="1"/>
    <xf numFmtId="14" fontId="0" fillId="32" borderId="38" xfId="0" applyNumberFormat="1" applyFill="1" applyBorder="1"/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3" xfId="0" applyNumberFormat="1" applyBorder="1"/>
    <xf numFmtId="166" fontId="20" fillId="0" borderId="3" xfId="0" applyNumberFormat="1" applyFont="1" applyBorder="1" applyAlignment="1">
      <alignment horizontal="center"/>
    </xf>
    <xf numFmtId="14" fontId="0" fillId="31" borderId="20" xfId="0" applyNumberFormat="1" applyFill="1" applyBorder="1"/>
    <xf numFmtId="14" fontId="0" fillId="31" borderId="38" xfId="0" applyNumberFormat="1" applyFill="1" applyBorder="1"/>
    <xf numFmtId="14" fontId="0" fillId="31" borderId="39" xfId="0" applyNumberFormat="1" applyFill="1" applyBorder="1"/>
    <xf numFmtId="14" fontId="0" fillId="32" borderId="40" xfId="0" applyNumberFormat="1" applyFill="1" applyBorder="1"/>
    <xf numFmtId="14" fontId="0" fillId="32" borderId="41" xfId="0" applyNumberFormat="1" applyFill="1" applyBorder="1"/>
    <xf numFmtId="14" fontId="0" fillId="32" borderId="39" xfId="0" applyNumberFormat="1" applyFill="1" applyBorder="1"/>
    <xf numFmtId="0" fontId="0" fillId="31" borderId="18" xfId="0" applyFill="1" applyBorder="1" applyAlignment="1">
      <alignment horizontal="center"/>
    </xf>
    <xf numFmtId="0" fontId="0" fillId="32" borderId="13" xfId="0" applyFill="1" applyBorder="1" applyAlignment="1">
      <alignment horizontal="center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31" xfId="0" applyFont="1" applyFill="1" applyBorder="1" applyAlignment="1">
      <alignment horizontal="center" vertical="center" wrapText="1"/>
    </xf>
    <xf numFmtId="0" fontId="15" fillId="17" borderId="4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/>
    </xf>
    <xf numFmtId="2" fontId="0" fillId="32" borderId="1" xfId="0" applyNumberFormat="1" applyFill="1" applyBorder="1" applyAlignment="1">
      <alignment horizontal="center"/>
    </xf>
    <xf numFmtId="2" fontId="0" fillId="32" borderId="43" xfId="0" applyNumberFormat="1" applyFill="1" applyBorder="1" applyAlignment="1">
      <alignment horizontal="center"/>
    </xf>
    <xf numFmtId="2" fontId="0" fillId="31" borderId="42" xfId="0" applyNumberFormat="1" applyFill="1" applyBorder="1" applyAlignment="1">
      <alignment horizontal="center"/>
    </xf>
    <xf numFmtId="2" fontId="0" fillId="31" borderId="1" xfId="0" applyNumberFormat="1" applyFill="1" applyBorder="1" applyAlignment="1">
      <alignment horizontal="center"/>
    </xf>
    <xf numFmtId="2" fontId="0" fillId="31" borderId="43" xfId="0" applyNumberFormat="1" applyFill="1" applyBorder="1" applyAlignment="1">
      <alignment horizontal="center"/>
    </xf>
    <xf numFmtId="11" fontId="0" fillId="30" borderId="7" xfId="0" applyNumberFormat="1" applyFill="1" applyBorder="1" applyAlignment="1">
      <alignment horizontal="center"/>
    </xf>
    <xf numFmtId="11" fontId="0" fillId="30" borderId="24" xfId="0" applyNumberFormat="1" applyFill="1" applyBorder="1" applyAlignment="1">
      <alignment horizontal="center"/>
    </xf>
    <xf numFmtId="11" fontId="0" fillId="4" borderId="3" xfId="0" applyNumberFormat="1" applyFill="1" applyBorder="1" applyAlignment="1">
      <alignment horizontal="center"/>
    </xf>
    <xf numFmtId="11" fontId="0" fillId="16" borderId="3" xfId="0" applyNumberFormat="1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15" fillId="22" borderId="13" xfId="0" applyFont="1" applyFill="1" applyBorder="1" applyAlignment="1">
      <alignment horizontal="center" vertical="center" wrapText="1"/>
    </xf>
    <xf numFmtId="0" fontId="15" fillId="22" borderId="40" xfId="0" applyFont="1" applyFill="1" applyBorder="1" applyAlignment="1">
      <alignment horizontal="center" vertical="center" wrapText="1"/>
    </xf>
    <xf numFmtId="0" fontId="15" fillId="22" borderId="32" xfId="0" applyFont="1" applyFill="1" applyBorder="1" applyAlignment="1">
      <alignment horizontal="center" vertical="center" wrapText="1"/>
    </xf>
    <xf numFmtId="11" fontId="0" fillId="4" borderId="1" xfId="0" applyNumberFormat="1" applyFill="1" applyBorder="1" applyAlignment="1">
      <alignment horizontal="center"/>
    </xf>
    <xf numFmtId="11" fontId="0" fillId="16" borderId="24" xfId="0" applyNumberForma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5" fillId="2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0" fillId="3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15" fillId="36" borderId="3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 wrapText="1"/>
    </xf>
    <xf numFmtId="2" fontId="15" fillId="6" borderId="0" xfId="0" applyNumberFormat="1" applyFont="1" applyFill="1" applyAlignment="1">
      <alignment horizontal="center"/>
    </xf>
    <xf numFmtId="2" fontId="15" fillId="6" borderId="3" xfId="0" applyNumberFormat="1" applyFont="1" applyFill="1" applyBorder="1" applyAlignment="1">
      <alignment horizontal="center"/>
    </xf>
    <xf numFmtId="168" fontId="15" fillId="6" borderId="3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34" borderId="5" xfId="0" applyFont="1" applyFill="1" applyBorder="1" applyAlignment="1">
      <alignment horizontal="center" vertical="center" wrapText="1"/>
    </xf>
    <xf numFmtId="0" fontId="15" fillId="27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/>
    <xf numFmtId="2" fontId="20" fillId="0" borderId="3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37" borderId="3" xfId="0" applyNumberFormat="1" applyFill="1" applyBorder="1" applyAlignment="1">
      <alignment horizontal="center"/>
    </xf>
    <xf numFmtId="0" fontId="15" fillId="22" borderId="7" xfId="0" applyFont="1" applyFill="1" applyBorder="1" applyAlignment="1">
      <alignment horizontal="center" vertical="center" wrapText="1"/>
    </xf>
    <xf numFmtId="1" fontId="0" fillId="32" borderId="3" xfId="0" applyNumberFormat="1" applyFill="1" applyBorder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3" xfId="0" applyNumberFormat="1" applyFont="1" applyFill="1" applyBorder="1" applyAlignment="1">
      <alignment horizontal="center"/>
    </xf>
    <xf numFmtId="2" fontId="15" fillId="3" borderId="3" xfId="0" applyNumberFormat="1" applyFont="1" applyFill="1" applyBorder="1"/>
    <xf numFmtId="2" fontId="0" fillId="0" borderId="9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46" xfId="0" applyFill="1" applyBorder="1"/>
    <xf numFmtId="0" fontId="0" fillId="27" borderId="9" xfId="0" applyFill="1" applyBorder="1"/>
    <xf numFmtId="0" fontId="0" fillId="0" borderId="9" xfId="0" applyFill="1" applyBorder="1"/>
    <xf numFmtId="0" fontId="0" fillId="0" borderId="3" xfId="0" applyFill="1" applyBorder="1"/>
    <xf numFmtId="2" fontId="0" fillId="18" borderId="9" xfId="0" applyNumberFormat="1" applyFill="1" applyBorder="1" applyAlignment="1">
      <alignment horizontal="center"/>
    </xf>
    <xf numFmtId="165" fontId="0" fillId="0" borderId="0" xfId="0" applyNumberFormat="1"/>
    <xf numFmtId="2" fontId="0" fillId="32" borderId="42" xfId="0" applyNumberFormat="1" applyFill="1" applyBorder="1" applyAlignment="1">
      <alignment horizontal="center"/>
    </xf>
    <xf numFmtId="14" fontId="0" fillId="23" borderId="39" xfId="0" applyNumberFormat="1" applyFill="1" applyBorder="1"/>
    <xf numFmtId="0" fontId="0" fillId="23" borderId="3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23" borderId="26" xfId="0" applyFill="1" applyBorder="1" applyAlignment="1">
      <alignment horizontal="center"/>
    </xf>
    <xf numFmtId="2" fontId="0" fillId="23" borderId="26" xfId="0" applyNumberFormat="1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25" xfId="0" applyFill="1" applyBorder="1" applyAlignment="1">
      <alignment horizontal="center"/>
    </xf>
    <xf numFmtId="165" fontId="0" fillId="23" borderId="26" xfId="0" applyNumberFormat="1" applyFill="1" applyBorder="1" applyAlignment="1">
      <alignment horizontal="center"/>
    </xf>
    <xf numFmtId="2" fontId="0" fillId="23" borderId="27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center"/>
    </xf>
    <xf numFmtId="1" fontId="0" fillId="23" borderId="3" xfId="0" applyNumberFormat="1" applyFill="1" applyBorder="1" applyAlignment="1">
      <alignment horizontal="center"/>
    </xf>
    <xf numFmtId="11" fontId="0" fillId="23" borderId="7" xfId="0" applyNumberFormat="1" applyFill="1" applyBorder="1" applyAlignment="1">
      <alignment horizontal="center"/>
    </xf>
    <xf numFmtId="11" fontId="0" fillId="23" borderId="24" xfId="0" applyNumberFormat="1" applyFill="1" applyBorder="1" applyAlignment="1">
      <alignment horizontal="center"/>
    </xf>
    <xf numFmtId="11" fontId="0" fillId="23" borderId="3" xfId="0" applyNumberFormat="1" applyFill="1" applyBorder="1" applyAlignment="1">
      <alignment horizontal="center"/>
    </xf>
    <xf numFmtId="11" fontId="0" fillId="23" borderId="1" xfId="0" applyNumberFormat="1" applyFill="1" applyBorder="1" applyAlignment="1">
      <alignment horizontal="center"/>
    </xf>
    <xf numFmtId="0" fontId="0" fillId="23" borderId="24" xfId="0" applyFill="1" applyBorder="1" applyAlignment="1">
      <alignment horizontal="center"/>
    </xf>
    <xf numFmtId="0" fontId="0" fillId="23" borderId="0" xfId="0" applyFill="1"/>
    <xf numFmtId="165" fontId="0" fillId="23" borderId="3" xfId="0" applyNumberFormat="1" applyFill="1" applyBorder="1" applyAlignment="1">
      <alignment horizontal="center"/>
    </xf>
    <xf numFmtId="0" fontId="0" fillId="23" borderId="3" xfId="0" applyFill="1" applyBorder="1"/>
    <xf numFmtId="0" fontId="0" fillId="23" borderId="3" xfId="0" applyFill="1" applyBorder="1" applyAlignment="1">
      <alignment wrapText="1"/>
    </xf>
    <xf numFmtId="0" fontId="0" fillId="23" borderId="1" xfId="0" applyFill="1" applyBorder="1"/>
    <xf numFmtId="0" fontId="0" fillId="23" borderId="4" xfId="0" applyFill="1" applyBorder="1"/>
    <xf numFmtId="2" fontId="0" fillId="23" borderId="3" xfId="0" applyNumberFormat="1" applyFill="1" applyBorder="1"/>
    <xf numFmtId="166" fontId="0" fillId="23" borderId="3" xfId="0" applyNumberFormat="1" applyFill="1" applyBorder="1"/>
    <xf numFmtId="166" fontId="20" fillId="23" borderId="3" xfId="0" applyNumberFormat="1" applyFont="1" applyFill="1" applyBorder="1" applyAlignment="1">
      <alignment horizontal="center"/>
    </xf>
    <xf numFmtId="2" fontId="0" fillId="23" borderId="3" xfId="0" applyNumberFormat="1" applyFill="1" applyBorder="1" applyAlignment="1">
      <alignment horizontal="center"/>
    </xf>
    <xf numFmtId="168" fontId="0" fillId="23" borderId="3" xfId="0" applyNumberFormat="1" applyFill="1" applyBorder="1" applyAlignment="1">
      <alignment horizontal="center"/>
    </xf>
    <xf numFmtId="2" fontId="20" fillId="23" borderId="3" xfId="0" applyNumberFormat="1" applyFont="1" applyFill="1" applyBorder="1" applyAlignment="1">
      <alignment horizontal="center"/>
    </xf>
    <xf numFmtId="14" fontId="0" fillId="23" borderId="1" xfId="0" applyNumberFormat="1" applyFill="1" applyBorder="1"/>
    <xf numFmtId="0" fontId="0" fillId="23" borderId="7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2" fontId="0" fillId="23" borderId="24" xfId="0" applyNumberFormat="1" applyFill="1" applyBorder="1" applyAlignment="1">
      <alignment horizontal="center"/>
    </xf>
    <xf numFmtId="2" fontId="0" fillId="23" borderId="1" xfId="0" applyNumberFormat="1" applyFill="1" applyBorder="1" applyAlignment="1">
      <alignment horizontal="center"/>
    </xf>
    <xf numFmtId="2" fontId="0" fillId="23" borderId="0" xfId="0" applyNumberFormat="1" applyFill="1"/>
    <xf numFmtId="2" fontId="0" fillId="27" borderId="9" xfId="0" applyNumberFormat="1" applyFill="1" applyBorder="1"/>
    <xf numFmtId="168" fontId="0" fillId="0" borderId="0" xfId="0" applyNumberFormat="1"/>
    <xf numFmtId="168" fontId="0" fillId="29" borderId="9" xfId="0" applyNumberFormat="1" applyFill="1" applyBorder="1" applyAlignment="1">
      <alignment horizontal="center"/>
    </xf>
    <xf numFmtId="0" fontId="15" fillId="37" borderId="3" xfId="0" applyFont="1" applyFill="1" applyBorder="1" applyAlignment="1">
      <alignment horizontal="center" vertical="center"/>
    </xf>
    <xf numFmtId="0" fontId="24" fillId="15" borderId="36" xfId="0" applyFont="1" applyFill="1" applyBorder="1" applyAlignment="1">
      <alignment horizontal="center"/>
    </xf>
    <xf numFmtId="0" fontId="24" fillId="15" borderId="28" xfId="0" applyFont="1" applyFill="1" applyBorder="1" applyAlignment="1">
      <alignment horizontal="center"/>
    </xf>
    <xf numFmtId="0" fontId="24" fillId="15" borderId="44" xfId="0" applyFont="1" applyFill="1" applyBorder="1" applyAlignment="1">
      <alignment horizontal="center"/>
    </xf>
    <xf numFmtId="0" fontId="24" fillId="15" borderId="33" xfId="0" applyFont="1" applyFill="1" applyBorder="1" applyAlignment="1">
      <alignment horizontal="center"/>
    </xf>
    <xf numFmtId="0" fontId="24" fillId="15" borderId="8" xfId="0" applyFont="1" applyFill="1" applyBorder="1" applyAlignment="1">
      <alignment horizontal="center"/>
    </xf>
    <xf numFmtId="0" fontId="24" fillId="15" borderId="34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 vertical="center"/>
    </xf>
    <xf numFmtId="0" fontId="15" fillId="15" borderId="10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0" fontId="16" fillId="16" borderId="28" xfId="0" applyFont="1" applyFill="1" applyBorder="1" applyAlignment="1">
      <alignment horizontal="center" vertical="center"/>
    </xf>
    <xf numFmtId="0" fontId="16" fillId="18" borderId="20" xfId="0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0" fontId="17" fillId="18" borderId="20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21" xfId="0" applyFont="1" applyFill="1" applyBorder="1" applyAlignment="1">
      <alignment horizontal="center" vertical="center"/>
    </xf>
    <xf numFmtId="0" fontId="17" fillId="21" borderId="28" xfId="0" applyFont="1" applyFill="1" applyBorder="1" applyAlignment="1">
      <alignment horizontal="center" vertical="center"/>
    </xf>
    <xf numFmtId="0" fontId="17" fillId="21" borderId="16" xfId="0" applyFont="1" applyFill="1" applyBorder="1" applyAlignment="1">
      <alignment horizontal="center" vertical="center"/>
    </xf>
    <xf numFmtId="0" fontId="16" fillId="20" borderId="46" xfId="0" applyFont="1" applyFill="1" applyBorder="1" applyAlignment="1">
      <alignment horizontal="center" vertical="center"/>
    </xf>
    <xf numFmtId="0" fontId="16" fillId="20" borderId="0" xfId="0" applyFont="1" applyFill="1" applyBorder="1" applyAlignment="1">
      <alignment horizontal="center" vertical="center"/>
    </xf>
    <xf numFmtId="0" fontId="16" fillId="20" borderId="47" xfId="0" applyFont="1" applyFill="1" applyBorder="1" applyAlignment="1">
      <alignment horizontal="center" vertical="center"/>
    </xf>
    <xf numFmtId="0" fontId="15" fillId="17" borderId="4" xfId="0" applyFont="1" applyFill="1" applyBorder="1" applyAlignment="1">
      <alignment horizontal="center" vertical="center" wrapText="1"/>
    </xf>
    <xf numFmtId="0" fontId="15" fillId="17" borderId="5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3" borderId="15" xfId="0" applyFont="1" applyFill="1" applyBorder="1" applyAlignment="1">
      <alignment horizontal="center" vertical="center"/>
    </xf>
    <xf numFmtId="0" fontId="16" fillId="23" borderId="16" xfId="0" applyFont="1" applyFill="1" applyBorder="1" applyAlignment="1">
      <alignment horizontal="center" vertical="center"/>
    </xf>
    <xf numFmtId="0" fontId="15" fillId="24" borderId="33" xfId="0" applyFont="1" applyFill="1" applyBorder="1" applyAlignment="1">
      <alignment horizontal="center" vertical="center"/>
    </xf>
    <xf numFmtId="0" fontId="15" fillId="24" borderId="8" xfId="0" applyFont="1" applyFill="1" applyBorder="1" applyAlignment="1">
      <alignment horizontal="center" vertical="center"/>
    </xf>
    <xf numFmtId="0" fontId="15" fillId="24" borderId="34" xfId="0" applyFont="1" applyFill="1" applyBorder="1" applyAlignment="1">
      <alignment horizontal="center" vertical="center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32" xfId="0" applyFont="1" applyFill="1" applyBorder="1" applyAlignment="1">
      <alignment horizontal="center" vertical="center" wrapText="1"/>
    </xf>
    <xf numFmtId="0" fontId="17" fillId="20" borderId="36" xfId="0" applyFont="1" applyFill="1" applyBorder="1" applyAlignment="1">
      <alignment horizontal="center"/>
    </xf>
    <xf numFmtId="0" fontId="17" fillId="20" borderId="2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6" borderId="14" xfId="0" applyNumberFormat="1" applyFont="1" applyFill="1" applyBorder="1" applyAlignment="1">
      <alignment horizontal="center"/>
    </xf>
    <xf numFmtId="0" fontId="1" fillId="6" borderId="15" xfId="0" applyNumberFormat="1" applyFont="1" applyFill="1" applyBorder="1" applyAlignment="1">
      <alignment horizontal="center"/>
    </xf>
    <xf numFmtId="0" fontId="1" fillId="6" borderId="16" xfId="0" applyNumberFormat="1" applyFont="1" applyFill="1" applyBorder="1" applyAlignment="1">
      <alignment horizontal="center"/>
    </xf>
    <xf numFmtId="0" fontId="2" fillId="6" borderId="15" xfId="0" applyNumberFormat="1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</cellXfs>
  <cellStyles count="6">
    <cellStyle name="20% - Accent5" xfId="4" builtinId="46"/>
    <cellStyle name="Hyperlink" xfId="1" builtinId="8"/>
    <cellStyle name="Hyperlink 2" xfId="3"/>
    <cellStyle name="Neutral" xfId="5" builtinId="2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B4F7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s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3472584856398"/>
          <c:y val="8.0385852090032156E-2"/>
          <c:w val="0.77806788511749347"/>
          <c:h val="0.71061093247588425"/>
        </c:manualLayout>
      </c:layout>
      <c:scatterChart>
        <c:scatterStyle val="lineMarker"/>
        <c:varyColors val="0"/>
        <c:ser>
          <c:idx val="0"/>
          <c:order val="0"/>
          <c:tx>
            <c:v>Tabulated data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hliquid1!$B$3:$B$12</c:f>
              <c:numCache>
                <c:formatCode>0.00</c:formatCode>
                <c:ptCount val="1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69.17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</c:numCache>
            </c:numRef>
          </c:xVal>
          <c:yVal>
            <c:numRef>
              <c:f>hliquid1!$C$3:$C$12</c:f>
              <c:numCache>
                <c:formatCode>0.00</c:formatCode>
                <c:ptCount val="10"/>
                <c:pt idx="0">
                  <c:v>121.46</c:v>
                </c:pt>
                <c:pt idx="1">
                  <c:v>151.53</c:v>
                </c:pt>
                <c:pt idx="2">
                  <c:v>173.88</c:v>
                </c:pt>
                <c:pt idx="3">
                  <c:v>191.83</c:v>
                </c:pt>
                <c:pt idx="4">
                  <c:v>251.4</c:v>
                </c:pt>
                <c:pt idx="5">
                  <c:v>289.23</c:v>
                </c:pt>
                <c:pt idx="6">
                  <c:v>317.58</c:v>
                </c:pt>
                <c:pt idx="7">
                  <c:v>340.49</c:v>
                </c:pt>
                <c:pt idx="8">
                  <c:v>359.86</c:v>
                </c:pt>
                <c:pt idx="9">
                  <c:v>376.7</c:v>
                </c:pt>
              </c:numCache>
            </c:numRef>
          </c:yVal>
          <c:smooth val="0"/>
        </c:ser>
        <c:ser>
          <c:idx val="1"/>
          <c:order val="1"/>
          <c:tx>
            <c:v>Interpolated data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hliquid1!$E$19:$E$23</c:f>
              <c:numCache>
                <c:formatCode>General</c:formatCode>
                <c:ptCount val="5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159</c:v>
                </c:pt>
              </c:numCache>
            </c:numRef>
          </c:xVal>
          <c:yVal>
            <c:numRef>
              <c:f>hliquid1!$F$19:$F$23</c:f>
              <c:numCache>
                <c:formatCode>0.00</c:formatCode>
                <c:ptCount val="5"/>
                <c:pt idx="0">
                  <c:v>710.56901680622309</c:v>
                </c:pt>
                <c:pt idx="1">
                  <c:v>731.42279674415079</c:v>
                </c:pt>
                <c:pt idx="2">
                  <c:v>753.3539567806248</c:v>
                </c:pt>
                <c:pt idx="3">
                  <c:v>773.1303566200063</c:v>
                </c:pt>
                <c:pt idx="4">
                  <c:v>664.69070094278209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9616"/>
        <c:axId val="54721920"/>
      </c:scatterChart>
      <c:valAx>
        <c:axId val="547196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s-MY"/>
                  <a:t>Air Velocity [FPM]</a:t>
                </a:r>
              </a:p>
            </c:rich>
          </c:tx>
          <c:layout>
            <c:manualLayout>
              <c:xMode val="edge"/>
              <c:yMode val="edge"/>
              <c:x val="0.41253263707571802"/>
              <c:y val="0.87781348759976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54721920"/>
        <c:crosses val="autoZero"/>
        <c:crossBetween val="midCat"/>
      </c:valAx>
      <c:valAx>
        <c:axId val="5472192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s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Thermal Resistance [°C/W]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575563768814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54719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57702349869447"/>
          <c:y val="0.18006427767957575"/>
          <c:w val="0.30809399477806787"/>
          <c:h val="0.12540182477190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ms-M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ms-MY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s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3472584856398"/>
          <c:y val="8.0385852090032156E-2"/>
          <c:w val="0.77806788511749347"/>
          <c:h val="0.71061093247588425"/>
        </c:manualLayout>
      </c:layout>
      <c:scatterChart>
        <c:scatterStyle val="lineMarker"/>
        <c:varyColors val="0"/>
        <c:ser>
          <c:idx val="0"/>
          <c:order val="0"/>
          <c:tx>
            <c:v>Tabulated data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hvapour1!$B$3:$B$12</c:f>
              <c:numCache>
                <c:formatCode>0.00</c:formatCode>
                <c:ptCount val="1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69.17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</c:numCache>
            </c:numRef>
          </c:xVal>
          <c:yVal>
            <c:numRef>
              <c:f>hvapour1!$C$3:$C$12</c:f>
              <c:numCache>
                <c:formatCode>0.00</c:formatCode>
                <c:ptCount val="10"/>
                <c:pt idx="0">
                  <c:v>2554.4</c:v>
                </c:pt>
                <c:pt idx="1">
                  <c:v>2567.4</c:v>
                </c:pt>
                <c:pt idx="2">
                  <c:v>2577</c:v>
                </c:pt>
                <c:pt idx="3">
                  <c:v>2584.6999999999998</c:v>
                </c:pt>
                <c:pt idx="4">
                  <c:v>2609.6999999999998</c:v>
                </c:pt>
                <c:pt idx="5">
                  <c:v>2625.3</c:v>
                </c:pt>
                <c:pt idx="6">
                  <c:v>2636.8</c:v>
                </c:pt>
                <c:pt idx="7">
                  <c:v>2645.9</c:v>
                </c:pt>
                <c:pt idx="8">
                  <c:v>2653.5</c:v>
                </c:pt>
                <c:pt idx="9">
                  <c:v>2660</c:v>
                </c:pt>
              </c:numCache>
            </c:numRef>
          </c:yVal>
          <c:smooth val="0"/>
        </c:ser>
        <c:ser>
          <c:idx val="1"/>
          <c:order val="1"/>
          <c:tx>
            <c:v>Interpolated data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hvapour1!$E$19:$E$23</c:f>
              <c:numCache>
                <c:formatCode>General</c:formatCode>
                <c:ptCount val="5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194</c:v>
                </c:pt>
              </c:numCache>
            </c:numRef>
          </c:xVal>
          <c:yVal>
            <c:numRef>
              <c:f>hvapour1!$F$19:$F$23</c:f>
              <c:numCache>
                <c:formatCode>0.00</c:formatCode>
                <c:ptCount val="5"/>
                <c:pt idx="0">
                  <c:v>2803.8153071382294</c:v>
                </c:pt>
                <c:pt idx="1">
                  <c:v>2812.798149557857</c:v>
                </c:pt>
                <c:pt idx="2">
                  <c:v>2816.5993052117487</c:v>
                </c:pt>
                <c:pt idx="3">
                  <c:v>2830.7638343971107</c:v>
                </c:pt>
                <c:pt idx="4">
                  <c:v>2846.9329507524399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9648"/>
        <c:axId val="56461952"/>
      </c:scatterChart>
      <c:valAx>
        <c:axId val="564596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s-MY"/>
                  <a:t>Air Velocity [FPM]</a:t>
                </a:r>
              </a:p>
            </c:rich>
          </c:tx>
          <c:layout>
            <c:manualLayout>
              <c:xMode val="edge"/>
              <c:yMode val="edge"/>
              <c:x val="0.41253263707571802"/>
              <c:y val="0.87781348759976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56461952"/>
        <c:crosses val="autoZero"/>
        <c:crossBetween val="midCat"/>
      </c:valAx>
      <c:valAx>
        <c:axId val="5646195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s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Thermal Resistance [°C/W]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575563768814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564596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57702349869447"/>
          <c:y val="0.18006427767957575"/>
          <c:w val="0.30809399477806787"/>
          <c:h val="0.12540182477190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ms-M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ms-MY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s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3472584856398"/>
          <c:y val="8.0385852090032156E-2"/>
          <c:w val="0.77806788511749347"/>
          <c:h val="0.71061093247588425"/>
        </c:manualLayout>
      </c:layout>
      <c:scatterChart>
        <c:scatterStyle val="lineMarker"/>
        <c:varyColors val="0"/>
        <c:ser>
          <c:idx val="0"/>
          <c:order val="0"/>
          <c:tx>
            <c:v>Tabulated data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sliquid1!$B$3:$B$12</c:f>
              <c:numCache>
                <c:formatCode>0.00</c:formatCode>
                <c:ptCount val="1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69.17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</c:numCache>
            </c:numRef>
          </c:xVal>
          <c:yVal>
            <c:numRef>
              <c:f>sliquid1!$C$3:$C$12</c:f>
              <c:numCache>
                <c:formatCode>0.0000</c:formatCode>
                <c:ptCount val="1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</c:numCache>
            </c:numRef>
          </c:yVal>
          <c:smooth val="0"/>
        </c:ser>
        <c:ser>
          <c:idx val="1"/>
          <c:order val="1"/>
          <c:tx>
            <c:v>Interpolated data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sliquid1!$E$19:$E$23</c:f>
              <c:numCache>
                <c:formatCode>General</c:formatCode>
                <c:ptCount val="5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127</c:v>
                </c:pt>
              </c:numCache>
            </c:numRef>
          </c:xVal>
          <c:yVal>
            <c:numRef>
              <c:f>sliquid1!$F$19:$F$23</c:f>
              <c:numCache>
                <c:formatCode>0.00</c:formatCode>
                <c:ptCount val="5"/>
                <c:pt idx="0">
                  <c:v>2.1164211267605673</c:v>
                </c:pt>
                <c:pt idx="1">
                  <c:v>2.1741676056338068</c:v>
                </c:pt>
                <c:pt idx="2">
                  <c:v>2.2319140845070464</c:v>
                </c:pt>
                <c:pt idx="3">
                  <c:v>2.2896605633802869</c:v>
                </c:pt>
                <c:pt idx="4">
                  <c:v>1.6198014084507062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8128"/>
        <c:axId val="60450688"/>
      </c:scatterChart>
      <c:valAx>
        <c:axId val="6044812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s-MY"/>
                  <a:t>Air Velocity [FPM]</a:t>
                </a:r>
              </a:p>
            </c:rich>
          </c:tx>
          <c:layout>
            <c:manualLayout>
              <c:xMode val="edge"/>
              <c:yMode val="edge"/>
              <c:x val="0.41253263707571802"/>
              <c:y val="0.87781348759976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60450688"/>
        <c:crosses val="autoZero"/>
        <c:crossBetween val="midCat"/>
      </c:valAx>
      <c:valAx>
        <c:axId val="604506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s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Thermal Resistance [°C/W]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575563768814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604481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57702349869447"/>
          <c:y val="0.18006427767957575"/>
          <c:w val="0.30809399477806787"/>
          <c:h val="0.12540182477190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ms-M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ms-MY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s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3472584856398"/>
          <c:y val="8.0385852090032156E-2"/>
          <c:w val="0.77806788511749347"/>
          <c:h val="0.71061093247588425"/>
        </c:manualLayout>
      </c:layout>
      <c:scatterChart>
        <c:scatterStyle val="lineMarker"/>
        <c:varyColors val="0"/>
        <c:ser>
          <c:idx val="0"/>
          <c:order val="0"/>
          <c:tx>
            <c:v>Tabulated data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svapour1!$B$3:$B$12</c:f>
              <c:numCache>
                <c:formatCode>0.00</c:formatCode>
                <c:ptCount val="1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69.17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</c:numCache>
            </c:numRef>
          </c:xVal>
          <c:yVal>
            <c:numRef>
              <c:f>svapour1!$C$3:$C$12</c:f>
              <c:numCache>
                <c:formatCode>0.0000</c:formatCode>
                <c:ptCount val="1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</c:numCache>
            </c:numRef>
          </c:yVal>
          <c:smooth val="0"/>
        </c:ser>
        <c:ser>
          <c:idx val="1"/>
          <c:order val="1"/>
          <c:tx>
            <c:v>Interpolated data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svapour1!$E$19:$E$23</c:f>
              <c:numCache>
                <c:formatCode>General</c:formatCode>
                <c:ptCount val="5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194</c:v>
                </c:pt>
              </c:numCache>
            </c:numRef>
          </c:xVal>
          <c:yVal>
            <c:numRef>
              <c:f>svapour1!$F$19:$F$23</c:f>
              <c:numCache>
                <c:formatCode>0.00</c:formatCode>
                <c:ptCount val="5"/>
                <c:pt idx="0">
                  <c:v>6.4627267605633669</c:v>
                </c:pt>
                <c:pt idx="1">
                  <c:v>6.3992056338028034</c:v>
                </c:pt>
                <c:pt idx="2">
                  <c:v>6.5855309782608691</c:v>
                </c:pt>
                <c:pt idx="3">
                  <c:v>6.2721633802816754</c:v>
                </c:pt>
                <c:pt idx="4">
                  <c:v>6.1578253521126598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3888"/>
        <c:axId val="91907200"/>
      </c:scatterChart>
      <c:valAx>
        <c:axId val="883738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s-MY"/>
                  <a:t>Air Velocity [FPM]</a:t>
                </a:r>
              </a:p>
            </c:rich>
          </c:tx>
          <c:layout>
            <c:manualLayout>
              <c:xMode val="edge"/>
              <c:yMode val="edge"/>
              <c:x val="0.41253263707571802"/>
              <c:y val="0.87781348759976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91907200"/>
        <c:crosses val="autoZero"/>
        <c:crossBetween val="midCat"/>
      </c:valAx>
      <c:valAx>
        <c:axId val="919072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ms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Thermal Resistance [°C/W]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575563768814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883738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57702349869447"/>
          <c:y val="0.18006427767957575"/>
          <c:w val="0.30809399477806787"/>
          <c:h val="0.12540182477190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ms-M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ms-MY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s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3472584856398"/>
          <c:y val="8.0385852090032156E-2"/>
          <c:w val="0.77806788511749347"/>
          <c:h val="0.71061093247588425"/>
        </c:manualLayout>
      </c:layout>
      <c:scatterChart>
        <c:scatterStyle val="lineMarker"/>
        <c:varyColors val="0"/>
        <c:ser>
          <c:idx val="0"/>
          <c:order val="0"/>
          <c:tx>
            <c:v>Tabulated data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[2]Sheet1!$B$3:$B$12</c:f>
              <c:numCache>
                <c:formatCode>General</c:formatCode>
                <c:ptCount val="10"/>
                <c:pt idx="0">
                  <c:v>35</c:v>
                </c:pt>
                <c:pt idx="1">
                  <c:v>40</c:v>
                </c:pt>
              </c:numCache>
            </c:numRef>
          </c:xVal>
          <c:yVal>
            <c:numRef>
              <c:f>[2]Sheet1!$C$3:$C$12</c:f>
              <c:numCache>
                <c:formatCode>General</c:formatCode>
                <c:ptCount val="10"/>
                <c:pt idx="0">
                  <c:v>146.63999999999999</c:v>
                </c:pt>
                <c:pt idx="1">
                  <c:v>167.53</c:v>
                </c:pt>
              </c:numCache>
            </c:numRef>
          </c:yVal>
          <c:smooth val="0"/>
        </c:ser>
        <c:ser>
          <c:idx val="1"/>
          <c:order val="1"/>
          <c:tx>
            <c:v>Interpolated data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[2]Sheet1!$E$19:$E$23</c:f>
              <c:numCache>
                <c:formatCode>General</c:formatCode>
                <c:ptCount val="5"/>
                <c:pt idx="2">
                  <c:v>37</c:v>
                </c:pt>
              </c:numCache>
            </c:numRef>
          </c:xVal>
          <c:yVal>
            <c:numRef>
              <c:f>[2]Sheet1!$F$19:$F$23</c:f>
              <c:numCache>
                <c:formatCode>General</c:formatCode>
                <c:ptCount val="5"/>
                <c:pt idx="2">
                  <c:v>154.99599999999998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5408"/>
        <c:axId val="91987968"/>
      </c:scatterChart>
      <c:valAx>
        <c:axId val="9198540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Air Velocity [FPM]</a:t>
                </a:r>
              </a:p>
            </c:rich>
          </c:tx>
          <c:layout>
            <c:manualLayout>
              <c:xMode val="edge"/>
              <c:yMode val="edge"/>
              <c:x val="0.41253263707571802"/>
              <c:y val="0.877813519211737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91987968"/>
        <c:crosses val="autoZero"/>
        <c:crossBetween val="midCat"/>
      </c:valAx>
      <c:valAx>
        <c:axId val="9198796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Thermal Resistance [</a:t>
                </a:r>
                <a:r>
                  <a:rPr lang="en-MY" sz="10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MY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C/W]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575563874187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ms-MY"/>
          </a:p>
        </c:txPr>
        <c:crossAx val="919854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57702349869447"/>
          <c:y val="0.1800641968934211"/>
          <c:w val="0.30809399477806787"/>
          <c:h val="0.12540183296760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ms-M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ms-MY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123825</xdr:rowOff>
    </xdr:from>
    <xdr:to>
      <xdr:col>11</xdr:col>
      <xdr:colOff>28575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123825</xdr:rowOff>
    </xdr:from>
    <xdr:to>
      <xdr:col>11</xdr:col>
      <xdr:colOff>28575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123825</xdr:rowOff>
    </xdr:from>
    <xdr:to>
      <xdr:col>11</xdr:col>
      <xdr:colOff>28575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123825</xdr:rowOff>
    </xdr:from>
    <xdr:to>
      <xdr:col>11</xdr:col>
      <xdr:colOff>28575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19050</xdr:rowOff>
    </xdr:from>
    <xdr:to>
      <xdr:col>15</xdr:col>
      <xdr:colOff>85725</xdr:colOff>
      <xdr:row>15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THESIS/PILOT%20TEST%20DATA/LinearInterpo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EFF (COGEN)"/>
      <sheetName val="EXERGY EFF (COGEN)"/>
      <sheetName val="EFF dsgn VS Off dsgn"/>
      <sheetName val="EFF GT"/>
      <sheetName val="Theory-HRSG calculation"/>
      <sheetName val="Inter"/>
      <sheetName val="EFF HRSG(Teory)"/>
      <sheetName val="EFF HRSG(Act)"/>
      <sheetName val="COP SAC(Teory)"/>
      <sheetName val="HRSG SIMULATION"/>
      <sheetName val="Interpolation-h&amp;s"/>
      <sheetName val="Exergy"/>
      <sheetName val="Exergy(13streams)"/>
      <sheetName val="Exergoeconomic"/>
      <sheetName val="Ratios"/>
      <sheetName val="Output vs Inefficiency cost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50</v>
          </cell>
          <cell r="C4">
            <v>209.34</v>
          </cell>
        </row>
        <row r="5">
          <cell r="B5">
            <v>80</v>
          </cell>
          <cell r="C5">
            <v>335.02</v>
          </cell>
        </row>
        <row r="6">
          <cell r="B6">
            <v>85</v>
          </cell>
          <cell r="C6">
            <v>356.02</v>
          </cell>
        </row>
        <row r="7">
          <cell r="B7">
            <v>90</v>
          </cell>
          <cell r="C7">
            <v>377.04</v>
          </cell>
        </row>
        <row r="8">
          <cell r="B8">
            <v>95</v>
          </cell>
          <cell r="C8">
            <v>398.09</v>
          </cell>
        </row>
        <row r="9">
          <cell r="B9">
            <v>100</v>
          </cell>
          <cell r="C9">
            <v>419.17</v>
          </cell>
        </row>
        <row r="10">
          <cell r="B10">
            <v>150</v>
          </cell>
          <cell r="C10">
            <v>632.17999999999995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35</v>
          </cell>
          <cell r="C3">
            <v>146.63999999999999</v>
          </cell>
        </row>
        <row r="4">
          <cell r="B4">
            <v>40</v>
          </cell>
          <cell r="C4">
            <v>167.53</v>
          </cell>
        </row>
        <row r="21">
          <cell r="E21">
            <v>37</v>
          </cell>
          <cell r="F21">
            <v>154.99599999999998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lueleafsoftware.com/Products/Dagra/LinearInterpolationExcel.ph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lueleafsoftware.com/Products/Dagra/LinearInterpolationExcel.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135"/>
  <sheetViews>
    <sheetView tabSelected="1" topLeftCell="JQ1" zoomScale="80" zoomScaleNormal="80" workbookViewId="0">
      <selection activeCell="JY5" sqref="JY5"/>
    </sheetView>
  </sheetViews>
  <sheetFormatPr defaultRowHeight="16.5" x14ac:dyDescent="0.3"/>
  <cols>
    <col min="1" max="1" width="11.125" bestFit="1" customWidth="1"/>
    <col min="3" max="3" width="12" customWidth="1"/>
    <col min="4" max="5" width="10" customWidth="1"/>
    <col min="6" max="6" width="12.25" customWidth="1"/>
    <col min="7" max="7" width="12" customWidth="1"/>
    <col min="8" max="11" width="11.5" customWidth="1"/>
    <col min="12" max="14" width="9" customWidth="1"/>
    <col min="15" max="17" width="11.375" customWidth="1"/>
    <col min="18" max="18" width="13.75" customWidth="1"/>
    <col min="19" max="19" width="9" customWidth="1"/>
    <col min="20" max="20" width="13.25" customWidth="1"/>
    <col min="21" max="21" width="9" customWidth="1"/>
    <col min="22" max="23" width="11.25" customWidth="1"/>
    <col min="24" max="24" width="9" customWidth="1"/>
    <col min="25" max="25" width="11.75" customWidth="1"/>
    <col min="26" max="26" width="9" customWidth="1"/>
    <col min="27" max="27" width="14.25" customWidth="1"/>
    <col min="28" max="29" width="15.625" customWidth="1"/>
    <col min="30" max="32" width="13.625" customWidth="1"/>
    <col min="33" max="33" width="9" customWidth="1"/>
    <col min="34" max="34" width="12.375" customWidth="1"/>
    <col min="35" max="38" width="9" customWidth="1"/>
    <col min="39" max="39" width="9.625" customWidth="1"/>
    <col min="40" max="69" width="9" customWidth="1"/>
    <col min="70" max="70" width="11.375" customWidth="1"/>
    <col min="71" max="71" width="9" customWidth="1"/>
    <col min="72" max="72" width="10.375" customWidth="1"/>
    <col min="73" max="85" width="9" customWidth="1"/>
    <col min="86" max="86" width="10.375" customWidth="1"/>
    <col min="87" max="88" width="11.75" customWidth="1"/>
    <col min="89" max="89" width="12.375" customWidth="1"/>
    <col min="90" max="90" width="11.75" customWidth="1"/>
    <col min="91" max="91" width="9" customWidth="1"/>
    <col min="92" max="92" width="13.75" customWidth="1"/>
    <col min="93" max="94" width="12.25" customWidth="1"/>
    <col min="95" max="95" width="10" customWidth="1"/>
    <col min="96" max="96" width="12.125" customWidth="1"/>
    <col min="97" max="98" width="11.625" customWidth="1"/>
    <col min="99" max="100" width="11.25" customWidth="1"/>
    <col min="101" max="134" width="9" customWidth="1"/>
    <col min="135" max="135" width="10.375" customWidth="1"/>
    <col min="136" max="167" width="9" customWidth="1"/>
    <col min="168" max="169" width="12.125" customWidth="1"/>
    <col min="170" max="174" width="9" customWidth="1"/>
    <col min="175" max="175" width="12.125" customWidth="1"/>
    <col min="176" max="176" width="12.125" style="246" customWidth="1"/>
    <col min="177" max="177" width="11.25" customWidth="1"/>
    <col min="178" max="178" width="11.25" style="246" customWidth="1"/>
    <col min="179" max="179" width="12.875" customWidth="1"/>
    <col min="180" max="181" width="12.875" style="246" customWidth="1"/>
    <col min="182" max="184" width="12.125" customWidth="1"/>
    <col min="185" max="188" width="12.25" customWidth="1"/>
    <col min="189" max="189" width="10.375" bestFit="1" customWidth="1"/>
    <col min="190" max="190" width="9" customWidth="1"/>
    <col min="191" max="192" width="11.25" customWidth="1"/>
    <col min="193" max="196" width="15.5" customWidth="1"/>
    <col min="197" max="200" width="15.125" customWidth="1"/>
    <col min="201" max="204" width="14.375" customWidth="1"/>
    <col min="205" max="207" width="13.375" customWidth="1"/>
    <col min="208" max="208" width="13" customWidth="1"/>
    <col min="209" max="210" width="15.625" customWidth="1"/>
    <col min="211" max="212" width="17.875" customWidth="1"/>
    <col min="213" max="213" width="12.125" customWidth="1"/>
    <col min="214" max="214" width="12.125" style="246" customWidth="1"/>
    <col min="215" max="215" width="11.25" customWidth="1"/>
    <col min="216" max="216" width="11.25" style="246" customWidth="1"/>
    <col min="217" max="217" width="12.125" customWidth="1"/>
    <col min="218" max="218" width="12.125" style="246" customWidth="1"/>
    <col min="219" max="219" width="11.25" customWidth="1"/>
    <col min="220" max="220" width="11.25" style="246" customWidth="1"/>
    <col min="221" max="221" width="12.125" customWidth="1"/>
    <col min="222" max="222" width="12.125" style="246" customWidth="1"/>
    <col min="223" max="223" width="11.25" customWidth="1"/>
    <col min="224" max="224" width="11.25" style="246" customWidth="1"/>
    <col min="274" max="276" width="11" customWidth="1"/>
    <col min="277" max="277" width="16.25" bestFit="1" customWidth="1"/>
    <col min="278" max="278" width="15.875" customWidth="1"/>
    <col min="279" max="279" width="15.625" customWidth="1"/>
    <col min="280" max="280" width="17.125" customWidth="1"/>
    <col min="281" max="282" width="11.375" customWidth="1"/>
    <col min="283" max="284" width="11.25" customWidth="1"/>
    <col min="285" max="286" width="10.125" customWidth="1"/>
    <col min="287" max="288" width="11.25" customWidth="1"/>
    <col min="289" max="291" width="12.625" customWidth="1"/>
    <col min="292" max="292" width="10.25" customWidth="1"/>
    <col min="293" max="293" width="11.5" bestFit="1" customWidth="1"/>
    <col min="294" max="294" width="16.5" bestFit="1" customWidth="1"/>
    <col min="295" max="296" width="13.375" customWidth="1"/>
    <col min="299" max="299" width="19.5" bestFit="1" customWidth="1"/>
    <col min="300" max="300" width="20.75" bestFit="1" customWidth="1"/>
  </cols>
  <sheetData>
    <row r="1" spans="1:341" ht="34.5" customHeight="1" thickBot="1" x14ac:dyDescent="0.35">
      <c r="C1" s="314" t="s">
        <v>133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6"/>
      <c r="P1" s="316"/>
      <c r="Q1" s="316"/>
      <c r="R1" s="316"/>
      <c r="S1" s="316"/>
      <c r="T1" s="316"/>
      <c r="U1" s="316"/>
      <c r="V1" s="315"/>
      <c r="W1" s="315"/>
      <c r="X1" s="315"/>
      <c r="Y1" s="315"/>
      <c r="Z1" s="315"/>
      <c r="AA1" s="315"/>
      <c r="AB1" s="315"/>
      <c r="AC1" s="315"/>
      <c r="AD1" s="315"/>
      <c r="AE1" s="324" t="s">
        <v>367</v>
      </c>
      <c r="AF1" s="325"/>
      <c r="AG1" s="325"/>
      <c r="AH1" s="325"/>
      <c r="AI1" s="325"/>
      <c r="AJ1" s="325"/>
      <c r="AK1" s="325"/>
      <c r="AL1" s="325"/>
      <c r="AM1" s="326"/>
      <c r="ER1" s="330" t="s">
        <v>269</v>
      </c>
      <c r="ES1" s="331"/>
      <c r="ET1" s="331"/>
      <c r="EU1" s="331"/>
      <c r="EV1" s="331"/>
      <c r="EW1" s="331"/>
      <c r="EX1" s="331"/>
      <c r="EY1" s="331"/>
      <c r="EZ1" s="331"/>
      <c r="FA1" s="331"/>
      <c r="FB1" s="331"/>
      <c r="FC1" s="331"/>
      <c r="FD1" s="331"/>
      <c r="FE1" s="331"/>
      <c r="FF1" s="331"/>
      <c r="FG1" s="331"/>
      <c r="FH1" s="331"/>
      <c r="FI1" s="331"/>
      <c r="FJ1" s="331"/>
      <c r="FK1" s="331"/>
      <c r="FL1" s="331"/>
      <c r="FM1" s="332"/>
      <c r="JN1" s="305" t="s">
        <v>269</v>
      </c>
      <c r="JO1" s="306"/>
      <c r="JP1" s="306"/>
      <c r="JQ1" s="306"/>
      <c r="JR1" s="306"/>
      <c r="JS1" s="306"/>
      <c r="JT1" s="306"/>
      <c r="JU1" s="306"/>
      <c r="JV1" s="306"/>
      <c r="JW1" s="306"/>
      <c r="JX1" s="306"/>
      <c r="JY1" s="306"/>
      <c r="JZ1" s="306"/>
      <c r="KA1" s="306"/>
      <c r="KB1" s="306"/>
      <c r="KC1" s="306"/>
      <c r="KD1" s="306"/>
      <c r="KE1" s="306"/>
      <c r="KF1" s="306"/>
      <c r="KG1" s="306"/>
      <c r="KH1" s="306"/>
      <c r="KI1" s="306"/>
      <c r="KJ1" s="307"/>
    </row>
    <row r="2" spans="1:341" ht="24" customHeight="1" thickBot="1" x14ac:dyDescent="0.4">
      <c r="C2" s="319" t="s">
        <v>170</v>
      </c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1"/>
      <c r="O2" s="319" t="s">
        <v>178</v>
      </c>
      <c r="P2" s="320"/>
      <c r="Q2" s="320"/>
      <c r="R2" s="320"/>
      <c r="S2" s="320"/>
      <c r="T2" s="320"/>
      <c r="U2" s="321"/>
      <c r="V2" s="317" t="s">
        <v>184</v>
      </c>
      <c r="W2" s="318"/>
      <c r="X2" s="318"/>
      <c r="Y2" s="318"/>
      <c r="Z2" s="318"/>
      <c r="AA2" s="318"/>
      <c r="AB2" s="318"/>
      <c r="AC2" s="318"/>
      <c r="AD2" s="318"/>
      <c r="AE2" s="327" t="s">
        <v>385</v>
      </c>
      <c r="AF2" s="327" t="s">
        <v>386</v>
      </c>
      <c r="AG2" s="322" t="s">
        <v>364</v>
      </c>
      <c r="AH2" s="323"/>
      <c r="AI2" s="329" t="s">
        <v>365</v>
      </c>
      <c r="AJ2" s="323"/>
      <c r="AK2" s="329" t="s">
        <v>366</v>
      </c>
      <c r="AL2" s="323"/>
      <c r="AM2" s="336" t="s">
        <v>252</v>
      </c>
      <c r="BS2" t="s">
        <v>322</v>
      </c>
      <c r="CM2" s="333" t="s">
        <v>203</v>
      </c>
      <c r="CN2" s="334"/>
      <c r="CO2" s="334"/>
      <c r="CP2" s="334"/>
      <c r="CQ2" s="334"/>
      <c r="CR2" s="334"/>
      <c r="CS2" s="334"/>
      <c r="CT2" s="334"/>
      <c r="CU2" s="334"/>
      <c r="CV2" s="334"/>
      <c r="CW2" s="334"/>
      <c r="CX2" s="334"/>
      <c r="CY2" s="334"/>
      <c r="CZ2" s="335"/>
      <c r="DC2" s="338" t="s">
        <v>278</v>
      </c>
      <c r="DD2" s="339"/>
      <c r="DE2" s="339"/>
      <c r="DF2" s="339"/>
      <c r="DG2" s="339"/>
      <c r="DH2" s="339"/>
      <c r="DI2" s="339"/>
      <c r="DJ2" s="339"/>
      <c r="DK2" s="339"/>
      <c r="DL2" s="339"/>
      <c r="DM2" s="339"/>
      <c r="DN2" s="339"/>
      <c r="DO2" s="339"/>
      <c r="DP2" s="339"/>
      <c r="DQ2" s="339"/>
      <c r="DR2" s="339"/>
      <c r="DS2" s="339"/>
      <c r="DT2" s="339"/>
      <c r="DU2" s="339"/>
      <c r="DV2" s="339"/>
      <c r="DW2" s="339"/>
      <c r="DX2" s="339"/>
      <c r="DY2" s="339"/>
      <c r="DZ2" s="339"/>
      <c r="EA2" s="339"/>
      <c r="EB2" s="339"/>
      <c r="EC2" s="339"/>
      <c r="ED2" s="339"/>
      <c r="EE2" s="339"/>
      <c r="EF2" s="339"/>
      <c r="EG2" s="339"/>
      <c r="EH2" s="339"/>
      <c r="EI2" s="339"/>
      <c r="EJ2" s="339"/>
      <c r="EK2" s="339"/>
      <c r="EL2" s="339"/>
      <c r="EM2" s="339"/>
      <c r="EN2" s="339"/>
      <c r="EO2" s="339"/>
      <c r="EP2" s="339"/>
      <c r="EQ2" s="339"/>
      <c r="ER2" s="339"/>
      <c r="ES2" s="339"/>
      <c r="ET2" s="339"/>
      <c r="EU2" s="339"/>
      <c r="EV2" s="339"/>
      <c r="EW2" s="339"/>
      <c r="EX2" s="339"/>
      <c r="EY2" s="339"/>
      <c r="EZ2" s="339"/>
      <c r="FA2" s="339"/>
      <c r="FB2" s="339"/>
      <c r="FC2" s="339"/>
      <c r="FD2" s="339"/>
      <c r="FE2" s="339"/>
      <c r="FF2" s="339"/>
      <c r="FG2" s="339"/>
      <c r="FH2" s="339"/>
      <c r="FI2" s="339"/>
      <c r="FJ2" s="339"/>
      <c r="FK2" s="339"/>
      <c r="FL2" s="339"/>
      <c r="FM2" s="339"/>
      <c r="FN2" s="339"/>
      <c r="FO2" s="339"/>
      <c r="FP2" s="339"/>
      <c r="FQ2" s="339"/>
      <c r="FR2" s="339"/>
      <c r="GS2" s="311" t="s">
        <v>352</v>
      </c>
      <c r="GT2" s="312"/>
      <c r="GU2" s="312"/>
      <c r="GV2" s="313"/>
      <c r="GW2" s="311" t="s">
        <v>353</v>
      </c>
      <c r="GX2" s="312"/>
      <c r="GY2" s="312"/>
      <c r="GZ2" s="313"/>
      <c r="HA2" s="311" t="s">
        <v>354</v>
      </c>
      <c r="HB2" s="312"/>
      <c r="HC2" s="312"/>
      <c r="HD2" s="313"/>
      <c r="HE2" s="304" t="s">
        <v>364</v>
      </c>
      <c r="HF2" s="304"/>
      <c r="HG2" s="304"/>
      <c r="HH2" s="304"/>
      <c r="HI2" s="304" t="s">
        <v>365</v>
      </c>
      <c r="HJ2" s="304"/>
      <c r="HK2" s="304"/>
      <c r="HL2" s="304"/>
      <c r="HM2" s="304" t="s">
        <v>366</v>
      </c>
      <c r="HN2" s="304"/>
      <c r="HO2" s="304"/>
      <c r="HP2" s="304"/>
      <c r="HQ2" s="227"/>
      <c r="HR2" s="227"/>
      <c r="HS2" s="227"/>
      <c r="HT2" s="227"/>
      <c r="HU2" s="227"/>
      <c r="HV2" s="227"/>
      <c r="HW2" s="227"/>
      <c r="HX2" s="227"/>
      <c r="HY2" s="227"/>
      <c r="HZ2" s="227"/>
      <c r="IA2" s="227"/>
      <c r="IB2" s="227"/>
      <c r="IC2" s="227"/>
      <c r="ID2" s="227"/>
      <c r="IE2" s="227"/>
      <c r="IF2" s="227"/>
      <c r="IG2" s="227"/>
      <c r="IH2" s="227"/>
      <c r="II2" s="227"/>
      <c r="IJ2" s="227"/>
      <c r="IK2" s="227"/>
      <c r="IL2" s="227"/>
      <c r="IM2" s="227"/>
      <c r="IN2" s="227"/>
      <c r="IO2" s="227"/>
      <c r="IP2" s="227"/>
      <c r="JN2" s="308"/>
      <c r="JO2" s="309"/>
      <c r="JP2" s="309"/>
      <c r="JQ2" s="309"/>
      <c r="JR2" s="309"/>
      <c r="JS2" s="309"/>
      <c r="JT2" s="309"/>
      <c r="JU2" s="309"/>
      <c r="JV2" s="309"/>
      <c r="JW2" s="309"/>
      <c r="JX2" s="309"/>
      <c r="JY2" s="309"/>
      <c r="JZ2" s="309"/>
      <c r="KA2" s="309"/>
      <c r="KB2" s="309"/>
      <c r="KC2" s="309"/>
      <c r="KD2" s="309"/>
      <c r="KE2" s="309"/>
      <c r="KF2" s="309"/>
      <c r="KG2" s="309"/>
      <c r="KH2" s="309"/>
      <c r="KI2" s="309"/>
      <c r="KJ2" s="310"/>
      <c r="LH2" s="239"/>
      <c r="LI2" s="239"/>
      <c r="LJ2" s="239"/>
      <c r="LK2" s="239"/>
      <c r="LL2" s="239"/>
      <c r="LM2" s="239"/>
      <c r="LN2" s="239"/>
      <c r="LO2" s="239"/>
      <c r="LP2" s="239"/>
      <c r="LQ2" s="239"/>
      <c r="LR2" s="239"/>
      <c r="LS2" s="239"/>
      <c r="LT2" s="239"/>
      <c r="LU2" s="239"/>
      <c r="LV2" s="239"/>
      <c r="LW2" s="239"/>
      <c r="LX2" s="239"/>
      <c r="LY2" s="239"/>
      <c r="LZ2" s="239"/>
      <c r="MA2" s="240"/>
      <c r="MB2" s="240"/>
      <c r="MC2" s="240"/>
    </row>
    <row r="3" spans="1:341" ht="83.25" thickBot="1" x14ac:dyDescent="0.35">
      <c r="C3" s="123" t="s">
        <v>167</v>
      </c>
      <c r="D3" s="121" t="s">
        <v>265</v>
      </c>
      <c r="E3" s="121" t="s">
        <v>196</v>
      </c>
      <c r="F3" s="121" t="s">
        <v>303</v>
      </c>
      <c r="G3" s="121" t="s">
        <v>305</v>
      </c>
      <c r="H3" s="121" t="s">
        <v>306</v>
      </c>
      <c r="I3" s="121" t="s">
        <v>307</v>
      </c>
      <c r="J3" s="121" t="s">
        <v>308</v>
      </c>
      <c r="K3" s="121" t="s">
        <v>309</v>
      </c>
      <c r="L3" s="116" t="s">
        <v>173</v>
      </c>
      <c r="M3" s="116" t="s">
        <v>192</v>
      </c>
      <c r="N3" s="124" t="s">
        <v>169</v>
      </c>
      <c r="O3" s="123" t="s">
        <v>167</v>
      </c>
      <c r="P3" s="121" t="s">
        <v>199</v>
      </c>
      <c r="Q3" s="121" t="s">
        <v>200</v>
      </c>
      <c r="R3" s="118" t="s">
        <v>171</v>
      </c>
      <c r="S3" s="118" t="s">
        <v>174</v>
      </c>
      <c r="T3" s="118" t="s">
        <v>198</v>
      </c>
      <c r="U3" s="128" t="s">
        <v>176</v>
      </c>
      <c r="V3" s="123" t="s">
        <v>167</v>
      </c>
      <c r="W3" s="121" t="s">
        <v>262</v>
      </c>
      <c r="X3" s="116" t="s">
        <v>181</v>
      </c>
      <c r="Y3" s="116" t="s">
        <v>179</v>
      </c>
      <c r="Z3" s="116" t="s">
        <v>183</v>
      </c>
      <c r="AA3" s="116" t="s">
        <v>325</v>
      </c>
      <c r="AB3" s="116" t="s">
        <v>326</v>
      </c>
      <c r="AC3" s="127" t="s">
        <v>337</v>
      </c>
      <c r="AD3" s="210" t="s">
        <v>327</v>
      </c>
      <c r="AE3" s="328"/>
      <c r="AF3" s="328"/>
      <c r="AG3" s="253" t="s">
        <v>185</v>
      </c>
      <c r="AH3" s="209" t="s">
        <v>186</v>
      </c>
      <c r="AI3" s="222" t="s">
        <v>47</v>
      </c>
      <c r="AJ3" s="223" t="s">
        <v>187</v>
      </c>
      <c r="AK3" s="208" t="s">
        <v>52</v>
      </c>
      <c r="AL3" s="224" t="s">
        <v>188</v>
      </c>
      <c r="AM3" s="337"/>
      <c r="BM3" s="120" t="s">
        <v>329</v>
      </c>
      <c r="BN3" s="120" t="s">
        <v>328</v>
      </c>
      <c r="BO3" s="120" t="s">
        <v>330</v>
      </c>
      <c r="BP3" s="120" t="s">
        <v>324</v>
      </c>
      <c r="BQ3" s="120" t="s">
        <v>311</v>
      </c>
      <c r="BR3" s="120" t="s">
        <v>313</v>
      </c>
      <c r="BS3" s="120" t="s">
        <v>312</v>
      </c>
      <c r="BT3" s="120" t="s">
        <v>323</v>
      </c>
      <c r="BU3" s="120" t="s">
        <v>221</v>
      </c>
      <c r="BV3" s="120" t="s">
        <v>318</v>
      </c>
      <c r="BW3" s="120" t="s">
        <v>317</v>
      </c>
      <c r="BX3" s="120" t="s">
        <v>314</v>
      </c>
      <c r="BY3" s="120" t="s">
        <v>315</v>
      </c>
      <c r="BZ3" s="120" t="s">
        <v>315</v>
      </c>
      <c r="CA3" s="120" t="s">
        <v>316</v>
      </c>
      <c r="CB3" s="120" t="s">
        <v>131</v>
      </c>
      <c r="CC3" s="120" t="s">
        <v>111</v>
      </c>
      <c r="CD3" s="120" t="s">
        <v>111</v>
      </c>
      <c r="CE3" s="120" t="s">
        <v>194</v>
      </c>
      <c r="CF3" s="120" t="s">
        <v>142</v>
      </c>
      <c r="CG3" s="120" t="s">
        <v>201</v>
      </c>
      <c r="CH3" s="120" t="s">
        <v>202</v>
      </c>
      <c r="CI3" s="120" t="s">
        <v>213</v>
      </c>
      <c r="CJ3" s="120" t="s">
        <v>214</v>
      </c>
      <c r="CK3" s="120" t="s">
        <v>204</v>
      </c>
      <c r="CL3" s="120" t="s">
        <v>205</v>
      </c>
      <c r="CM3" s="144" t="s">
        <v>207</v>
      </c>
      <c r="CN3" s="144" t="s">
        <v>208</v>
      </c>
      <c r="CO3" s="144" t="s">
        <v>209</v>
      </c>
      <c r="CP3" s="144" t="s">
        <v>277</v>
      </c>
      <c r="CQ3" s="144" t="s">
        <v>210</v>
      </c>
      <c r="CR3" s="144" t="s">
        <v>212</v>
      </c>
      <c r="CS3" s="144" t="s">
        <v>211</v>
      </c>
      <c r="CT3" s="144" t="s">
        <v>275</v>
      </c>
      <c r="CU3" s="144" t="s">
        <v>216</v>
      </c>
      <c r="CV3" s="144" t="s">
        <v>276</v>
      </c>
      <c r="CW3" s="144" t="s">
        <v>62</v>
      </c>
      <c r="CX3" s="144" t="s">
        <v>76</v>
      </c>
      <c r="CY3" s="144" t="s">
        <v>206</v>
      </c>
      <c r="CZ3" s="144" t="s">
        <v>215</v>
      </c>
      <c r="DA3" s="120" t="s">
        <v>207</v>
      </c>
      <c r="DB3" s="120" t="s">
        <v>217</v>
      </c>
      <c r="DC3" s="144" t="s">
        <v>218</v>
      </c>
      <c r="DD3" s="145" t="s">
        <v>279</v>
      </c>
      <c r="DE3" s="183" t="s">
        <v>291</v>
      </c>
      <c r="DF3" s="146" t="s">
        <v>220</v>
      </c>
      <c r="DG3" s="146" t="s">
        <v>331</v>
      </c>
      <c r="DH3" s="146" t="s">
        <v>221</v>
      </c>
      <c r="DI3" s="146" t="s">
        <v>319</v>
      </c>
      <c r="DJ3" s="145" t="s">
        <v>280</v>
      </c>
      <c r="DK3" s="183" t="s">
        <v>292</v>
      </c>
      <c r="DL3" s="146" t="s">
        <v>223</v>
      </c>
      <c r="DM3" s="146" t="s">
        <v>332</v>
      </c>
      <c r="DN3" s="146" t="s">
        <v>224</v>
      </c>
      <c r="DO3" s="146" t="s">
        <v>221</v>
      </c>
      <c r="DP3" s="146" t="s">
        <v>319</v>
      </c>
      <c r="DQ3" s="146" t="s">
        <v>222</v>
      </c>
      <c r="DR3" s="145" t="s">
        <v>281</v>
      </c>
      <c r="DS3" s="183" t="s">
        <v>293</v>
      </c>
      <c r="DT3" s="146" t="s">
        <v>225</v>
      </c>
      <c r="DU3" s="146" t="s">
        <v>226</v>
      </c>
      <c r="DV3" s="146" t="s">
        <v>221</v>
      </c>
      <c r="DW3" s="146" t="s">
        <v>222</v>
      </c>
      <c r="DX3" s="145" t="s">
        <v>282</v>
      </c>
      <c r="DY3" s="183" t="s">
        <v>294</v>
      </c>
      <c r="DZ3" s="145" t="s">
        <v>283</v>
      </c>
      <c r="EA3" s="183" t="s">
        <v>295</v>
      </c>
      <c r="EB3" s="146" t="s">
        <v>227</v>
      </c>
      <c r="EC3" s="146" t="s">
        <v>228</v>
      </c>
      <c r="ED3" s="146" t="s">
        <v>229</v>
      </c>
      <c r="EE3" s="146" t="s">
        <v>230</v>
      </c>
      <c r="EF3" s="146" t="s">
        <v>232</v>
      </c>
      <c r="EG3" s="146" t="s">
        <v>231</v>
      </c>
      <c r="EH3" s="145" t="s">
        <v>284</v>
      </c>
      <c r="EI3" s="183" t="s">
        <v>296</v>
      </c>
      <c r="EJ3" s="146" t="s">
        <v>233</v>
      </c>
      <c r="EK3" s="146" t="s">
        <v>320</v>
      </c>
      <c r="EL3" s="146" t="s">
        <v>333</v>
      </c>
      <c r="EM3" s="146" t="s">
        <v>221</v>
      </c>
      <c r="EN3" s="146" t="s">
        <v>319</v>
      </c>
      <c r="EO3" s="146" t="s">
        <v>222</v>
      </c>
      <c r="EP3" s="145" t="s">
        <v>285</v>
      </c>
      <c r="EQ3" s="183" t="s">
        <v>297</v>
      </c>
      <c r="ER3" s="146" t="s">
        <v>234</v>
      </c>
      <c r="ES3" s="146" t="s">
        <v>235</v>
      </c>
      <c r="ET3" s="146" t="s">
        <v>236</v>
      </c>
      <c r="EU3" s="146" t="s">
        <v>237</v>
      </c>
      <c r="EV3" s="145" t="s">
        <v>286</v>
      </c>
      <c r="EW3" s="183" t="s">
        <v>298</v>
      </c>
      <c r="EX3" s="146" t="s">
        <v>238</v>
      </c>
      <c r="EY3" s="146" t="s">
        <v>239</v>
      </c>
      <c r="EZ3" s="146" t="s">
        <v>240</v>
      </c>
      <c r="FA3" s="145" t="s">
        <v>287</v>
      </c>
      <c r="FB3" s="183" t="s">
        <v>299</v>
      </c>
      <c r="FC3" s="146" t="s">
        <v>241</v>
      </c>
      <c r="FD3" s="146" t="s">
        <v>242</v>
      </c>
      <c r="FE3" s="146" t="s">
        <v>243</v>
      </c>
      <c r="FF3" s="146" t="s">
        <v>244</v>
      </c>
      <c r="FG3" s="145" t="s">
        <v>288</v>
      </c>
      <c r="FH3" s="183" t="s">
        <v>300</v>
      </c>
      <c r="FI3" s="146" t="s">
        <v>245</v>
      </c>
      <c r="FJ3" s="146" t="s">
        <v>246</v>
      </c>
      <c r="FK3" s="146" t="s">
        <v>247</v>
      </c>
      <c r="FL3" s="145" t="s">
        <v>289</v>
      </c>
      <c r="FM3" s="183" t="s">
        <v>301</v>
      </c>
      <c r="FN3" s="146" t="s">
        <v>248</v>
      </c>
      <c r="FO3" s="146" t="s">
        <v>249</v>
      </c>
      <c r="FP3" s="146" t="s">
        <v>250</v>
      </c>
      <c r="FQ3" s="145" t="s">
        <v>290</v>
      </c>
      <c r="FR3" s="183" t="s">
        <v>302</v>
      </c>
      <c r="FS3" s="135" t="s">
        <v>359</v>
      </c>
      <c r="FT3" s="247" t="s">
        <v>334</v>
      </c>
      <c r="FU3" s="135" t="s">
        <v>360</v>
      </c>
      <c r="FV3" s="247" t="s">
        <v>335</v>
      </c>
      <c r="FW3" s="135" t="s">
        <v>361</v>
      </c>
      <c r="FX3" s="247" t="s">
        <v>336</v>
      </c>
      <c r="FY3" s="247" t="s">
        <v>110</v>
      </c>
      <c r="FZ3" s="230" t="s">
        <v>339</v>
      </c>
      <c r="GA3" s="230" t="s">
        <v>339</v>
      </c>
      <c r="GB3" s="230" t="s">
        <v>339</v>
      </c>
      <c r="GC3" s="231" t="s">
        <v>344</v>
      </c>
      <c r="GD3" s="231" t="s">
        <v>344</v>
      </c>
      <c r="GE3" s="231" t="s">
        <v>344</v>
      </c>
      <c r="GF3" s="232" t="s">
        <v>345</v>
      </c>
      <c r="GG3" s="232" t="s">
        <v>345</v>
      </c>
      <c r="GH3" s="232" t="s">
        <v>345</v>
      </c>
      <c r="GI3" s="228" t="s">
        <v>340</v>
      </c>
      <c r="GJ3" s="228" t="s">
        <v>340</v>
      </c>
      <c r="GK3" s="229" t="s">
        <v>341</v>
      </c>
      <c r="GL3" s="229" t="s">
        <v>341</v>
      </c>
      <c r="GM3" s="228" t="s">
        <v>342</v>
      </c>
      <c r="GN3" s="228" t="s">
        <v>342</v>
      </c>
      <c r="GO3" s="228" t="s">
        <v>342</v>
      </c>
      <c r="GP3" s="229" t="s">
        <v>343</v>
      </c>
      <c r="GQ3" s="229" t="s">
        <v>343</v>
      </c>
      <c r="GR3" s="229" t="s">
        <v>343</v>
      </c>
      <c r="GS3" s="233" t="s">
        <v>346</v>
      </c>
      <c r="GT3" s="233" t="s">
        <v>347</v>
      </c>
      <c r="GU3" s="234" t="s">
        <v>348</v>
      </c>
      <c r="GV3" s="234" t="s">
        <v>349</v>
      </c>
      <c r="GW3" s="229" t="s">
        <v>350</v>
      </c>
      <c r="GX3" s="229" t="s">
        <v>351</v>
      </c>
      <c r="GY3" s="235" t="s">
        <v>350</v>
      </c>
      <c r="GZ3" s="235" t="s">
        <v>351</v>
      </c>
      <c r="HA3" s="229" t="s">
        <v>355</v>
      </c>
      <c r="HB3" s="229" t="s">
        <v>356</v>
      </c>
      <c r="HC3" s="234" t="s">
        <v>357</v>
      </c>
      <c r="HD3" s="234" t="s">
        <v>358</v>
      </c>
      <c r="HE3" s="135" t="s">
        <v>380</v>
      </c>
      <c r="HF3" s="135" t="s">
        <v>381</v>
      </c>
      <c r="HG3" s="135" t="s">
        <v>382</v>
      </c>
      <c r="HH3" s="135" t="s">
        <v>383</v>
      </c>
      <c r="HI3" s="135" t="s">
        <v>380</v>
      </c>
      <c r="HJ3" s="135" t="s">
        <v>381</v>
      </c>
      <c r="HK3" s="135" t="s">
        <v>382</v>
      </c>
      <c r="HL3" s="135" t="s">
        <v>383</v>
      </c>
      <c r="HM3" s="135" t="s">
        <v>380</v>
      </c>
      <c r="HN3" s="135" t="s">
        <v>381</v>
      </c>
      <c r="HO3" s="135" t="s">
        <v>382</v>
      </c>
      <c r="HP3" s="135" t="s">
        <v>383</v>
      </c>
      <c r="JN3" s="241" t="s">
        <v>193</v>
      </c>
      <c r="JO3" s="242" t="s">
        <v>368</v>
      </c>
      <c r="JP3" s="241" t="s">
        <v>369</v>
      </c>
      <c r="JQ3" s="242" t="s">
        <v>370</v>
      </c>
      <c r="JR3" s="241" t="s">
        <v>371</v>
      </c>
      <c r="JS3" s="242" t="s">
        <v>373</v>
      </c>
      <c r="JT3" s="241" t="s">
        <v>372</v>
      </c>
      <c r="JU3" s="243" t="s">
        <v>267</v>
      </c>
      <c r="JV3" s="243" t="s">
        <v>374</v>
      </c>
      <c r="JW3" s="243" t="s">
        <v>268</v>
      </c>
      <c r="JX3" s="243" t="s">
        <v>375</v>
      </c>
      <c r="JY3" s="243" t="s">
        <v>321</v>
      </c>
      <c r="JZ3" s="243" t="s">
        <v>376</v>
      </c>
      <c r="KA3" s="242" t="s">
        <v>270</v>
      </c>
      <c r="KB3" s="241" t="s">
        <v>377</v>
      </c>
      <c r="KC3" s="242" t="s">
        <v>271</v>
      </c>
      <c r="KD3" s="241" t="s">
        <v>378</v>
      </c>
      <c r="KE3" s="241" t="s">
        <v>379</v>
      </c>
      <c r="KF3" s="242" t="s">
        <v>272</v>
      </c>
      <c r="KG3" s="244" t="s">
        <v>273</v>
      </c>
      <c r="KH3" s="244" t="s">
        <v>274</v>
      </c>
      <c r="KI3" s="242" t="s">
        <v>362</v>
      </c>
      <c r="KJ3" s="241" t="s">
        <v>363</v>
      </c>
      <c r="KL3" s="245"/>
      <c r="KM3" s="245"/>
      <c r="KN3" s="245"/>
    </row>
    <row r="4" spans="1:341" x14ac:dyDescent="0.3">
      <c r="A4" s="193" t="s">
        <v>264</v>
      </c>
      <c r="B4" s="193" t="s">
        <v>166</v>
      </c>
      <c r="C4" s="125" t="s">
        <v>168</v>
      </c>
      <c r="D4" s="122" t="s">
        <v>261</v>
      </c>
      <c r="E4" s="122" t="s">
        <v>197</v>
      </c>
      <c r="F4" s="122" t="s">
        <v>304</v>
      </c>
      <c r="G4" s="122"/>
      <c r="H4" s="122" t="s">
        <v>310</v>
      </c>
      <c r="I4" s="122"/>
      <c r="J4" s="122"/>
      <c r="K4" s="122" t="s">
        <v>310</v>
      </c>
      <c r="L4" s="117" t="s">
        <v>266</v>
      </c>
      <c r="M4" s="117" t="s">
        <v>190</v>
      </c>
      <c r="N4" s="126" t="s">
        <v>154</v>
      </c>
      <c r="O4" s="125" t="s">
        <v>168</v>
      </c>
      <c r="P4" s="122" t="s">
        <v>115</v>
      </c>
      <c r="Q4" s="122" t="s">
        <v>115</v>
      </c>
      <c r="R4" s="117" t="s">
        <v>172</v>
      </c>
      <c r="S4" s="117" t="s">
        <v>175</v>
      </c>
      <c r="T4" s="117" t="s">
        <v>172</v>
      </c>
      <c r="U4" s="126" t="s">
        <v>177</v>
      </c>
      <c r="V4" s="125" t="s">
        <v>168</v>
      </c>
      <c r="W4" s="122" t="s">
        <v>263</v>
      </c>
      <c r="X4" s="117" t="s">
        <v>182</v>
      </c>
      <c r="Y4" s="117" t="s">
        <v>180</v>
      </c>
      <c r="Z4" s="117" t="s">
        <v>191</v>
      </c>
      <c r="AA4" s="117" t="s">
        <v>172</v>
      </c>
      <c r="AB4" s="117" t="s">
        <v>172</v>
      </c>
      <c r="AC4" s="126" t="s">
        <v>172</v>
      </c>
      <c r="AD4" s="211" t="s">
        <v>172</v>
      </c>
      <c r="AE4" s="117" t="s">
        <v>387</v>
      </c>
      <c r="AF4" s="117" t="s">
        <v>115</v>
      </c>
      <c r="AG4" s="122" t="s">
        <v>189</v>
      </c>
      <c r="AH4" s="126" t="s">
        <v>258</v>
      </c>
      <c r="AI4" s="122" t="s">
        <v>189</v>
      </c>
      <c r="AJ4" s="211" t="s">
        <v>258</v>
      </c>
      <c r="AK4" s="117" t="s">
        <v>189</v>
      </c>
      <c r="AL4" s="126" t="s">
        <v>258</v>
      </c>
      <c r="AM4" s="126" t="s">
        <v>253</v>
      </c>
      <c r="BM4" s="119" t="s">
        <v>304</v>
      </c>
      <c r="BN4" s="119" t="s">
        <v>304</v>
      </c>
      <c r="BO4" s="119" t="s">
        <v>304</v>
      </c>
      <c r="BP4" s="119" t="s">
        <v>190</v>
      </c>
      <c r="BQ4" s="119" t="s">
        <v>304</v>
      </c>
      <c r="BR4" s="119"/>
      <c r="BS4" s="119" t="s">
        <v>154</v>
      </c>
      <c r="BT4" s="119" t="s">
        <v>304</v>
      </c>
      <c r="BU4" s="119"/>
      <c r="BV4" s="119"/>
      <c r="BW4" s="119"/>
      <c r="BX4" s="119" t="s">
        <v>304</v>
      </c>
      <c r="BY4" s="119" t="s">
        <v>388</v>
      </c>
      <c r="BZ4" s="119" t="s">
        <v>304</v>
      </c>
      <c r="CA4" s="119" t="s">
        <v>154</v>
      </c>
      <c r="CB4" s="119" t="s">
        <v>254</v>
      </c>
      <c r="CC4" s="119" t="s">
        <v>191</v>
      </c>
      <c r="CD4" s="119" t="s">
        <v>190</v>
      </c>
      <c r="CE4" s="130" t="s">
        <v>191</v>
      </c>
      <c r="CF4" s="130" t="s">
        <v>2</v>
      </c>
      <c r="CG4" s="119"/>
      <c r="CH4" s="119"/>
      <c r="CI4" s="119" t="s">
        <v>119</v>
      </c>
      <c r="CJ4" s="119" t="s">
        <v>119</v>
      </c>
      <c r="CK4" s="119" t="s">
        <v>136</v>
      </c>
      <c r="CL4" s="119" t="s">
        <v>136</v>
      </c>
      <c r="CM4" s="119"/>
      <c r="CN4" s="119"/>
      <c r="CO4" s="119"/>
      <c r="CP4" s="119"/>
      <c r="CQ4" s="119"/>
      <c r="CR4" s="119"/>
      <c r="CS4" s="119"/>
      <c r="CT4" s="119"/>
      <c r="CU4" s="119"/>
      <c r="CV4" s="119" t="s">
        <v>136</v>
      </c>
      <c r="CW4" s="119" t="s">
        <v>136</v>
      </c>
      <c r="CX4" s="119" t="s">
        <v>136</v>
      </c>
      <c r="CY4" s="119" t="s">
        <v>136</v>
      </c>
      <c r="CZ4" s="119" t="s">
        <v>136</v>
      </c>
      <c r="DA4" s="119" t="s">
        <v>129</v>
      </c>
      <c r="DB4" s="119" t="s">
        <v>129</v>
      </c>
      <c r="DC4" s="119"/>
      <c r="DD4" s="119" t="s">
        <v>219</v>
      </c>
      <c r="DE4" s="119"/>
      <c r="DF4" s="119" t="s">
        <v>136</v>
      </c>
      <c r="DG4" s="119" t="s">
        <v>136</v>
      </c>
      <c r="DH4" s="119"/>
      <c r="DI4" s="119"/>
      <c r="DJ4" s="119" t="s">
        <v>219</v>
      </c>
      <c r="DK4" s="119"/>
      <c r="DL4" s="119" t="s">
        <v>136</v>
      </c>
      <c r="DM4" s="119" t="s">
        <v>136</v>
      </c>
      <c r="DN4" s="119" t="s">
        <v>2</v>
      </c>
      <c r="DO4" s="119"/>
      <c r="DP4" s="119"/>
      <c r="DQ4" s="119" t="s">
        <v>136</v>
      </c>
      <c r="DR4" s="119" t="s">
        <v>219</v>
      </c>
      <c r="DS4" s="119"/>
      <c r="DT4" s="119" t="s">
        <v>136</v>
      </c>
      <c r="DU4" s="119" t="s">
        <v>2</v>
      </c>
      <c r="DV4" s="119"/>
      <c r="DW4" s="119" t="s">
        <v>136</v>
      </c>
      <c r="DX4" s="119" t="s">
        <v>219</v>
      </c>
      <c r="DY4" s="119"/>
      <c r="DZ4" s="119" t="s">
        <v>219</v>
      </c>
      <c r="EA4" s="119"/>
      <c r="EB4" s="119" t="s">
        <v>2</v>
      </c>
      <c r="EC4" s="119" t="s">
        <v>172</v>
      </c>
      <c r="ED4" s="119" t="s">
        <v>36</v>
      </c>
      <c r="EE4" s="119" t="s">
        <v>36</v>
      </c>
      <c r="EF4" s="119" t="s">
        <v>36</v>
      </c>
      <c r="EG4" s="119" t="s">
        <v>36</v>
      </c>
      <c r="EH4" s="119" t="s">
        <v>219</v>
      </c>
      <c r="EI4" s="119"/>
      <c r="EJ4" s="119" t="s">
        <v>2</v>
      </c>
      <c r="EK4" s="119" t="s">
        <v>136</v>
      </c>
      <c r="EL4" s="119" t="s">
        <v>136</v>
      </c>
      <c r="EM4" s="119" t="s">
        <v>36</v>
      </c>
      <c r="EN4" s="119" t="s">
        <v>36</v>
      </c>
      <c r="EO4" s="119" t="s">
        <v>36</v>
      </c>
      <c r="EP4" s="119" t="s">
        <v>219</v>
      </c>
      <c r="EQ4" s="119"/>
      <c r="ER4" s="119" t="s">
        <v>2</v>
      </c>
      <c r="ES4" s="119" t="s">
        <v>136</v>
      </c>
      <c r="ET4" s="119" t="s">
        <v>36</v>
      </c>
      <c r="EU4" s="119" t="s">
        <v>36</v>
      </c>
      <c r="EV4" s="119" t="s">
        <v>219</v>
      </c>
      <c r="EW4" s="119"/>
      <c r="EX4" s="119" t="s">
        <v>2</v>
      </c>
      <c r="EY4" s="119" t="s">
        <v>36</v>
      </c>
      <c r="EZ4" s="119" t="s">
        <v>36</v>
      </c>
      <c r="FA4" s="119" t="s">
        <v>219</v>
      </c>
      <c r="FB4" s="119"/>
      <c r="FC4" s="119" t="s">
        <v>2</v>
      </c>
      <c r="FD4" s="119" t="s">
        <v>251</v>
      </c>
      <c r="FE4" s="119" t="s">
        <v>36</v>
      </c>
      <c r="FF4" s="119" t="s">
        <v>36</v>
      </c>
      <c r="FG4" s="119" t="s">
        <v>219</v>
      </c>
      <c r="FH4" s="119"/>
      <c r="FI4" s="119" t="s">
        <v>2</v>
      </c>
      <c r="FJ4" s="119" t="s">
        <v>36</v>
      </c>
      <c r="FK4" s="119" t="s">
        <v>36</v>
      </c>
      <c r="FL4" s="119" t="s">
        <v>219</v>
      </c>
      <c r="FM4" s="119"/>
      <c r="FN4" s="119" t="s">
        <v>2</v>
      </c>
      <c r="FO4" s="119" t="s">
        <v>36</v>
      </c>
      <c r="FP4" s="119" t="s">
        <v>36</v>
      </c>
      <c r="FQ4" s="119" t="s">
        <v>219</v>
      </c>
      <c r="FR4" s="119"/>
      <c r="FS4" s="119" t="s">
        <v>219</v>
      </c>
      <c r="FT4" s="248" t="s">
        <v>219</v>
      </c>
      <c r="FU4" s="119" t="s">
        <v>219</v>
      </c>
      <c r="FV4" s="248" t="s">
        <v>219</v>
      </c>
      <c r="FW4" s="119" t="s">
        <v>219</v>
      </c>
      <c r="FX4" s="248" t="s">
        <v>219</v>
      </c>
      <c r="FY4" s="248"/>
      <c r="FZ4" s="119" t="s">
        <v>189</v>
      </c>
      <c r="GA4" s="119" t="s">
        <v>338</v>
      </c>
      <c r="GB4" s="119" t="s">
        <v>384</v>
      </c>
      <c r="GC4" s="119" t="s">
        <v>189</v>
      </c>
      <c r="GD4" s="119" t="s">
        <v>338</v>
      </c>
      <c r="GE4" s="119" t="s">
        <v>384</v>
      </c>
      <c r="GF4" s="119" t="s">
        <v>338</v>
      </c>
      <c r="GG4" s="119" t="s">
        <v>189</v>
      </c>
      <c r="GH4" s="119" t="s">
        <v>384</v>
      </c>
      <c r="GI4" s="119" t="s">
        <v>256</v>
      </c>
      <c r="GJ4" s="119" t="s">
        <v>257</v>
      </c>
      <c r="GK4" s="119" t="s">
        <v>256</v>
      </c>
      <c r="GL4" s="119" t="s">
        <v>257</v>
      </c>
      <c r="GM4" s="119" t="s">
        <v>256</v>
      </c>
      <c r="GN4" s="119" t="s">
        <v>257</v>
      </c>
      <c r="GO4" s="119" t="s">
        <v>255</v>
      </c>
      <c r="GP4" s="119" t="s">
        <v>256</v>
      </c>
      <c r="GQ4" s="119" t="s">
        <v>257</v>
      </c>
      <c r="GR4" s="119" t="s">
        <v>255</v>
      </c>
      <c r="GS4" s="132" t="s">
        <v>259</v>
      </c>
      <c r="GT4" s="132" t="s">
        <v>259</v>
      </c>
      <c r="GU4" s="132" t="s">
        <v>260</v>
      </c>
      <c r="GV4" s="132" t="s">
        <v>260</v>
      </c>
      <c r="GW4" s="132" t="s">
        <v>259</v>
      </c>
      <c r="GX4" s="132" t="s">
        <v>259</v>
      </c>
      <c r="GY4" s="132" t="s">
        <v>260</v>
      </c>
      <c r="GZ4" s="132" t="s">
        <v>260</v>
      </c>
      <c r="HA4" s="132" t="s">
        <v>259</v>
      </c>
      <c r="HB4" s="132" t="s">
        <v>259</v>
      </c>
      <c r="HC4" s="132" t="s">
        <v>260</v>
      </c>
      <c r="HD4" s="132" t="s">
        <v>260</v>
      </c>
      <c r="HE4" s="119" t="s">
        <v>219</v>
      </c>
      <c r="HF4" s="248" t="s">
        <v>219</v>
      </c>
      <c r="HG4" s="119" t="s">
        <v>219</v>
      </c>
      <c r="HH4" s="248" t="s">
        <v>219</v>
      </c>
      <c r="HI4" s="119" t="s">
        <v>219</v>
      </c>
      <c r="HJ4" s="248" t="s">
        <v>219</v>
      </c>
      <c r="HK4" s="119" t="s">
        <v>219</v>
      </c>
      <c r="HL4" s="248" t="s">
        <v>219</v>
      </c>
      <c r="HM4" s="119" t="s">
        <v>219</v>
      </c>
      <c r="HN4" s="248" t="s">
        <v>219</v>
      </c>
      <c r="HO4" s="119" t="s">
        <v>219</v>
      </c>
      <c r="HP4" s="248" t="s">
        <v>219</v>
      </c>
      <c r="JM4" s="38"/>
      <c r="JN4" s="131" t="s">
        <v>2</v>
      </c>
      <c r="JO4" s="182" t="s">
        <v>154</v>
      </c>
      <c r="JP4" s="182" t="s">
        <v>154</v>
      </c>
      <c r="JQ4" s="119" t="s">
        <v>2</v>
      </c>
      <c r="JR4" s="119" t="s">
        <v>2</v>
      </c>
      <c r="JS4" s="119" t="s">
        <v>2</v>
      </c>
      <c r="JT4" s="119" t="s">
        <v>2</v>
      </c>
      <c r="JU4" s="119" t="s">
        <v>115</v>
      </c>
      <c r="JV4" s="119" t="s">
        <v>115</v>
      </c>
      <c r="JW4" s="119" t="s">
        <v>115</v>
      </c>
      <c r="JX4" s="119" t="s">
        <v>115</v>
      </c>
      <c r="JY4" s="119" t="s">
        <v>195</v>
      </c>
      <c r="JZ4" s="119" t="s">
        <v>195</v>
      </c>
      <c r="KA4" s="119" t="s">
        <v>115</v>
      </c>
      <c r="KB4" s="119" t="s">
        <v>115</v>
      </c>
      <c r="KC4" s="119" t="s">
        <v>115</v>
      </c>
      <c r="KD4" s="119" t="s">
        <v>115</v>
      </c>
      <c r="KE4" s="119" t="s">
        <v>115</v>
      </c>
      <c r="KF4" s="119" t="s">
        <v>115</v>
      </c>
      <c r="KG4" s="119" t="s">
        <v>257</v>
      </c>
      <c r="KH4" s="119" t="s">
        <v>255</v>
      </c>
      <c r="KI4" s="132" t="s">
        <v>260</v>
      </c>
      <c r="KJ4" s="132" t="s">
        <v>260</v>
      </c>
    </row>
    <row r="5" spans="1:341" s="283" customFormat="1" x14ac:dyDescent="0.3">
      <c r="A5" s="295">
        <v>41276</v>
      </c>
      <c r="B5" s="268">
        <v>1</v>
      </c>
      <c r="C5" s="296">
        <v>24</v>
      </c>
      <c r="D5" s="296">
        <v>4.2</v>
      </c>
      <c r="E5" s="296">
        <v>50016</v>
      </c>
      <c r="F5" s="296">
        <v>300</v>
      </c>
      <c r="G5" s="296">
        <v>11.7</v>
      </c>
      <c r="H5" s="296">
        <v>0.85</v>
      </c>
      <c r="I5" s="296">
        <v>1.4</v>
      </c>
      <c r="J5" s="296">
        <v>1.33</v>
      </c>
      <c r="K5" s="296">
        <v>0.91</v>
      </c>
      <c r="L5" s="268">
        <v>32812.090321592987</v>
      </c>
      <c r="M5" s="292">
        <v>19</v>
      </c>
      <c r="N5" s="282">
        <v>74208.850832149386</v>
      </c>
      <c r="O5" s="297">
        <v>17</v>
      </c>
      <c r="P5" s="296">
        <v>2</v>
      </c>
      <c r="Q5" s="296">
        <v>5</v>
      </c>
      <c r="R5" s="284">
        <v>408.68923950195312</v>
      </c>
      <c r="S5" s="292">
        <v>94.580920611071633</v>
      </c>
      <c r="T5" s="268">
        <v>180</v>
      </c>
      <c r="U5" s="298">
        <v>3.7357845306396484</v>
      </c>
      <c r="V5" s="297">
        <v>17</v>
      </c>
      <c r="W5" s="296">
        <v>1250</v>
      </c>
      <c r="X5" s="292">
        <v>89762.00153067708</v>
      </c>
      <c r="Y5" s="292">
        <v>10064.578303329647</v>
      </c>
      <c r="Z5" s="292">
        <v>313.92279052734375</v>
      </c>
      <c r="AA5" s="292">
        <v>9.6687507629394531</v>
      </c>
      <c r="AB5" s="292">
        <v>12.977079391479492</v>
      </c>
      <c r="AC5" s="299">
        <v>37</v>
      </c>
      <c r="AD5" s="299">
        <v>30.035566329956055</v>
      </c>
      <c r="AE5" s="277">
        <v>20</v>
      </c>
      <c r="AF5" s="277">
        <v>10</v>
      </c>
      <c r="AG5" s="278">
        <v>5000000</v>
      </c>
      <c r="AH5" s="279">
        <v>300000</v>
      </c>
      <c r="AI5" s="280">
        <v>5000000</v>
      </c>
      <c r="AJ5" s="281">
        <f t="shared" ref="AJ5:AJ36" si="0">AH5</f>
        <v>300000</v>
      </c>
      <c r="AK5" s="280">
        <v>2750000</v>
      </c>
      <c r="AL5" s="279">
        <f t="shared" ref="AL5:AL36" si="1">AH5</f>
        <v>300000</v>
      </c>
      <c r="AM5" s="282">
        <v>14.407</v>
      </c>
      <c r="BM5" s="284">
        <f t="shared" ref="BM5:BM36" si="2">37-AD5</f>
        <v>6.9644336700439453</v>
      </c>
      <c r="BN5" s="268">
        <f t="shared" ref="BN5:BN36" si="3">T5</f>
        <v>180</v>
      </c>
      <c r="BO5" s="284">
        <f t="shared" ref="BO5:BO36" si="4">AB5-AA5</f>
        <v>3.3083286285400391</v>
      </c>
      <c r="BP5" s="268">
        <f t="shared" ref="BP5:BP35" si="5">0.66*JN5</f>
        <v>12.718284469425186</v>
      </c>
      <c r="BQ5" s="285">
        <f t="shared" ref="BQ5:BQ36" si="6">(F5/H5)*((G5)^((I5-1)/I5)-1)+F5</f>
        <v>659.74492511188635</v>
      </c>
      <c r="BR5" s="286">
        <f t="shared" ref="BR5:BR36" si="7">1.04841-((3.8371*F5)/10^4)+((9.4537*F5^2)/10^7)-((5.49031*F5^3)/(10^10))+((7.9298*F5^4)/(10^14))</f>
        <v>1.0041987768</v>
      </c>
      <c r="BS5" s="285">
        <f t="shared" ref="BS5:BS36" si="8">M5*BR5*(BQ5-F5)</f>
        <v>6863.8528613899143</v>
      </c>
      <c r="BT5" s="268">
        <v>900</v>
      </c>
      <c r="BU5" s="285">
        <f>0.991615+(0.0000699703*BT5)+(0.00000027129*BT5^2)-(0.000000000122442*BT5^3)</f>
        <v>1.1850729520000001</v>
      </c>
      <c r="BV5" s="285">
        <f>0.991615+(0.0000699703*BW5)+(0.00000027129*BW5^2)-(0.000000000122442*BW5^3)</f>
        <v>1.0841851580379258</v>
      </c>
      <c r="BW5" s="285">
        <f>BX5-BZ5</f>
        <v>520.17844361978257</v>
      </c>
      <c r="BX5" s="285">
        <f t="shared" ref="BX5:BX36" si="9">((CD5*E5)/(JN5*BU5))+BQ5</f>
        <v>1251.373100874478</v>
      </c>
      <c r="BY5" s="285">
        <f>BZ5-273</f>
        <v>458.19465725469547</v>
      </c>
      <c r="BZ5" s="285">
        <f t="shared" ref="BZ5:BZ36" si="10">BX5+(K5*BX5*((1/G5)^((J5-1)/J5)-1))</f>
        <v>731.19465725469547</v>
      </c>
      <c r="CA5" s="285">
        <f t="shared" ref="CA5:CA36" si="11">(JN5*BU5*(BX5-BZ5))</f>
        <v>11879.058905856376</v>
      </c>
      <c r="CB5" s="285">
        <f t="shared" ref="CB5:CB36" si="12">N5/C5</f>
        <v>3092.0354513395578</v>
      </c>
      <c r="CC5" s="285">
        <f t="shared" ref="CC5:CC36" si="13">L5/C5</f>
        <v>1367.1704300663744</v>
      </c>
      <c r="CD5" s="287">
        <f>(0.0002778/1.406)*CC5</f>
        <v>0.2701279839775525</v>
      </c>
      <c r="CE5" s="285">
        <f t="shared" ref="CE5:CE36" si="14">Z5/V5</f>
        <v>18.466046501608457</v>
      </c>
      <c r="CF5" s="285">
        <f t="shared" ref="CF5:CF36" si="15">(1/3.6)*S5</f>
        <v>26.272477947519899</v>
      </c>
      <c r="CG5" s="285">
        <f t="shared" ref="CG5:CG36" si="16">P5/100</f>
        <v>0.02</v>
      </c>
      <c r="CH5" s="285">
        <f t="shared" ref="CH5:CH36" si="17">Q5/100</f>
        <v>0.05</v>
      </c>
      <c r="CI5" s="285">
        <v>30</v>
      </c>
      <c r="CJ5" s="285">
        <f t="shared" ref="CJ5:CJ44" si="18">CX5-273</f>
        <v>165</v>
      </c>
      <c r="CK5" s="285">
        <f t="shared" ref="CK5:CK36" si="19">T5+273</f>
        <v>453</v>
      </c>
      <c r="CL5" s="285">
        <f t="shared" ref="CL5:CL36" si="20">R5+273</f>
        <v>681.68923950195312</v>
      </c>
      <c r="CM5" s="285">
        <f t="shared" ref="CM5:CM36" ca="1" si="21">FORECAST(T5,OFFSET(KnownA,MATCH(T5,KnownB,1)-1,0,2),OFFSET(KnownB,MATCH(T5,KnownB,1)-1,0,2))</f>
        <v>2816.5993052117487</v>
      </c>
      <c r="CN5" s="285">
        <f t="shared" ref="CN5:CN44" ca="1" si="22">FORECAST(CI5,OFFSET(h,MATCH(CI5,Temp,1)-1,0,2),OFFSET(Temp,MATCH(CI5,Temp,1)-1,0,2))</f>
        <v>125.80344444444444</v>
      </c>
      <c r="CO5" s="285">
        <f t="shared" ref="CO5:CO44" ca="1" si="23">FORECAST(CJ5,OFFSET(h,MATCH(CJ5,Temp,1)-1,0,2),OFFSET(Temp,MATCH(CJ5,Temp,1)-1,0,2))</f>
        <v>690.58718083896258</v>
      </c>
      <c r="CP5" s="285">
        <f t="shared" ref="CP5:CP44" ca="1" si="24">FORECAST(CJ5,OFFSET(KnownA,MATCH(CJ5,KnownB,1)-1,0,2),OFFSET(KnownB,MATCH(CJ5,KnownB,1)-1,0,2))</f>
        <v>2790.6388281929471</v>
      </c>
      <c r="CQ5" s="285">
        <f>0.991615+(0.0000699703*CW5)+(0.00000027129*CW5^2)-(0.000000000122442*CW5^3)</f>
        <v>1.072449112508886</v>
      </c>
      <c r="CR5" s="285">
        <f t="shared" ref="CR5:CR36" ca="1" si="25">(JQ5*(1+CH5)*(CO5-CN5))</f>
        <v>615.3905174606881</v>
      </c>
      <c r="CS5" s="285">
        <f t="shared" ref="CS5:CS36" ca="1" si="26">CR5/(JN5*CQ5*(1-CG5))</f>
        <v>30.3852931736972</v>
      </c>
      <c r="CT5" s="285">
        <f>0.991615+(0.0000699703*CL5)+(0.00000027129*CL5^2)-(0.000000000122442*CL5^3)</f>
        <v>1.126594206847165</v>
      </c>
      <c r="CU5" s="285">
        <f ca="1">0.991615+(0.0000699703*CZ5)+(0.00000027129*CZ5^2)-(0.000000000122442*CZ5^3)</f>
        <v>1.022176006915523</v>
      </c>
      <c r="CV5" s="285">
        <f>BZ5-CW5</f>
        <v>258.19465725469547</v>
      </c>
      <c r="CW5" s="285">
        <f t="shared" ref="CW5:CW44" si="27">CK5+20</f>
        <v>473</v>
      </c>
      <c r="CX5" s="285">
        <f t="shared" ref="CX5:CX44" si="28">CK5-15</f>
        <v>438</v>
      </c>
      <c r="CY5" s="285">
        <f ca="1">CW5-CS5</f>
        <v>442.61470682630278</v>
      </c>
      <c r="CZ5" s="285">
        <f t="shared" ref="CZ5:CZ44" ca="1" si="29">CL5-CY5</f>
        <v>239.07453267565035</v>
      </c>
      <c r="DA5" s="285">
        <v>0.21890000000000001</v>
      </c>
      <c r="DB5" s="285">
        <v>2.7E-2</v>
      </c>
      <c r="DC5" s="285">
        <v>1.06</v>
      </c>
      <c r="DD5" s="285">
        <f t="shared" ref="DD5:DD36" si="30">(CD5*(DC5*E5))*0.001</f>
        <v>14.321364521418541</v>
      </c>
      <c r="DE5" s="285">
        <f>DD5</f>
        <v>14.321364521418541</v>
      </c>
      <c r="DF5" s="285">
        <f t="shared" ref="DF5:DF44" si="31">CL5</f>
        <v>681.68923950195312</v>
      </c>
      <c r="DG5" s="285">
        <v>731.19465725469547</v>
      </c>
      <c r="DH5" s="285">
        <f>0.991615+(0.0000699703*DF5)+(0.00000027129*DF5^2)-(0.000000000122442*DF5^3)</f>
        <v>1.126594206847165</v>
      </c>
      <c r="DI5" s="285">
        <f>0.991615+(0.0000699703*DG5)+(0.00000027129*DG5^2)-(0.000000000122442*DG5^3)</f>
        <v>1.1399546673966896</v>
      </c>
      <c r="DJ5" s="285">
        <f t="shared" ref="DJ5:DJ36" si="32">(JN5*DH5*DQ5*((DF5/DQ5)-1-LN(DF5/DQ5)))*0.001</f>
        <v>2.9736960308403528</v>
      </c>
      <c r="DK5" s="285">
        <f t="shared" ref="DK5:DK36" si="33">(JN5*DI5*DQ5*((DG5/DQ5)-1-LN(DG5/DQ5)))*0.001</f>
        <v>3.6372938111483095</v>
      </c>
      <c r="DL5" s="285">
        <f>DF5</f>
        <v>681.68923950195312</v>
      </c>
      <c r="DM5" s="285">
        <f>BZ5</f>
        <v>731.19465725469547</v>
      </c>
      <c r="DN5" s="285">
        <f t="shared" ref="DN5:DN35" si="34">0.666*JN5</f>
        <v>12.83390523732905</v>
      </c>
      <c r="DO5" s="285">
        <f>0.991615+(0.0000699703*DL5)+(0.00000027129*DL5^2)-(0.000000000122442*DL5^3)</f>
        <v>1.126594206847165</v>
      </c>
      <c r="DP5" s="285">
        <f>0.991615+(0.0000699703*DM5)+(0.00000027129*DM5^2)-(0.000000000122442*DM5^3)</f>
        <v>1.1399546673966896</v>
      </c>
      <c r="DQ5" s="285">
        <v>298.14999999999998</v>
      </c>
      <c r="DR5" s="285">
        <f>(DN5*DO5*DQ5*((DL5/DQ5)-1-LN(DL5/DQ5)))*0.001</f>
        <v>1.9804815565396747</v>
      </c>
      <c r="DS5" s="285">
        <f>(DN5*DP5*DQ5*((DM5/DQ5)-1-LN(DM5/DQ5)))*0.001</f>
        <v>2.4224376782247741</v>
      </c>
      <c r="DT5" s="285">
        <f t="shared" ref="DT5:DT47" si="35">DL5</f>
        <v>681.68923950195312</v>
      </c>
      <c r="DU5" s="289">
        <f>JN5-DN5</f>
        <v>6.436222746648502</v>
      </c>
      <c r="DV5" s="285">
        <f>0.991615+(0.0000699703*DT5)+(0.00000027129*DT5^2)-(0.000000000122442*DT5^3)</f>
        <v>1.126594206847165</v>
      </c>
      <c r="DW5" s="285">
        <v>298.14999999999998</v>
      </c>
      <c r="DX5" s="285">
        <f t="shared" ref="DX5:DX36" si="36">(JN5-DN5)*DV5*DW5*((DT5/DW5)-1-LN(DT5/DW5))*0.001</f>
        <v>0.99321447430067755</v>
      </c>
      <c r="DY5" s="285">
        <f t="shared" ref="DY5:DY36" si="37">(JN5-DN5)*DP5*DW5*((DM5/DW5)-1-LN(DM5/DW5))*0.001</f>
        <v>1.2148561329235354</v>
      </c>
      <c r="DZ5" s="285">
        <f t="shared" ref="DZ5:DZ47" si="38">CB5*0.001</f>
        <v>3.0920354513395578</v>
      </c>
      <c r="EA5" s="285">
        <f t="shared" ref="EA5:EA25" si="39">JP5*0.001</f>
        <v>5.0152060444664626</v>
      </c>
      <c r="EB5" s="285">
        <f>CF5</f>
        <v>26.272477947519899</v>
      </c>
      <c r="EC5" s="285">
        <v>30</v>
      </c>
      <c r="ED5" s="290">
        <f t="shared" ref="ED5:ED44" ca="1" si="40">FORECAST(EC5,OFFSET(h,MATCH(EC5,Temp,1)-1,0,2),OFFSET(Temp,MATCH(EC5,Temp,1)-1,0,2))</f>
        <v>125.80344444444444</v>
      </c>
      <c r="EE5" s="290">
        <v>104.83</v>
      </c>
      <c r="EF5" s="290">
        <f t="shared" ref="EF5:EF34" ca="1" si="41">FORECAST(EC5,OFFSET(KnownYSAC,MATCH(EC5,KnownXSAC,1)-1,0,2),OFFSET(KnownXSAC,MATCH(EC5,KnownXSAC,1)-1,0,2))</f>
        <v>0.42491111111111107</v>
      </c>
      <c r="EG5" s="291">
        <v>0.36720000000000003</v>
      </c>
      <c r="EH5" s="285">
        <f ca="1">EB5*(ED5-EE5-DW5*(EF5-EG5))*0.001</f>
        <v>9.8965184156027688E-2</v>
      </c>
      <c r="EI5" s="285">
        <f ca="1">EH5</f>
        <v>9.8965184156027688E-2</v>
      </c>
      <c r="EJ5" s="285">
        <f t="shared" ref="EJ5:EJ34" si="42">DN5</f>
        <v>12.83390523732905</v>
      </c>
      <c r="EK5" s="285">
        <v>435</v>
      </c>
      <c r="EL5" s="285">
        <f t="shared" ref="EL5:EL34" ca="1" si="43">CY5</f>
        <v>442.61470682630278</v>
      </c>
      <c r="EM5" s="285">
        <f ca="1">0.991615+(0.0000699703*EK5)+(0.00000027129*EK5^2)-(0.000000000122442*EL5^3)</f>
        <v>1.0627697811823709</v>
      </c>
      <c r="EN5" s="285">
        <f ca="1">0.991615+(0.0000699703*EL5)+(0.00000027129*EL5^2)-(0.000000000122442*EL5^3)</f>
        <v>1.0651155555366532</v>
      </c>
      <c r="EO5" s="285">
        <v>298.14999999999998</v>
      </c>
      <c r="EP5" s="285">
        <f ca="1">(EJ5*EM5*EO5*((EK5/EO5)-1-LN(EK5/EO5)))*0.001</f>
        <v>0.33040349197141333</v>
      </c>
      <c r="EQ5" s="285">
        <f ca="1">(EJ5*EN5*EO5*((EL5/EO5)-1-LN(EL5/EO5)))*0.001</f>
        <v>0.36449646580371886</v>
      </c>
      <c r="ER5" s="285">
        <f t="shared" ref="ER5:ER45" si="44">JQ5</f>
        <v>1.0377179251776802</v>
      </c>
      <c r="ES5" s="285">
        <f t="shared" ref="ES5:ES34" si="45">CK5</f>
        <v>453</v>
      </c>
      <c r="ET5" s="285">
        <f t="shared" ref="ET5:ET36" ca="1" si="46">FORECAST(T5,OFFSET(KnownA,MATCH(T5,KnownB,1)-1,0,2),OFFSET(KnownB,MATCH(T5,KnownB,1)-1,0,2))</f>
        <v>2816.5993052117487</v>
      </c>
      <c r="EU5" s="285">
        <f t="shared" ref="EU5:EU36" ca="1" si="47">FORECAST(T5,OFFSET(Svapour,MATCH(T5,Suhu,1)-1,0,2),OFFSET(Suhu,MATCH(T5,Suhu,1)-1,0,2))</f>
        <v>6.5855309782608691</v>
      </c>
      <c r="EV5" s="285">
        <f t="shared" ref="EV5:EV35" ca="1" si="48">(ER5*(ET5-EE5-DQ5*(EU5-EG5)))*0.001</f>
        <v>0.8901273767297001</v>
      </c>
      <c r="EW5" s="285">
        <f t="shared" ref="EW5:EW36" ca="1" si="49">(JR5*(ET5-EE5-DQ5*(EU5-EG5)))*0.001</f>
        <v>1.3939262025157573</v>
      </c>
      <c r="EX5" s="285">
        <v>21.47</v>
      </c>
      <c r="EY5" s="285">
        <f t="shared" ref="EY5:EY36" ca="1" si="50">FORECAST(AD5,OFFSET(KnownY1SAC,MATCH(AD5,KnownX1SAC,1)-1,0,2),OFFSET(KnownX1SAC,MATCH(AD5,KnownX1SAC,1)-1,0,2))</f>
        <v>125.78662682045831</v>
      </c>
      <c r="EZ5" s="285">
        <f t="shared" ref="EZ5:EZ36" ca="1" si="51">FORECAST(AD5,OFFSET(KnownYSAC,MATCH(AD5,KnownXSAC,1)-1,0,2),OFFSET(KnownXSAC,MATCH(AD5,KnownXSAC,1)-1,0,2))</f>
        <v>0.42540706382327609</v>
      </c>
      <c r="FA5" s="285">
        <f ca="1">(EX5*(EY5-EE5-DW5*(EZ5-EG5)))*0.001</f>
        <v>7.7339035221047459E-2</v>
      </c>
      <c r="FB5" s="285">
        <f ca="1">FA5</f>
        <v>7.7339035221047459E-2</v>
      </c>
      <c r="FC5" s="285">
        <f t="shared" ref="FC5:FC44" si="52">EX5</f>
        <v>21.47</v>
      </c>
      <c r="FD5" s="285">
        <v>37</v>
      </c>
      <c r="FE5" s="285">
        <f t="shared" ref="FE5:FE44" ca="1" si="53">FORECAST(FD5,OFFSET(KnownY1SAC,MATCH(FD5,KnownX1SAC,1)-1,0,2),OFFSET(KnownX1SAC,MATCH(FD5,KnownX1SAC,1)-1,0,2))</f>
        <v>154.93355555555553</v>
      </c>
      <c r="FF5" s="285">
        <f t="shared" ref="FF5:FF44" ca="1" si="54">FORECAST(FD5,OFFSET(KnownYSAC,MATCH(FD5,KnownXSAC,1)-1,0,2),OFFSET(KnownXSAC,MATCH(FD5,KnownXSAC,1)-1,0,2))</f>
        <v>0.52252222222222222</v>
      </c>
      <c r="FG5" s="285">
        <f t="shared" ref="FG5:FG35" ca="1" si="55">(FC5*(FE5-EE5-DW5*(FF5-EG5)))*0.001</f>
        <v>8.1462225449999703E-2</v>
      </c>
      <c r="FH5" s="285">
        <f ca="1">FG5</f>
        <v>8.1462225449999703E-2</v>
      </c>
      <c r="FI5" s="285">
        <f t="shared" ref="FI5:FI45" si="56">JS5</f>
        <v>87.898381347656255</v>
      </c>
      <c r="FJ5" s="285">
        <f t="shared" ref="FJ5:FJ36" ca="1" si="57">FORECAST(AA5,OFFSET(KnownY1SAC,MATCH(AA5,KnownX1SAC,1)-1,0,2),OFFSET(KnownX1SAC,MATCH(AA5,KnownX1SAC,1)-1,0,2))</f>
        <v>40.549240692986388</v>
      </c>
      <c r="FK5" s="285">
        <f t="shared" ref="FK5:FK36" ca="1" si="58">FORECAST(AA5,OFFSET(KnownYSAC,MATCH(AA5,KnownXSAC,1)-1,0,2),OFFSET(KnownXSAC,MATCH(AA5,KnownXSAC,1)-1,0,2))</f>
        <v>0.14140313563876683</v>
      </c>
      <c r="FL5" s="285">
        <f t="shared" ref="FL5:FL35" ca="1" si="59">(FI5*(FJ5-EE5-DW5*(FK5-EG5)))*0.001</f>
        <v>0.26726169138597183</v>
      </c>
      <c r="FM5" s="285">
        <f t="shared" ref="FM5:FM36" ca="1" si="60">(JT5*(FJ5-EE5-DW5*(FK5-EG5)))*0.001</f>
        <v>0.8677283056794981</v>
      </c>
      <c r="FN5" s="285">
        <f>FI5</f>
        <v>87.898381347656255</v>
      </c>
      <c r="FO5" s="285">
        <f t="shared" ref="FO5:FO36" ca="1" si="61">FORECAST(AB5,OFFSET(KnownY1SAC,MATCH(AB5,KnownX1SAC,1)-1,0,2),OFFSET(KnownX1SAC,MATCH(AB5,KnownX1SAC,1)-1,0,2))</f>
        <v>54.394963595496293</v>
      </c>
      <c r="FP5" s="285">
        <f t="shared" ref="FP5:FP36" ca="1" si="62">FORECAST(AB5,OFFSET(KnownYSAC,MATCH(AB5,KnownXSAC,1)-1,0,2),OFFSET(KnownXSAC,MATCH(AB5,KnownXSAC,1)-1,0,2))</f>
        <v>0.18753594040340849</v>
      </c>
      <c r="FQ5" s="285">
        <f t="shared" ref="FQ5:FQ35" ca="1" si="63">(FN5*(FO5-EE5-DW5*(FP5-EG5)))*0.001</f>
        <v>0.27528041125473485</v>
      </c>
      <c r="FR5" s="285">
        <f t="shared" ref="FR5:FR36" ca="1" si="64">(JT5*(FO5-EE5-DW5*(FP5-EG5)))*0.001</f>
        <v>0.8937629766768902</v>
      </c>
      <c r="FS5" s="289">
        <f>(DD5-DJ5)-DZ5</f>
        <v>8.2556330392386315</v>
      </c>
      <c r="FT5" s="289">
        <f>(DE5-DK5)-EA5</f>
        <v>5.6688646658037696</v>
      </c>
      <c r="FU5" s="289">
        <f ca="1">(DR5+EH5)-(EP5+EV5)</f>
        <v>0.85891587199458908</v>
      </c>
      <c r="FV5" s="289">
        <f ca="1">(DS5+EI5)-(EQ5+EW5)</f>
        <v>0.76298019406132545</v>
      </c>
      <c r="FW5" s="289">
        <f ca="1">(EV5+FA5+FQ5)-(FG5+FL5)</f>
        <v>0.89402290636951087</v>
      </c>
      <c r="FX5" s="289">
        <f ca="1">(EW5+FB5+FR5)-(FH5+FM5)</f>
        <v>1.415837683284197</v>
      </c>
      <c r="FY5" s="289">
        <f t="shared" ref="FY5:FY36" si="65">((AF5/100*(1+(AF5/100)*AE5))/((1+(AF5/100)*AE5-1)))</f>
        <v>0.15000000000000002</v>
      </c>
      <c r="FZ5" s="289">
        <f t="shared" ref="FZ5:FZ36" si="66">(AG5*FY5)+(AH5)</f>
        <v>1050000</v>
      </c>
      <c r="GA5" s="289">
        <f>FZ5/(8640*3600)</f>
        <v>3.3757716049382713E-2</v>
      </c>
      <c r="GB5" s="289">
        <f>FZ5/8640</f>
        <v>121.52777777777777</v>
      </c>
      <c r="GC5" s="289">
        <f t="shared" ref="GC5:GC36" si="67">(AI5*FY5)+(AJ5)</f>
        <v>1050000</v>
      </c>
      <c r="GD5" s="289">
        <f>GC5/(4320*3600)</f>
        <v>6.7515432098765427E-2</v>
      </c>
      <c r="GE5" s="289">
        <f>GC5/4320</f>
        <v>243.05555555555554</v>
      </c>
      <c r="GF5" s="289">
        <f>GG5/(4320*3600)</f>
        <v>4.5814043209876545E-2</v>
      </c>
      <c r="GG5" s="289">
        <f t="shared" ref="GG5:GG36" si="68">(AK5*FY5)+(AL5)</f>
        <v>712500</v>
      </c>
      <c r="GH5" s="289">
        <f>GG5/4320</f>
        <v>164.93055555555554</v>
      </c>
      <c r="GI5" s="292">
        <f t="shared" ref="GI5:GI36" si="69">((AM5*(DD5-DJ5)*10^(-3))+GA5)/(DZ5*10^(-3))</f>
        <v>63.790852044626817</v>
      </c>
      <c r="GJ5" s="292">
        <f>GI5/277.77777777778</f>
        <v>0.22964706736065471</v>
      </c>
      <c r="GK5" s="292">
        <f t="shared" ref="GK5:GK36" si="70">((AM5*(DE5-DK5)*10^(-3))+GA5)/(EA5*10^(-3))</f>
        <v>37.422813959822548</v>
      </c>
      <c r="GL5" s="292">
        <f>GK5/277.77777777778</f>
        <v>0.13472213025536009</v>
      </c>
      <c r="GM5" s="292">
        <f t="shared" ref="GM5:GM36" ca="1" si="71">(AM5*(DD5*(EXP(-3))+(GA5+GD5+GF5))-(GI5*DZ5*EXP(-3))/(FL5)*(EXP(-3)))</f>
        <v>10.562186005082626</v>
      </c>
      <c r="GN5" s="292">
        <f ca="1">GM5/277.77777777778</f>
        <v>3.8023869618297151E-2</v>
      </c>
      <c r="GO5" s="292">
        <f ca="1">GN5/0.2844</f>
        <v>0.1336985570263613</v>
      </c>
      <c r="GP5" s="292">
        <f t="shared" ref="GP5:GP36" ca="1" si="72">(AM5*(DE5*(EXP(-3))+(GA5+GD5+GF5))-(GK5*EA5*EXP(-3))/(FM5)*(EXP(-3)))</f>
        <v>11.8554108626064</v>
      </c>
      <c r="GQ5" s="292">
        <f ca="1">GP5/277.77777777778</f>
        <v>4.2679479105382702E-2</v>
      </c>
      <c r="GR5" s="292">
        <f ca="1">GQ5/0.2844</f>
        <v>0.15006849193172539</v>
      </c>
      <c r="GS5" s="293">
        <f t="shared" ref="GS5:GS36" si="73">(AM5*(FS5*0.001))</f>
        <v>0.11893890519631097</v>
      </c>
      <c r="GT5" s="293">
        <f t="shared" ref="GT5:GT36" si="74">(AM5*(FT5*0.001))</f>
        <v>8.1671333240234914E-2</v>
      </c>
      <c r="GU5" s="293">
        <f>GS5*3600</f>
        <v>428.18005870671948</v>
      </c>
      <c r="GV5" s="293">
        <f>GT5*3600</f>
        <v>294.01679966484568</v>
      </c>
      <c r="GW5" s="293">
        <f t="shared" ref="GW5:GW36" ca="1" si="75">((66.6/100)*AM5*(0.001*FU5))</f>
        <v>8.2413510445721455E-3</v>
      </c>
      <c r="GX5" s="293">
        <f t="shared" ref="GX5:GX36" ca="1" si="76">((66.6/100)*AM5*(0.001*FV5))</f>
        <v>7.3208422667904493E-3</v>
      </c>
      <c r="GY5" s="293">
        <f ca="1">GW5*3600</f>
        <v>29.668863760459725</v>
      </c>
      <c r="GZ5" s="293">
        <f ca="1">GX5*3600</f>
        <v>26.355032160445617</v>
      </c>
      <c r="HA5" s="293">
        <f t="shared" ref="HA5:HA36" ca="1" si="77">(((66.6/100)*AM5)/KC5)*(FW5*0.001)</f>
        <v>1.7891032196950433E-2</v>
      </c>
      <c r="HB5" s="293">
        <f t="shared" ref="HB5:HB36" ca="1" si="78">(((66.6/100)*AM5)/KD5)*(FX5*0.001)</f>
        <v>2.1589248323293449E-2</v>
      </c>
      <c r="HC5" s="293">
        <f ca="1">HA5*3600</f>
        <v>64.407715909021562</v>
      </c>
      <c r="HD5" s="293">
        <f ca="1">HB5*3600</f>
        <v>77.721293963856411</v>
      </c>
      <c r="HE5" s="292">
        <f>(DD5-DJ5)</f>
        <v>11.347668490578188</v>
      </c>
      <c r="HF5" s="294">
        <f>(DE5-DK5)</f>
        <v>10.684070710270232</v>
      </c>
      <c r="HG5" s="292">
        <v>3.0920354513395578</v>
      </c>
      <c r="HH5" s="292">
        <v>6.1457368860591632</v>
      </c>
      <c r="HI5" s="292">
        <f ca="1">(DR5-EQ5)</f>
        <v>1.6159850907359559</v>
      </c>
      <c r="HJ5" s="292">
        <f ca="1">(DS5-EQ5)</f>
        <v>2.0579412124210554</v>
      </c>
      <c r="HK5" s="292">
        <f ca="1">(EV5-EH5)</f>
        <v>0.79116219257367237</v>
      </c>
      <c r="HL5" s="292">
        <f ca="1">(EW5-EI5)</f>
        <v>1.2949610183597295</v>
      </c>
      <c r="HM5" s="292">
        <f ca="1">EV5</f>
        <v>0.8901273767297001</v>
      </c>
      <c r="HN5" s="292">
        <f ca="1">EW5</f>
        <v>1.3939262025157573</v>
      </c>
      <c r="HO5" s="292">
        <f ca="1">FL5</f>
        <v>0.26726169138597183</v>
      </c>
      <c r="HP5" s="292">
        <f ca="1">FM5</f>
        <v>0.8677283056794981</v>
      </c>
      <c r="JM5" s="300"/>
      <c r="JN5" s="292">
        <f t="shared" ref="JN5:JN36" si="79">CD5+M5</f>
        <v>19.270127983977552</v>
      </c>
      <c r="JO5" s="292">
        <f t="shared" ref="JO5:JO36" si="80">CB5</f>
        <v>3092.0354513395578</v>
      </c>
      <c r="JP5" s="292">
        <f t="shared" ref="JP5:JP36" si="81">CA5-BS5</f>
        <v>5015.2060444664621</v>
      </c>
      <c r="JQ5" s="292">
        <f t="shared" ref="JQ5:JQ36" si="82">(1/3.6)*U5</f>
        <v>1.0377179251776802</v>
      </c>
      <c r="JR5" s="292">
        <f t="shared" ref="JR5:JR36" ca="1" si="83">((0.66*JN5*(1-CG5)*CT5*CV5))/((CM5-CO5+CH5*(CP5-CO5)))</f>
        <v>1.6250508012009</v>
      </c>
      <c r="JS5" s="292">
        <f t="shared" ref="JS5:JS36" si="84">0.28*Z5</f>
        <v>87.898381347656255</v>
      </c>
      <c r="JT5" s="292">
        <f t="shared" ref="JT5:JT36" ca="1" si="85">((JR5*ET5)-EX5*(FE5-EY5))/(FO5-FJ5)</f>
        <v>285.38288867079876</v>
      </c>
      <c r="JU5" s="292">
        <f>JO5/(CD5*E5)</f>
        <v>0.22885791179451709</v>
      </c>
      <c r="JV5" s="292">
        <f t="shared" ref="JV5:JV36" si="86">JP5/(CD5*E5)</f>
        <v>0.371201947913821</v>
      </c>
      <c r="JW5" s="292">
        <f t="shared" ref="JW5:JW36" ca="1" si="87">(JQ5*(CM5-CN5))/((JN5*CU5)+(CD5*E5))</f>
        <v>0.20637107821614167</v>
      </c>
      <c r="JX5" s="292">
        <f t="shared" ref="JX5:JX36" ca="1" si="88">(JR5*(CM5-CN5))/((JN5*CU5)+(CD5*E5))</f>
        <v>0.32317403203998141</v>
      </c>
      <c r="JY5" s="292">
        <f t="shared" ref="JY5:JY36" si="89">Y5/(X5*(DA5-DB5))</f>
        <v>0.58428949791610008</v>
      </c>
      <c r="JZ5" s="292">
        <f t="shared" ref="JZ5:JZ36" si="90">((BO5/(BM5-BO5)))*((BN5-BM5)/BN5)</f>
        <v>0.86986699316244775</v>
      </c>
      <c r="KA5" s="292">
        <f t="shared" ref="KA5:KA36" si="91">(DZ5)/(DD5)</f>
        <v>0.21590369037218596</v>
      </c>
      <c r="KB5" s="292">
        <f t="shared" ref="KB5:KB36" si="92">EA5/(DE5)</f>
        <v>0.35019051689983122</v>
      </c>
      <c r="KC5" s="292">
        <f t="shared" ref="KC5:KC36" ca="1" si="93">(EV5-EH5)/(DR5-EP5)</f>
        <v>0.47946955332727115</v>
      </c>
      <c r="KD5" s="292">
        <f t="shared" ref="KD5:KD36" ca="1" si="94">(EW5-EI5)/(DS5-EQ5)</f>
        <v>0.62925073395866282</v>
      </c>
      <c r="KE5" s="292">
        <f t="shared" ref="KE5:KE36" ca="1" si="95">FM5/EW5</f>
        <v>0.62250663206805534</v>
      </c>
      <c r="KF5" s="292">
        <f t="shared" ref="KF5:KF36" ca="1" si="96">FL5/EV5</f>
        <v>0.30025106335666574</v>
      </c>
      <c r="KG5" s="293">
        <f t="shared" ref="KG5:KG36" si="97">GL5</f>
        <v>0.13472213025536009</v>
      </c>
      <c r="KH5" s="293">
        <f t="shared" ref="KH5:KH36" ca="1" si="98">GR5</f>
        <v>0.15006849193172539</v>
      </c>
      <c r="KI5" s="293">
        <f t="shared" ref="KI5:KI36" ca="1" si="99">GU5+GY5+HC5</f>
        <v>522.25663837620073</v>
      </c>
      <c r="KJ5" s="293">
        <f t="shared" ref="KJ5:KJ36" ca="1" si="100">GV5+GZ5+HD5</f>
        <v>398.09312578914768</v>
      </c>
    </row>
    <row r="6" spans="1:341" x14ac:dyDescent="0.3">
      <c r="A6" s="194">
        <v>41278</v>
      </c>
      <c r="B6" s="196">
        <v>2</v>
      </c>
      <c r="C6" s="177">
        <v>24</v>
      </c>
      <c r="D6" s="177">
        <v>4.2</v>
      </c>
      <c r="E6" s="177">
        <v>50016</v>
      </c>
      <c r="F6" s="177">
        <v>300</v>
      </c>
      <c r="G6" s="177">
        <v>11.7</v>
      </c>
      <c r="H6" s="177">
        <v>0.85</v>
      </c>
      <c r="I6" s="177">
        <v>1.4</v>
      </c>
      <c r="J6" s="177">
        <v>1.33</v>
      </c>
      <c r="K6" s="177">
        <v>0.91</v>
      </c>
      <c r="L6" s="166">
        <v>26632.91285853833</v>
      </c>
      <c r="M6" s="169">
        <v>19</v>
      </c>
      <c r="N6" s="167">
        <v>74652.851945333183</v>
      </c>
      <c r="O6" s="176">
        <v>17</v>
      </c>
      <c r="P6" s="177">
        <v>2</v>
      </c>
      <c r="Q6" s="177">
        <v>5</v>
      </c>
      <c r="R6" s="168">
        <v>404.56576538085937</v>
      </c>
      <c r="S6" s="169">
        <v>84.807148027524818</v>
      </c>
      <c r="T6" s="166">
        <v>180</v>
      </c>
      <c r="U6" s="170">
        <v>3.3435215950012207</v>
      </c>
      <c r="V6" s="176">
        <v>17</v>
      </c>
      <c r="W6" s="177">
        <v>1250</v>
      </c>
      <c r="X6" s="169">
        <v>61873.363939762115</v>
      </c>
      <c r="Y6" s="169">
        <v>6478.9247072841972</v>
      </c>
      <c r="Z6" s="169">
        <v>197.00529479980469</v>
      </c>
      <c r="AA6" s="169">
        <v>11.227358818054199</v>
      </c>
      <c r="AB6" s="169">
        <v>13.500453948974609</v>
      </c>
      <c r="AC6" s="212">
        <v>37</v>
      </c>
      <c r="AD6" s="212">
        <v>28.600883483886719</v>
      </c>
      <c r="AE6" s="254">
        <v>20</v>
      </c>
      <c r="AF6" s="254">
        <v>10</v>
      </c>
      <c r="AG6" s="217">
        <v>5000000</v>
      </c>
      <c r="AH6" s="218">
        <v>300000</v>
      </c>
      <c r="AI6" s="219">
        <v>5000000</v>
      </c>
      <c r="AJ6" s="225">
        <f t="shared" si="0"/>
        <v>300000</v>
      </c>
      <c r="AK6" s="220">
        <v>2750000</v>
      </c>
      <c r="AL6" s="226">
        <f t="shared" si="1"/>
        <v>300000</v>
      </c>
      <c r="AM6" s="221">
        <v>14.407</v>
      </c>
      <c r="BM6" s="197">
        <f t="shared" si="2"/>
        <v>8.3991165161132812</v>
      </c>
      <c r="BN6" s="196">
        <f t="shared" si="3"/>
        <v>180</v>
      </c>
      <c r="BO6" s="197">
        <f t="shared" si="4"/>
        <v>2.2730951309204102</v>
      </c>
      <c r="BP6" s="196">
        <f t="shared" si="5"/>
        <v>12.684709913074542</v>
      </c>
      <c r="BQ6" s="115">
        <f t="shared" si="6"/>
        <v>659.74492511188635</v>
      </c>
      <c r="BR6" s="184">
        <f t="shared" si="7"/>
        <v>1.0041987768</v>
      </c>
      <c r="BS6" s="115">
        <f t="shared" si="8"/>
        <v>6863.8528613899143</v>
      </c>
      <c r="BT6" s="196">
        <v>900</v>
      </c>
      <c r="BU6" s="115">
        <f t="shared" ref="BU6:BU46" si="101">0.991615+(0.0000699703*BT6)+(0.00000027129*BT6^2)-(0.000000000122442*BT6^3)</f>
        <v>1.1850729520000001</v>
      </c>
      <c r="BV6" s="115">
        <f t="shared" ref="BV6:BV45" si="102">0.991615+(0.0000699703*BW6)+(0.00000027129*BW6^2)-(0.000000000122442*BW6^3)</f>
        <v>1.0727897725939948</v>
      </c>
      <c r="BW6" s="115">
        <f t="shared" ref="BW6:BW45" si="103">BX6-BZ6</f>
        <v>474.39292363556137</v>
      </c>
      <c r="BX6" s="115">
        <f t="shared" si="9"/>
        <v>1141.2286517521611</v>
      </c>
      <c r="BY6" s="115"/>
      <c r="BZ6" s="115">
        <f t="shared" si="10"/>
        <v>666.83572811659974</v>
      </c>
      <c r="CA6" s="115">
        <f t="shared" si="11"/>
        <v>10804.87861723258</v>
      </c>
      <c r="CB6" s="115">
        <f t="shared" si="12"/>
        <v>3110.535497722216</v>
      </c>
      <c r="CC6" s="115">
        <f t="shared" si="13"/>
        <v>1109.704702439097</v>
      </c>
      <c r="CD6" s="129">
        <f t="shared" ref="CD6:CD45" si="104">(0.0002778/1.406)*CC6</f>
        <v>0.21925744405233369</v>
      </c>
      <c r="CE6" s="115">
        <f t="shared" si="14"/>
        <v>11.588546752929688</v>
      </c>
      <c r="CF6" s="115">
        <f t="shared" si="15"/>
        <v>23.557541118756895</v>
      </c>
      <c r="CG6" s="115">
        <f t="shared" si="16"/>
        <v>0.02</v>
      </c>
      <c r="CH6" s="115">
        <f t="shared" si="17"/>
        <v>0.05</v>
      </c>
      <c r="CI6" s="136">
        <v>30</v>
      </c>
      <c r="CJ6" s="115">
        <f t="shared" si="18"/>
        <v>165</v>
      </c>
      <c r="CK6" s="115">
        <f t="shared" si="19"/>
        <v>453</v>
      </c>
      <c r="CL6" s="115">
        <f t="shared" si="20"/>
        <v>677.56576538085937</v>
      </c>
      <c r="CM6" s="115">
        <f t="shared" ca="1" si="21"/>
        <v>2816.5993052117487</v>
      </c>
      <c r="CN6" s="115">
        <f t="shared" ca="1" si="22"/>
        <v>125.80344444444444</v>
      </c>
      <c r="CO6" s="115">
        <f t="shared" ca="1" si="23"/>
        <v>690.58718083896258</v>
      </c>
      <c r="CP6" s="115">
        <f t="shared" ca="1" si="24"/>
        <v>2790.6388281929471</v>
      </c>
      <c r="CQ6" s="115">
        <f t="shared" ref="CQ6:CQ45" si="105">0.991615+(0.0000699703*CW6)+(0.00000027129*CW6^2)-(0.000000000122442*CW6^3)</f>
        <v>1.072449112508886</v>
      </c>
      <c r="CR6" s="115">
        <f t="shared" ca="1" si="25"/>
        <v>550.7735972493266</v>
      </c>
      <c r="CS6" s="115">
        <f t="shared" ca="1" si="26"/>
        <v>27.266772772486632</v>
      </c>
      <c r="CT6" s="115">
        <f t="shared" ref="CT6:CT45" si="106">0.991615+(0.0000699703*CL6)+(0.00000027129*CL6^2)-(0.000000000122442*CL6^3)</f>
        <v>1.1254847590743093</v>
      </c>
      <c r="CU6" s="115">
        <f t="shared" ref="CU6:CU45" ca="1" si="107">0.991615+(0.0000699703*CZ6)+(0.00000027129*CZ6^2)-(0.000000000122442*CZ6^3)</f>
        <v>1.0208915876231888</v>
      </c>
      <c r="CV6" s="115">
        <f t="shared" ref="CV6:CV67" si="108">BZ6-CW6</f>
        <v>193.83572811659974</v>
      </c>
      <c r="CW6" s="115">
        <f t="shared" si="27"/>
        <v>473</v>
      </c>
      <c r="CX6" s="115">
        <f t="shared" si="28"/>
        <v>438</v>
      </c>
      <c r="CY6" s="115">
        <f t="shared" ref="CY6:CY45" ca="1" si="109">CW6-CS6</f>
        <v>445.73322722751334</v>
      </c>
      <c r="CZ6" s="115">
        <f t="shared" ca="1" si="29"/>
        <v>231.83253815334604</v>
      </c>
      <c r="DA6" s="115">
        <v>0.21890000000000001</v>
      </c>
      <c r="DB6" s="115">
        <v>2.7E-2</v>
      </c>
      <c r="DC6" s="115">
        <v>1.06</v>
      </c>
      <c r="DD6" s="138">
        <f t="shared" si="30"/>
        <v>11.624363141024812</v>
      </c>
      <c r="DE6" s="138">
        <f t="shared" ref="DE6:DE45" si="110">DD6</f>
        <v>11.624363141024812</v>
      </c>
      <c r="DF6" s="115">
        <f t="shared" si="31"/>
        <v>677.56576538085937</v>
      </c>
      <c r="DG6" s="115">
        <v>666.83572811659974</v>
      </c>
      <c r="DH6" s="115">
        <f t="shared" ref="DH6:DH45" si="111">0.991615+(0.0000699703*DF6)+(0.00000027129*DF6^2)-(0.000000000122442*DF6^3)</f>
        <v>1.1254847590743093</v>
      </c>
      <c r="DI6" s="115">
        <f t="shared" ref="DI6:DI63" si="112">0.991615+(0.0000699703*DG6)+(0.00000027129*DG6^2)-(0.000000000122442*DG6^3)</f>
        <v>1.1226014715349975</v>
      </c>
      <c r="DJ6" s="138">
        <f t="shared" si="32"/>
        <v>2.9128599117869007</v>
      </c>
      <c r="DK6" s="138">
        <f t="shared" si="33"/>
        <v>2.776576408903789</v>
      </c>
      <c r="DL6" s="115">
        <f t="shared" ref="DL6:DL45" si="113">DF6</f>
        <v>677.56576538085937</v>
      </c>
      <c r="DM6" s="115">
        <f>BZ6</f>
        <v>666.83572811659974</v>
      </c>
      <c r="DN6" s="115">
        <f t="shared" si="34"/>
        <v>12.800025457738856</v>
      </c>
      <c r="DO6" s="115">
        <f t="shared" ref="DO6:DO63" si="114">0.991615+(0.0000699703*DL6)+(0.00000027129*DL6^2)-(0.000000000122442*DL6^3)</f>
        <v>1.1254847590743093</v>
      </c>
      <c r="DP6" s="115">
        <f t="shared" ref="DP6:DP48" si="115">0.991615+(0.0000699703*DM6)+(0.00000027129*DM6^2)-(0.000000000122442*DM6^3)</f>
        <v>1.1226014715349975</v>
      </c>
      <c r="DQ6" s="115">
        <v>298.14999999999998</v>
      </c>
      <c r="DR6" s="138">
        <f t="shared" ref="DR6:DR63" si="116">(DN6*DO6*DQ6*((DL6/DQ6)-1-LN(DL6/DQ6)))*0.001</f>
        <v>1.939964701250076</v>
      </c>
      <c r="DS6" s="138">
        <f t="shared" ref="DS6:DS63" si="117">(DN6*DP6*DQ6*((DM6/DQ6)-1-LN(DM6/DQ6)))*0.001</f>
        <v>1.8491998883299237</v>
      </c>
      <c r="DT6" s="115">
        <f t="shared" si="35"/>
        <v>677.56576538085937</v>
      </c>
      <c r="DU6" s="139">
        <f t="shared" ref="DU6:DU69" si="118">JN6-DN6</f>
        <v>6.4192319863134788</v>
      </c>
      <c r="DV6" s="115">
        <f t="shared" ref="DV6:DV45" si="119">0.991615+(0.0000699703*DT6)+(0.00000027129*DT6^2)-(0.000000000122442*DT6^3)</f>
        <v>1.1254847590743093</v>
      </c>
      <c r="DW6" s="115">
        <v>298.14999999999998</v>
      </c>
      <c r="DX6" s="138">
        <f t="shared" si="36"/>
        <v>0.97289521053682471</v>
      </c>
      <c r="DY6" s="138">
        <f t="shared" si="37"/>
        <v>0.92737652057386533</v>
      </c>
      <c r="DZ6" s="138">
        <f t="shared" si="38"/>
        <v>3.1105354977222159</v>
      </c>
      <c r="EA6" s="138">
        <f t="shared" si="39"/>
        <v>3.9410257558426656</v>
      </c>
      <c r="EB6" s="115">
        <f t="shared" ref="EB6:EB47" si="120">CF6</f>
        <v>23.557541118756895</v>
      </c>
      <c r="EC6" s="115">
        <v>30</v>
      </c>
      <c r="ED6" s="198">
        <f t="shared" ca="1" si="40"/>
        <v>125.80344444444444</v>
      </c>
      <c r="EE6" s="198">
        <v>104.83</v>
      </c>
      <c r="EF6" s="198">
        <f t="shared" ca="1" si="41"/>
        <v>0.42491111111111107</v>
      </c>
      <c r="EG6" s="199">
        <v>0.36720000000000003</v>
      </c>
      <c r="EH6" s="138">
        <f t="shared" ref="EH6:EH63" ca="1" si="121">(EB6*(ED6-EE6-DW6*(EF6-EG6))*0.001)</f>
        <v>8.8738351964286283E-2</v>
      </c>
      <c r="EI6" s="138">
        <f t="shared" ref="EI6:EI45" ca="1" si="122">EH6</f>
        <v>8.8738351964286283E-2</v>
      </c>
      <c r="EJ6" s="115">
        <f t="shared" si="42"/>
        <v>12.800025457738856</v>
      </c>
      <c r="EK6" s="115">
        <v>435</v>
      </c>
      <c r="EL6" s="115">
        <f t="shared" ca="1" si="43"/>
        <v>445.73322722751334</v>
      </c>
      <c r="EM6" s="115">
        <f t="shared" ref="EM6:EM63" ca="1" si="123">0.991615+(0.0000699703*EK6)+(0.00000027129*EK6^2)-(0.000000000122442*EL6^3)</f>
        <v>1.0625437812833252</v>
      </c>
      <c r="EN6" s="115">
        <f t="shared" ref="EN6:EN63" ca="1" si="124">0.991615+(0.0000699703*EL6)+(0.00000027129*EL6^2)-(0.000000000122442*EL6^3)</f>
        <v>1.0658593225848716</v>
      </c>
      <c r="EO6" s="115">
        <v>298.14999999999998</v>
      </c>
      <c r="EP6" s="138">
        <f t="shared" ref="EP6:EP63" ca="1" si="125">(EJ6*EM6*EO6*((EK6/EO6)-1-LN(EK6/EO6)))*0.001</f>
        <v>0.32946119588127049</v>
      </c>
      <c r="EQ6" s="138">
        <f t="shared" ref="EQ6:EQ63" ca="1" si="126">(EJ6*EN6*EO6*((EL6/EO6)-1-LN(EL6/EO6)))*0.001</f>
        <v>0.3777751679344965</v>
      </c>
      <c r="ER6" s="115">
        <f t="shared" si="44"/>
        <v>0.9287559986114502</v>
      </c>
      <c r="ES6" s="115">
        <f t="shared" si="45"/>
        <v>453</v>
      </c>
      <c r="ET6" s="115">
        <f t="shared" ca="1" si="46"/>
        <v>2816.5993052117487</v>
      </c>
      <c r="EU6" s="115">
        <f t="shared" ca="1" si="47"/>
        <v>6.5855309782608691</v>
      </c>
      <c r="EV6" s="138">
        <f t="shared" ca="1" si="48"/>
        <v>0.79666267740767027</v>
      </c>
      <c r="EW6" s="138">
        <f t="shared" ca="1" si="49"/>
        <v>1.0426786244745627</v>
      </c>
      <c r="EX6" s="115">
        <v>21.47</v>
      </c>
      <c r="EY6" s="115">
        <f t="shared" ca="1" si="50"/>
        <v>119.78231970045302</v>
      </c>
      <c r="EZ6" s="115">
        <f t="shared" ca="1" si="51"/>
        <v>0.40540120858086476</v>
      </c>
      <c r="FA6" s="138">
        <f t="shared" ref="FA6:FA63" ca="1" si="127">(EX6*(EY6-EE6-DW6*(EZ6-EG6)))*0.001</f>
        <v>7.6489652403604225E-2</v>
      </c>
      <c r="FB6" s="138">
        <f t="shared" ref="FB6:FB45" ca="1" si="128">FA6</f>
        <v>7.6489652403604225E-2</v>
      </c>
      <c r="FC6" s="115">
        <f t="shared" si="52"/>
        <v>21.47</v>
      </c>
      <c r="FD6" s="115">
        <v>37</v>
      </c>
      <c r="FE6" s="115">
        <f t="shared" ca="1" si="53"/>
        <v>154.93355555555553</v>
      </c>
      <c r="FF6" s="115">
        <f t="shared" ca="1" si="54"/>
        <v>0.52252222222222222</v>
      </c>
      <c r="FG6" s="138">
        <f t="shared" ca="1" si="55"/>
        <v>8.1462225449999703E-2</v>
      </c>
      <c r="FH6" s="138">
        <f t="shared" ref="FH6:FH63" ca="1" si="129">FG6</f>
        <v>8.1462225449999703E-2</v>
      </c>
      <c r="FI6" s="115">
        <f t="shared" si="56"/>
        <v>55.161482543945318</v>
      </c>
      <c r="FJ6" s="115">
        <f t="shared" ca="1" si="57"/>
        <v>47.072188582314389</v>
      </c>
      <c r="FK6" s="115">
        <f t="shared" ca="1" si="58"/>
        <v>0.16313705907397799</v>
      </c>
      <c r="FL6" s="138">
        <f t="shared" ca="1" si="59"/>
        <v>0.17009343327947177</v>
      </c>
      <c r="FM6" s="138">
        <f t="shared" ca="1" si="60"/>
        <v>0.86513731260853988</v>
      </c>
      <c r="FN6" s="115">
        <f t="shared" ref="FN6:FN45" si="130">FI6</f>
        <v>55.161482543945318</v>
      </c>
      <c r="FO6" s="115">
        <f t="shared" ca="1" si="61"/>
        <v>56.585344271341967</v>
      </c>
      <c r="FP6" s="115">
        <f t="shared" ca="1" si="62"/>
        <v>0.19483410784403482</v>
      </c>
      <c r="FQ6" s="138">
        <f t="shared" ca="1" si="63"/>
        <v>0.17355098800486349</v>
      </c>
      <c r="FR6" s="138">
        <f t="shared" ca="1" si="64"/>
        <v>0.88272329194736332</v>
      </c>
      <c r="FS6" s="139">
        <f t="shared" ref="FS6:FS36" si="131">(DD6-DJ6)-DZ6</f>
        <v>5.6009677315156949</v>
      </c>
      <c r="FT6" s="249">
        <f t="shared" ref="FT6:FT64" si="132">(DE6-DK6)-EA6</f>
        <v>4.9067609762783571</v>
      </c>
      <c r="FU6" s="139">
        <f t="shared" ref="FU6:FU36" ca="1" si="133">(DR6+EH6)-(EP6+EV6)</f>
        <v>0.90257917992542169</v>
      </c>
      <c r="FV6" s="249">
        <f t="shared" ref="FV6:FV64" ca="1" si="134">(DS6+EI6)-(EQ6+EW6)</f>
        <v>0.5174844478851508</v>
      </c>
      <c r="FW6" s="139">
        <f t="shared" ref="FW6:FW45" ca="1" si="135">(EV6+FA6+FQ6)-(FG6+FL6)</f>
        <v>0.79514765908666651</v>
      </c>
      <c r="FX6" s="249">
        <f t="shared" ref="FX6:FX64" ca="1" si="136">(EW6+FB6+FR6)-(FH6+FM6)</f>
        <v>1.0552920307669909</v>
      </c>
      <c r="FY6" s="249">
        <f t="shared" si="65"/>
        <v>0.15000000000000002</v>
      </c>
      <c r="FZ6" s="139">
        <f t="shared" si="66"/>
        <v>1050000</v>
      </c>
      <c r="GA6" s="139">
        <f t="shared" ref="GA6:GA64" si="137">FZ6/(8640*3600)</f>
        <v>3.3757716049382713E-2</v>
      </c>
      <c r="GB6" s="139">
        <f t="shared" ref="GB6:GB67" si="138">FZ6/8640</f>
        <v>121.52777777777777</v>
      </c>
      <c r="GC6" s="139">
        <f t="shared" si="67"/>
        <v>1050000</v>
      </c>
      <c r="GD6" s="139">
        <f t="shared" ref="GD6:GD67" si="139">GC6/(4320*3600)</f>
        <v>6.7515432098765427E-2</v>
      </c>
      <c r="GE6" s="139">
        <f t="shared" ref="GE6:GE67" si="140">GC6/4320</f>
        <v>243.05555555555554</v>
      </c>
      <c r="GF6" s="139">
        <f t="shared" ref="GF6:GF67" si="141">GG6/(4320*3600)</f>
        <v>4.5814043209876545E-2</v>
      </c>
      <c r="GG6" s="139">
        <f t="shared" si="68"/>
        <v>712500</v>
      </c>
      <c r="GH6" s="139">
        <f t="shared" ref="GH6:GH67" si="142">GG6/4320</f>
        <v>164.93055555555554</v>
      </c>
      <c r="GI6" s="137">
        <f t="shared" si="69"/>
        <v>51.201583518220396</v>
      </c>
      <c r="GJ6" s="137">
        <f t="shared" ref="GJ6:GJ64" si="143">GI6/277.77777777778</f>
        <v>0.18432570066559195</v>
      </c>
      <c r="GK6" s="251">
        <f t="shared" si="70"/>
        <v>40.910105512511869</v>
      </c>
      <c r="GL6" s="137">
        <f>GK6/277.77777777778</f>
        <v>0.14727637984504155</v>
      </c>
      <c r="GM6" s="137">
        <f t="shared" ca="1" si="71"/>
        <v>8.1360939438100353</v>
      </c>
      <c r="GN6" s="137">
        <f t="shared" ref="GN6:GN64" ca="1" si="144">GM6/277.77777777778</f>
        <v>2.9289938197715894E-2</v>
      </c>
      <c r="GO6" s="137">
        <f t="shared" ref="GO6:GO67" ca="1" si="145">GN6/0.2844</f>
        <v>0.10298853093430343</v>
      </c>
      <c r="GP6" s="137">
        <f t="shared" ca="1" si="72"/>
        <v>9.9950925068069818</v>
      </c>
      <c r="GQ6" s="137">
        <f t="shared" ref="GQ6:GQ64" ca="1" si="146">GP6/277.77777777778</f>
        <v>3.5982333024504848E-2</v>
      </c>
      <c r="GR6" s="137">
        <f t="shared" ref="GR6:GR68" ca="1" si="147">GQ6/0.2844</f>
        <v>0.12652015831401142</v>
      </c>
      <c r="GS6" s="140">
        <f t="shared" si="73"/>
        <v>8.0693142107946619E-2</v>
      </c>
      <c r="GT6" s="140">
        <f t="shared" si="74"/>
        <v>7.069170538524229E-2</v>
      </c>
      <c r="GU6" s="140">
        <f t="shared" ref="GU6:GU45" si="148">GS6*3600</f>
        <v>290.49531158860782</v>
      </c>
      <c r="GV6" s="140">
        <f t="shared" ref="GV6:GV64" si="149">GT6*3600</f>
        <v>254.49013938687224</v>
      </c>
      <c r="GW6" s="141">
        <f t="shared" ca="1" si="75"/>
        <v>8.6603031912935759E-3</v>
      </c>
      <c r="GX6" s="141">
        <f t="shared" ca="1" si="76"/>
        <v>4.9652953614937904E-3</v>
      </c>
      <c r="GY6" s="141">
        <f t="shared" ref="GY6:GY64" ca="1" si="150">GW6*3600</f>
        <v>31.177091488656874</v>
      </c>
      <c r="GZ6" s="141">
        <f ca="1">GX6*3600</f>
        <v>17.875063301377647</v>
      </c>
      <c r="HA6" s="141">
        <f t="shared" ca="1" si="77"/>
        <v>1.7356829960399462E-2</v>
      </c>
      <c r="HB6" s="141">
        <f t="shared" ca="1" si="78"/>
        <v>1.5618427577195181E-2</v>
      </c>
      <c r="HC6" s="141">
        <f t="shared" ref="HC6:HC36" ca="1" si="151">HA6*3600</f>
        <v>62.484587857438065</v>
      </c>
      <c r="HD6" s="141">
        <f t="shared" ref="HD6:HD64" ca="1" si="152">HB6*3600</f>
        <v>56.226339277902653</v>
      </c>
      <c r="HE6" s="137">
        <f t="shared" ref="HE6:HE67" si="153">(DD6-DJ6)</f>
        <v>8.7115032292379109</v>
      </c>
      <c r="HF6" s="250">
        <f t="shared" ref="HF6:HF67" si="154">(DE6-DK6)</f>
        <v>8.8477867321210226</v>
      </c>
      <c r="HG6" s="137">
        <v>3.1105354977222159</v>
      </c>
      <c r="HH6" s="251">
        <v>3.6966360433861336</v>
      </c>
      <c r="HI6" s="137">
        <f t="shared" ref="HI6:HI67" ca="1" si="155">(DR6-EQ6)</f>
        <v>1.5621895333155795</v>
      </c>
      <c r="HJ6" s="251">
        <f t="shared" ref="HJ6:HJ67" ca="1" si="156">(DS6-EQ6)</f>
        <v>1.4714247203954272</v>
      </c>
      <c r="HK6" s="137">
        <f t="shared" ref="HK6:HK67" ca="1" si="157">(EV6-EH6)</f>
        <v>0.70792432544338402</v>
      </c>
      <c r="HL6" s="251">
        <f t="shared" ref="HL6:HL67" ca="1" si="158">(EW6-EI6)</f>
        <v>0.95394027251027647</v>
      </c>
      <c r="HM6" s="137">
        <f t="shared" ref="HM6:HM67" ca="1" si="159">EV6</f>
        <v>0.79666267740767027</v>
      </c>
      <c r="HN6" s="251">
        <f t="shared" ref="HN6:HN67" ca="1" si="160">EW6</f>
        <v>1.0426786244745627</v>
      </c>
      <c r="HO6" s="137">
        <f t="shared" ref="HO6:HO67" ca="1" si="161">FL6</f>
        <v>0.17009343327947177</v>
      </c>
      <c r="HP6" s="251">
        <f t="shared" ref="HP6:HP67" ca="1" si="162">FM6</f>
        <v>0.86513731260853988</v>
      </c>
      <c r="JM6" s="38"/>
      <c r="JN6" s="143">
        <f t="shared" si="79"/>
        <v>19.219257444052335</v>
      </c>
      <c r="JO6" s="143">
        <f t="shared" si="80"/>
        <v>3110.535497722216</v>
      </c>
      <c r="JP6" s="143">
        <f t="shared" si="81"/>
        <v>3941.0257558426656</v>
      </c>
      <c r="JQ6" s="143">
        <f t="shared" si="82"/>
        <v>0.9287559986114502</v>
      </c>
      <c r="JR6" s="143">
        <f t="shared" ca="1" si="83"/>
        <v>1.2155634430570124</v>
      </c>
      <c r="JS6" s="143">
        <f t="shared" si="84"/>
        <v>55.161482543945318</v>
      </c>
      <c r="JT6" s="143">
        <f t="shared" ca="1" si="85"/>
        <v>280.56495684440534</v>
      </c>
      <c r="JU6" s="143">
        <f>JO6/(CD6*E6)</f>
        <v>0.2836428617709949</v>
      </c>
      <c r="JV6" s="143">
        <f t="shared" si="86"/>
        <v>0.35937343409807959</v>
      </c>
      <c r="JW6" s="143">
        <f t="shared" ca="1" si="87"/>
        <v>0.22747975118390543</v>
      </c>
      <c r="JX6" s="143">
        <f t="shared" ca="1" si="88"/>
        <v>0.29772735787254118</v>
      </c>
      <c r="JY6" s="143">
        <f t="shared" si="89"/>
        <v>0.54566265245543877</v>
      </c>
      <c r="JZ6" s="143">
        <f t="shared" si="90"/>
        <v>0.35374158508279763</v>
      </c>
      <c r="KA6" s="143">
        <f t="shared" si="91"/>
        <v>0.2675876054443348</v>
      </c>
      <c r="KB6" s="143">
        <f t="shared" si="92"/>
        <v>0.33903154160196186</v>
      </c>
      <c r="KC6" s="143">
        <f t="shared" ca="1" si="93"/>
        <v>0.43956708140245199</v>
      </c>
      <c r="KD6" s="143">
        <f t="shared" ca="1" si="94"/>
        <v>0.64831061982832316</v>
      </c>
      <c r="KE6" s="143">
        <f t="shared" ca="1" si="95"/>
        <v>0.82972575854281916</v>
      </c>
      <c r="KF6" s="143">
        <f t="shared" ca="1" si="96"/>
        <v>0.21350747073146883</v>
      </c>
      <c r="KG6" s="142">
        <f t="shared" si="97"/>
        <v>0.14727637984504155</v>
      </c>
      <c r="KH6" s="142">
        <f t="shared" ca="1" si="98"/>
        <v>0.12652015831401142</v>
      </c>
      <c r="KI6" s="142">
        <f t="shared" ca="1" si="99"/>
        <v>384.15699093470272</v>
      </c>
      <c r="KJ6" s="142">
        <f t="shared" ca="1" si="100"/>
        <v>328.59154196615253</v>
      </c>
    </row>
    <row r="7" spans="1:341" x14ac:dyDescent="0.3">
      <c r="A7" s="194">
        <v>41280</v>
      </c>
      <c r="B7" s="196">
        <v>3</v>
      </c>
      <c r="C7" s="177">
        <v>24</v>
      </c>
      <c r="D7" s="177">
        <v>4.2</v>
      </c>
      <c r="E7" s="177">
        <v>50016</v>
      </c>
      <c r="F7" s="177">
        <v>300</v>
      </c>
      <c r="G7" s="177">
        <v>11.7</v>
      </c>
      <c r="H7" s="177">
        <v>0.85</v>
      </c>
      <c r="I7" s="177">
        <v>1.4</v>
      </c>
      <c r="J7" s="177">
        <v>1.33</v>
      </c>
      <c r="K7" s="177">
        <v>0.91</v>
      </c>
      <c r="L7" s="166">
        <v>26865.006993293762</v>
      </c>
      <c r="M7" s="169">
        <v>19</v>
      </c>
      <c r="N7" s="167">
        <v>74790.898333184421</v>
      </c>
      <c r="O7" s="176">
        <v>17</v>
      </c>
      <c r="P7" s="177">
        <v>2</v>
      </c>
      <c r="Q7" s="177">
        <v>5</v>
      </c>
      <c r="R7" s="168">
        <v>395.3935546875</v>
      </c>
      <c r="S7" s="169">
        <v>96.543853202922037</v>
      </c>
      <c r="T7" s="166">
        <v>180</v>
      </c>
      <c r="U7" s="170">
        <v>3.8404097557067871</v>
      </c>
      <c r="V7" s="176">
        <v>17</v>
      </c>
      <c r="W7" s="177">
        <v>1250</v>
      </c>
      <c r="X7" s="169">
        <v>90952.787674829364</v>
      </c>
      <c r="Y7" s="169">
        <v>9465.6284069530666</v>
      </c>
      <c r="Z7" s="169">
        <v>329.22421264648437</v>
      </c>
      <c r="AA7" s="169">
        <v>12.41977596282959</v>
      </c>
      <c r="AB7" s="169">
        <v>15.990017890930176</v>
      </c>
      <c r="AC7" s="212">
        <v>37</v>
      </c>
      <c r="AD7" s="212">
        <v>30.050138473510742</v>
      </c>
      <c r="AE7" s="254">
        <v>20</v>
      </c>
      <c r="AF7" s="254">
        <v>10</v>
      </c>
      <c r="AG7" s="217">
        <v>5000000</v>
      </c>
      <c r="AH7" s="218">
        <v>300000</v>
      </c>
      <c r="AI7" s="219">
        <v>5000000</v>
      </c>
      <c r="AJ7" s="225">
        <f t="shared" si="0"/>
        <v>300000</v>
      </c>
      <c r="AK7" s="220">
        <v>2750000</v>
      </c>
      <c r="AL7" s="226">
        <f t="shared" si="1"/>
        <v>300000</v>
      </c>
      <c r="AM7" s="221">
        <v>14.407</v>
      </c>
      <c r="BM7" s="197">
        <f t="shared" si="2"/>
        <v>6.9498615264892578</v>
      </c>
      <c r="BN7" s="196">
        <f t="shared" si="3"/>
        <v>180</v>
      </c>
      <c r="BO7" s="197">
        <f t="shared" si="4"/>
        <v>3.5702419281005859</v>
      </c>
      <c r="BP7" s="196">
        <f t="shared" si="5"/>
        <v>12.68597099639066</v>
      </c>
      <c r="BQ7" s="115">
        <f t="shared" si="6"/>
        <v>659.74492511188635</v>
      </c>
      <c r="BR7" s="184">
        <f t="shared" si="7"/>
        <v>1.0041987768</v>
      </c>
      <c r="BS7" s="115">
        <f t="shared" si="8"/>
        <v>6863.8528613899143</v>
      </c>
      <c r="BT7" s="196">
        <v>900</v>
      </c>
      <c r="BU7" s="115">
        <f t="shared" si="101"/>
        <v>1.1850729520000001</v>
      </c>
      <c r="BV7" s="115">
        <f t="shared" si="102"/>
        <v>1.07321195191069</v>
      </c>
      <c r="BW7" s="115">
        <f t="shared" si="103"/>
        <v>476.11703958205885</v>
      </c>
      <c r="BX7" s="115">
        <f t="shared" si="9"/>
        <v>1145.3762905955205</v>
      </c>
      <c r="BY7" s="115"/>
      <c r="BZ7" s="115">
        <f t="shared" si="10"/>
        <v>669.25925101346161</v>
      </c>
      <c r="CA7" s="115">
        <f t="shared" si="11"/>
        <v>10845.225564079487</v>
      </c>
      <c r="CB7" s="115">
        <f t="shared" si="12"/>
        <v>3116.287430549351</v>
      </c>
      <c r="CC7" s="115">
        <f t="shared" si="13"/>
        <v>1119.3752913872402</v>
      </c>
      <c r="CD7" s="129">
        <f t="shared" si="104"/>
        <v>0.22116817634948457</v>
      </c>
      <c r="CE7" s="115">
        <f t="shared" si="14"/>
        <v>19.366130155675553</v>
      </c>
      <c r="CF7" s="115">
        <f t="shared" si="15"/>
        <v>26.817737000811679</v>
      </c>
      <c r="CG7" s="115">
        <f t="shared" si="16"/>
        <v>0.02</v>
      </c>
      <c r="CH7" s="115">
        <f t="shared" si="17"/>
        <v>0.05</v>
      </c>
      <c r="CI7" s="136">
        <v>30</v>
      </c>
      <c r="CJ7" s="115">
        <f t="shared" si="18"/>
        <v>165</v>
      </c>
      <c r="CK7" s="115">
        <f t="shared" si="19"/>
        <v>453</v>
      </c>
      <c r="CL7" s="115">
        <f t="shared" si="20"/>
        <v>668.3935546875</v>
      </c>
      <c r="CM7" s="115">
        <f t="shared" ca="1" si="21"/>
        <v>2816.5993052117487</v>
      </c>
      <c r="CN7" s="115">
        <f t="shared" ca="1" si="22"/>
        <v>125.80344444444444</v>
      </c>
      <c r="CO7" s="115">
        <f t="shared" ca="1" si="23"/>
        <v>690.58718083896258</v>
      </c>
      <c r="CP7" s="115">
        <f t="shared" ca="1" si="24"/>
        <v>2790.6388281929471</v>
      </c>
      <c r="CQ7" s="115">
        <f t="shared" si="105"/>
        <v>1.072449112508886</v>
      </c>
      <c r="CR7" s="115">
        <f t="shared" ca="1" si="25"/>
        <v>632.62528324159462</v>
      </c>
      <c r="CS7" s="115">
        <f t="shared" ca="1" si="26"/>
        <v>31.315835011412567</v>
      </c>
      <c r="CT7" s="115">
        <f t="shared" si="106"/>
        <v>1.1230197229818324</v>
      </c>
      <c r="CU7" s="115">
        <f t="shared" ca="1" si="107"/>
        <v>1.0199947355011603</v>
      </c>
      <c r="CV7" s="115">
        <f t="shared" si="108"/>
        <v>196.25925101346161</v>
      </c>
      <c r="CW7" s="115">
        <f t="shared" si="27"/>
        <v>473</v>
      </c>
      <c r="CX7" s="115">
        <f t="shared" si="28"/>
        <v>438</v>
      </c>
      <c r="CY7" s="115">
        <f t="shared" ca="1" si="109"/>
        <v>441.68416498858744</v>
      </c>
      <c r="CZ7" s="115">
        <f t="shared" ca="1" si="29"/>
        <v>226.70938969891256</v>
      </c>
      <c r="DA7" s="115">
        <v>0.21890000000000001</v>
      </c>
      <c r="DB7" s="115">
        <v>2.7E-2</v>
      </c>
      <c r="DC7" s="115">
        <v>1.06</v>
      </c>
      <c r="DD7" s="138">
        <f t="shared" si="30"/>
        <v>11.725664358793569</v>
      </c>
      <c r="DE7" s="138">
        <f t="shared" si="110"/>
        <v>11.725664358793569</v>
      </c>
      <c r="DF7" s="115">
        <f t="shared" si="31"/>
        <v>668.3935546875</v>
      </c>
      <c r="DG7" s="115">
        <v>669.25925101346161</v>
      </c>
      <c r="DH7" s="115">
        <f t="shared" si="111"/>
        <v>1.1230197229818324</v>
      </c>
      <c r="DI7" s="115">
        <f t="shared" si="112"/>
        <v>1.1232522028072927</v>
      </c>
      <c r="DJ7" s="138">
        <f t="shared" si="32"/>
        <v>2.7964964637320615</v>
      </c>
      <c r="DK7" s="138">
        <f t="shared" si="33"/>
        <v>2.8074340479800743</v>
      </c>
      <c r="DL7" s="115">
        <f t="shared" si="113"/>
        <v>668.3935546875</v>
      </c>
      <c r="DM7" s="115">
        <f t="shared" ref="DM7:DM17" si="163">BZ7</f>
        <v>669.25925101346161</v>
      </c>
      <c r="DN7" s="115">
        <f t="shared" si="34"/>
        <v>12.801298005448757</v>
      </c>
      <c r="DO7" s="115">
        <f t="shared" si="114"/>
        <v>1.1230197229818324</v>
      </c>
      <c r="DP7" s="115">
        <f t="shared" si="115"/>
        <v>1.1232522028072927</v>
      </c>
      <c r="DQ7" s="115">
        <v>298.14999999999998</v>
      </c>
      <c r="DR7" s="138">
        <f t="shared" si="116"/>
        <v>1.8624666448455531</v>
      </c>
      <c r="DS7" s="138">
        <f t="shared" si="117"/>
        <v>1.8697510759547296</v>
      </c>
      <c r="DT7" s="115">
        <f t="shared" si="35"/>
        <v>668.3935546875</v>
      </c>
      <c r="DU7" s="139">
        <f t="shared" si="118"/>
        <v>6.419870170900726</v>
      </c>
      <c r="DV7" s="115">
        <f t="shared" si="119"/>
        <v>1.1230197229818324</v>
      </c>
      <c r="DW7" s="115">
        <v>298.14999999999998</v>
      </c>
      <c r="DX7" s="138">
        <f t="shared" si="36"/>
        <v>0.93402981888650838</v>
      </c>
      <c r="DY7" s="138">
        <f t="shared" si="37"/>
        <v>0.93768297202534456</v>
      </c>
      <c r="DZ7" s="138">
        <f t="shared" si="38"/>
        <v>3.1162874305493511</v>
      </c>
      <c r="EA7" s="138">
        <f t="shared" si="39"/>
        <v>3.9813727026895722</v>
      </c>
      <c r="EB7" s="115">
        <f t="shared" si="120"/>
        <v>26.817737000811679</v>
      </c>
      <c r="EC7" s="115">
        <v>30</v>
      </c>
      <c r="ED7" s="198">
        <f t="shared" ca="1" si="40"/>
        <v>125.80344444444444</v>
      </c>
      <c r="EE7" s="198">
        <v>104.83</v>
      </c>
      <c r="EF7" s="198">
        <f t="shared" ca="1" si="41"/>
        <v>0.42491111111111107</v>
      </c>
      <c r="EG7" s="199">
        <v>0.36720000000000003</v>
      </c>
      <c r="EH7" s="138">
        <f t="shared" ca="1" si="121"/>
        <v>0.10101910776116126</v>
      </c>
      <c r="EI7" s="138">
        <f t="shared" ca="1" si="122"/>
        <v>0.10101910776116126</v>
      </c>
      <c r="EJ7" s="115">
        <f t="shared" si="42"/>
        <v>12.801298005448757</v>
      </c>
      <c r="EK7" s="115">
        <v>435</v>
      </c>
      <c r="EL7" s="115">
        <f t="shared" ca="1" si="43"/>
        <v>441.68416498858744</v>
      </c>
      <c r="EM7" s="115">
        <f t="shared" ca="1" si="123"/>
        <v>1.062836604169326</v>
      </c>
      <c r="EN7" s="115">
        <f t="shared" ca="1" si="124"/>
        <v>1.064894029904343</v>
      </c>
      <c r="EO7" s="115">
        <v>298.14999999999998</v>
      </c>
      <c r="EP7" s="138">
        <f t="shared" ca="1" si="125"/>
        <v>0.32958475425546657</v>
      </c>
      <c r="EQ7" s="138">
        <f t="shared" ca="1" si="126"/>
        <v>0.35936346053337365</v>
      </c>
      <c r="ER7" s="115">
        <f t="shared" si="44"/>
        <v>1.0667804876963298</v>
      </c>
      <c r="ES7" s="115">
        <f t="shared" si="45"/>
        <v>453</v>
      </c>
      <c r="ET7" s="115">
        <f t="shared" ca="1" si="46"/>
        <v>2816.5993052117487</v>
      </c>
      <c r="EU7" s="115">
        <f t="shared" ca="1" si="47"/>
        <v>6.5855309782608691</v>
      </c>
      <c r="EV7" s="138">
        <f t="shared" ca="1" si="48"/>
        <v>0.91505648502407511</v>
      </c>
      <c r="EW7" s="138">
        <f t="shared" ca="1" si="49"/>
        <v>1.0535077072100609</v>
      </c>
      <c r="EX7" s="115">
        <v>21.47</v>
      </c>
      <c r="EY7" s="115">
        <f t="shared" ca="1" si="50"/>
        <v>125.84761286036174</v>
      </c>
      <c r="EZ7" s="115">
        <f t="shared" ca="1" si="51"/>
        <v>0.42561026426951087</v>
      </c>
      <c r="FA7" s="138">
        <f t="shared" ca="1" si="127"/>
        <v>7.7347662443699991E-2</v>
      </c>
      <c r="FB7" s="138">
        <f t="shared" ca="1" si="128"/>
        <v>7.7347662443699991E-2</v>
      </c>
      <c r="FC7" s="115">
        <f t="shared" si="52"/>
        <v>21.47</v>
      </c>
      <c r="FD7" s="115">
        <v>37</v>
      </c>
      <c r="FE7" s="115">
        <f t="shared" ca="1" si="53"/>
        <v>154.93355555555553</v>
      </c>
      <c r="FF7" s="115">
        <f t="shared" ca="1" si="54"/>
        <v>0.52252222222222222</v>
      </c>
      <c r="FG7" s="138">
        <f t="shared" ca="1" si="55"/>
        <v>8.1462225449999703E-2</v>
      </c>
      <c r="FH7" s="138">
        <f t="shared" ca="1" si="129"/>
        <v>8.1462225449999703E-2</v>
      </c>
      <c r="FI7" s="115">
        <f t="shared" si="56"/>
        <v>92.182779541015634</v>
      </c>
      <c r="FJ7" s="115">
        <f t="shared" ca="1" si="57"/>
        <v>52.062586823993264</v>
      </c>
      <c r="FK7" s="115">
        <f t="shared" ca="1" si="58"/>
        <v>0.17976465370390152</v>
      </c>
      <c r="FL7" s="138">
        <f t="shared" ca="1" si="59"/>
        <v>0.28728167025789475</v>
      </c>
      <c r="FM7" s="138">
        <f t="shared" ca="1" si="60"/>
        <v>0.59126449599908271</v>
      </c>
      <c r="FN7" s="115">
        <f t="shared" si="130"/>
        <v>92.182779541015634</v>
      </c>
      <c r="FO7" s="115">
        <f t="shared" ca="1" si="61"/>
        <v>67.004445986641784</v>
      </c>
      <c r="FP7" s="115">
        <f t="shared" ca="1" si="62"/>
        <v>0.22954969392352634</v>
      </c>
      <c r="FQ7" s="138">
        <f t="shared" ca="1" si="63"/>
        <v>0.29635701154530797</v>
      </c>
      <c r="FR7" s="138">
        <f t="shared" ca="1" si="64"/>
        <v>0.60994277466372926</v>
      </c>
      <c r="FS7" s="139">
        <f t="shared" si="131"/>
        <v>5.8128804645121566</v>
      </c>
      <c r="FT7" s="249">
        <f t="shared" si="132"/>
        <v>4.9368576081239226</v>
      </c>
      <c r="FU7" s="139">
        <f t="shared" ca="1" si="133"/>
        <v>0.71884451332717281</v>
      </c>
      <c r="FV7" s="249">
        <f t="shared" ca="1" si="134"/>
        <v>0.55789901597245617</v>
      </c>
      <c r="FW7" s="139">
        <f t="shared" ca="1" si="135"/>
        <v>0.92001726330518852</v>
      </c>
      <c r="FX7" s="249">
        <f t="shared" ca="1" si="136"/>
        <v>1.0680714228684078</v>
      </c>
      <c r="FY7" s="249">
        <f t="shared" si="65"/>
        <v>0.15000000000000002</v>
      </c>
      <c r="FZ7" s="139">
        <f t="shared" si="66"/>
        <v>1050000</v>
      </c>
      <c r="GA7" s="139">
        <f t="shared" si="137"/>
        <v>3.3757716049382713E-2</v>
      </c>
      <c r="GB7" s="139">
        <f t="shared" si="138"/>
        <v>121.52777777777777</v>
      </c>
      <c r="GC7" s="139">
        <f t="shared" si="67"/>
        <v>1050000</v>
      </c>
      <c r="GD7" s="139">
        <f t="shared" si="139"/>
        <v>6.7515432098765427E-2</v>
      </c>
      <c r="GE7" s="139">
        <f t="shared" si="140"/>
        <v>243.05555555555554</v>
      </c>
      <c r="GF7" s="139">
        <f t="shared" si="141"/>
        <v>4.5814043209876545E-2</v>
      </c>
      <c r="GG7" s="139">
        <f t="shared" si="68"/>
        <v>712500</v>
      </c>
      <c r="GH7" s="139">
        <f t="shared" si="142"/>
        <v>164.93055555555554</v>
      </c>
      <c r="GI7" s="137">
        <f t="shared" si="69"/>
        <v>52.11336936429683</v>
      </c>
      <c r="GJ7" s="137">
        <f t="shared" si="143"/>
        <v>0.18760812971146709</v>
      </c>
      <c r="GK7" s="251">
        <f t="shared" si="70"/>
        <v>40.750432640398493</v>
      </c>
      <c r="GL7" s="137">
        <f t="shared" ref="GL7:GL65" si="164">GK7/277.77777777778</f>
        <v>0.1467015575054334</v>
      </c>
      <c r="GM7" s="137">
        <f t="shared" ca="1" si="71"/>
        <v>9.1284587690824033</v>
      </c>
      <c r="GN7" s="137">
        <f t="shared" ca="1" si="144"/>
        <v>3.2862451568696389E-2</v>
      </c>
      <c r="GO7" s="137">
        <f t="shared" ca="1" si="145"/>
        <v>0.11555011100104216</v>
      </c>
      <c r="GP7" s="137">
        <f t="shared" ca="1" si="72"/>
        <v>9.8495283296077485</v>
      </c>
      <c r="GQ7" s="137">
        <f t="shared" ca="1" si="146"/>
        <v>3.5458301986587615E-2</v>
      </c>
      <c r="GR7" s="137">
        <f t="shared" ca="1" si="147"/>
        <v>0.12467757379250216</v>
      </c>
      <c r="GS7" s="140">
        <f t="shared" si="73"/>
        <v>8.3746168852226632E-2</v>
      </c>
      <c r="GT7" s="140">
        <f t="shared" si="74"/>
        <v>7.1125307560241352E-2</v>
      </c>
      <c r="GU7" s="140">
        <f t="shared" si="148"/>
        <v>301.48620786801587</v>
      </c>
      <c r="GV7" s="140">
        <f t="shared" si="149"/>
        <v>256.05110721686884</v>
      </c>
      <c r="GW7" s="141">
        <f t="shared" ca="1" si="75"/>
        <v>6.8973576737340484E-3</v>
      </c>
      <c r="GX7" s="141">
        <f t="shared" ca="1" si="76"/>
        <v>5.3530756479947062E-3</v>
      </c>
      <c r="GY7" s="141">
        <f t="shared" ca="1" si="150"/>
        <v>24.830487625442576</v>
      </c>
      <c r="GZ7" s="141">
        <f ca="1">GX7*3600</f>
        <v>19.271072332780943</v>
      </c>
      <c r="HA7" s="141">
        <f t="shared" ca="1" si="77"/>
        <v>1.6622950401171812E-2</v>
      </c>
      <c r="HB7" s="141">
        <f t="shared" ca="1" si="78"/>
        <v>1.6250873525717607E-2</v>
      </c>
      <c r="HC7" s="141">
        <f t="shared" ca="1" si="151"/>
        <v>59.842621444218523</v>
      </c>
      <c r="HD7" s="141">
        <f t="shared" ca="1" si="152"/>
        <v>58.503144692583383</v>
      </c>
      <c r="HE7" s="137">
        <f t="shared" si="153"/>
        <v>8.9291678950615072</v>
      </c>
      <c r="HF7" s="250">
        <f t="shared" si="154"/>
        <v>8.9182303108134953</v>
      </c>
      <c r="HG7" s="137">
        <v>3.1162874305493511</v>
      </c>
      <c r="HH7" s="251">
        <v>4.0010919547736616</v>
      </c>
      <c r="HI7" s="137">
        <f t="shared" ca="1" si="155"/>
        <v>1.5031031843121796</v>
      </c>
      <c r="HJ7" s="251">
        <f t="shared" ca="1" si="156"/>
        <v>1.5103876154213558</v>
      </c>
      <c r="HK7" s="137">
        <f t="shared" ca="1" si="157"/>
        <v>0.81403737726291381</v>
      </c>
      <c r="HL7" s="251">
        <f t="shared" ca="1" si="158"/>
        <v>0.95248859944889963</v>
      </c>
      <c r="HM7" s="137">
        <f t="shared" ca="1" si="159"/>
        <v>0.91505648502407511</v>
      </c>
      <c r="HN7" s="251">
        <f t="shared" ca="1" si="160"/>
        <v>1.0535077072100609</v>
      </c>
      <c r="HO7" s="137">
        <f t="shared" ca="1" si="161"/>
        <v>0.28728167025789475</v>
      </c>
      <c r="HP7" s="251">
        <f t="shared" ca="1" si="162"/>
        <v>0.59126449599908271</v>
      </c>
      <c r="JN7" s="143">
        <f t="shared" si="79"/>
        <v>19.221168176349483</v>
      </c>
      <c r="JO7" s="143">
        <f t="shared" si="80"/>
        <v>3116.287430549351</v>
      </c>
      <c r="JP7" s="143">
        <f t="shared" si="81"/>
        <v>3981.3727026895722</v>
      </c>
      <c r="JQ7" s="143">
        <f t="shared" si="82"/>
        <v>1.0667804876963298</v>
      </c>
      <c r="JR7" s="143">
        <f t="shared" ca="1" si="83"/>
        <v>1.2281880780942418</v>
      </c>
      <c r="JS7" s="143">
        <f t="shared" si="84"/>
        <v>92.182779541015634</v>
      </c>
      <c r="JT7" s="143">
        <f t="shared" ca="1" si="85"/>
        <v>189.72461638845311</v>
      </c>
      <c r="JU7" s="143">
        <f>JO7/(CD7*E7)</f>
        <v>0.28171236829792545</v>
      </c>
      <c r="JV7" s="143">
        <f t="shared" si="86"/>
        <v>0.35991607261775321</v>
      </c>
      <c r="JW7" s="143">
        <f t="shared" ca="1" si="87"/>
        <v>0.25903305439150748</v>
      </c>
      <c r="JX7" s="143">
        <f t="shared" ca="1" si="88"/>
        <v>0.29822565457960365</v>
      </c>
      <c r="JY7" s="143">
        <f t="shared" si="89"/>
        <v>0.54232354779614245</v>
      </c>
      <c r="JZ7" s="143">
        <f t="shared" si="90"/>
        <v>1.0156153871681439</v>
      </c>
      <c r="KA7" s="143">
        <f t="shared" si="91"/>
        <v>0.26576638518672213</v>
      </c>
      <c r="KB7" s="143">
        <f t="shared" si="92"/>
        <v>0.33954346473372943</v>
      </c>
      <c r="KC7" s="143">
        <f t="shared" ca="1" si="93"/>
        <v>0.53105029308523455</v>
      </c>
      <c r="KD7" s="143">
        <f t="shared" ca="1" si="94"/>
        <v>0.63062527110511435</v>
      </c>
      <c r="KE7" s="143">
        <f t="shared" ca="1" si="95"/>
        <v>0.5612341437585604</v>
      </c>
      <c r="KF7" s="143">
        <f t="shared" ca="1" si="96"/>
        <v>0.31394965770920291</v>
      </c>
      <c r="KG7" s="142">
        <f t="shared" si="97"/>
        <v>0.1467015575054334</v>
      </c>
      <c r="KH7" s="142">
        <f t="shared" ca="1" si="98"/>
        <v>0.12467757379250216</v>
      </c>
      <c r="KI7" s="142">
        <f t="shared" ca="1" si="99"/>
        <v>386.15931693767698</v>
      </c>
      <c r="KJ7" s="142">
        <f t="shared" ca="1" si="100"/>
        <v>333.82532424223314</v>
      </c>
    </row>
    <row r="8" spans="1:341" x14ac:dyDescent="0.3">
      <c r="A8" s="195">
        <v>41282</v>
      </c>
      <c r="B8" s="196">
        <v>4</v>
      </c>
      <c r="C8" s="177">
        <v>24</v>
      </c>
      <c r="D8" s="177">
        <v>4.2</v>
      </c>
      <c r="E8" s="177">
        <v>50016</v>
      </c>
      <c r="F8" s="177">
        <v>300</v>
      </c>
      <c r="G8" s="177">
        <v>11.7</v>
      </c>
      <c r="H8" s="177">
        <v>0.85</v>
      </c>
      <c r="I8" s="177">
        <v>1.4</v>
      </c>
      <c r="J8" s="177">
        <v>1.33</v>
      </c>
      <c r="K8" s="177">
        <v>0.91</v>
      </c>
      <c r="L8" s="166">
        <v>26476.502519369125</v>
      </c>
      <c r="M8" s="169">
        <v>19</v>
      </c>
      <c r="N8" s="167">
        <v>71813.20555537194</v>
      </c>
      <c r="O8" s="176">
        <v>17</v>
      </c>
      <c r="P8" s="177">
        <v>2</v>
      </c>
      <c r="Q8" s="177">
        <v>5</v>
      </c>
      <c r="R8" s="168">
        <v>396.62356567382812</v>
      </c>
      <c r="S8" s="169">
        <v>81.989298473432427</v>
      </c>
      <c r="T8" s="166">
        <v>180</v>
      </c>
      <c r="U8" s="170">
        <v>3.2224287986755371</v>
      </c>
      <c r="V8" s="176">
        <v>17</v>
      </c>
      <c r="W8" s="177">
        <v>1250</v>
      </c>
      <c r="X8" s="169">
        <v>92544.700515806675</v>
      </c>
      <c r="Y8" s="169">
        <v>11102.918619662523</v>
      </c>
      <c r="Z8" s="169">
        <v>359.691162109375</v>
      </c>
      <c r="AA8" s="169">
        <v>10.486261367797852</v>
      </c>
      <c r="AB8" s="169">
        <v>13.60189151763916</v>
      </c>
      <c r="AC8" s="212">
        <v>37</v>
      </c>
      <c r="AD8" s="212">
        <v>29.943632125854492</v>
      </c>
      <c r="AE8" s="254">
        <v>20</v>
      </c>
      <c r="AF8" s="254">
        <v>10</v>
      </c>
      <c r="AG8" s="217">
        <v>5000000</v>
      </c>
      <c r="AH8" s="218">
        <v>300000</v>
      </c>
      <c r="AI8" s="219">
        <v>5000000</v>
      </c>
      <c r="AJ8" s="225">
        <f t="shared" si="0"/>
        <v>300000</v>
      </c>
      <c r="AK8" s="220">
        <v>2750000</v>
      </c>
      <c r="AL8" s="226">
        <f t="shared" si="1"/>
        <v>300000</v>
      </c>
      <c r="AM8" s="221">
        <v>14.407</v>
      </c>
      <c r="BM8" s="197">
        <f t="shared" si="2"/>
        <v>7.0563678741455078</v>
      </c>
      <c r="BN8" s="196">
        <f t="shared" si="3"/>
        <v>180</v>
      </c>
      <c r="BO8" s="197">
        <f t="shared" si="4"/>
        <v>3.1156301498413086</v>
      </c>
      <c r="BP8" s="196">
        <f t="shared" si="5"/>
        <v>12.683860057607909</v>
      </c>
      <c r="BQ8" s="115">
        <f t="shared" si="6"/>
        <v>659.74492511188635</v>
      </c>
      <c r="BR8" s="184">
        <f t="shared" si="7"/>
        <v>1.0041987768</v>
      </c>
      <c r="BS8" s="115">
        <f t="shared" si="8"/>
        <v>6863.8528613899143</v>
      </c>
      <c r="BT8" s="196">
        <v>900</v>
      </c>
      <c r="BU8" s="115">
        <f t="shared" si="101"/>
        <v>1.1850729520000001</v>
      </c>
      <c r="BV8" s="115">
        <f t="shared" si="102"/>
        <v>1.0725055400007644</v>
      </c>
      <c r="BW8" s="115">
        <f t="shared" si="103"/>
        <v>473.23083291499506</v>
      </c>
      <c r="BX8" s="115">
        <f t="shared" si="9"/>
        <v>1138.4330551903868</v>
      </c>
      <c r="BY8" s="115"/>
      <c r="BZ8" s="115">
        <f t="shared" si="10"/>
        <v>665.2022222753917</v>
      </c>
      <c r="CA8" s="115">
        <f t="shared" si="11"/>
        <v>10777.688444385616</v>
      </c>
      <c r="CB8" s="115">
        <f t="shared" si="12"/>
        <v>2992.2168981404975</v>
      </c>
      <c r="CC8" s="115">
        <f t="shared" si="13"/>
        <v>1103.1876049737136</v>
      </c>
      <c r="CD8" s="129">
        <f t="shared" si="104"/>
        <v>0.21796978425440799</v>
      </c>
      <c r="CE8" s="115">
        <f t="shared" si="14"/>
        <v>21.158303653492649</v>
      </c>
      <c r="CF8" s="115">
        <f t="shared" si="15"/>
        <v>22.774805131509009</v>
      </c>
      <c r="CG8" s="115">
        <f t="shared" si="16"/>
        <v>0.02</v>
      </c>
      <c r="CH8" s="115">
        <f t="shared" si="17"/>
        <v>0.05</v>
      </c>
      <c r="CI8" s="136">
        <v>30</v>
      </c>
      <c r="CJ8" s="115">
        <f t="shared" si="18"/>
        <v>165</v>
      </c>
      <c r="CK8" s="115">
        <f t="shared" si="19"/>
        <v>453</v>
      </c>
      <c r="CL8" s="115">
        <f t="shared" si="20"/>
        <v>669.62356567382812</v>
      </c>
      <c r="CM8" s="115">
        <f t="shared" ca="1" si="21"/>
        <v>2816.5993052117487</v>
      </c>
      <c r="CN8" s="115">
        <f t="shared" ca="1" si="22"/>
        <v>125.80344444444444</v>
      </c>
      <c r="CO8" s="115">
        <f t="shared" ca="1" si="23"/>
        <v>690.58718083896258</v>
      </c>
      <c r="CP8" s="115">
        <f t="shared" ca="1" si="24"/>
        <v>2790.6388281929471</v>
      </c>
      <c r="CQ8" s="115">
        <f t="shared" si="105"/>
        <v>1.072449112508886</v>
      </c>
      <c r="CR8" s="115">
        <f t="shared" ca="1" si="25"/>
        <v>530.82615167787003</v>
      </c>
      <c r="CS8" s="115">
        <f t="shared" ca="1" si="26"/>
        <v>26.281008977559576</v>
      </c>
      <c r="CT8" s="115">
        <f t="shared" si="106"/>
        <v>1.1233500497128701</v>
      </c>
      <c r="CU8" s="115">
        <f t="shared" ca="1" si="107"/>
        <v>1.0193350504206133</v>
      </c>
      <c r="CV8" s="115">
        <f t="shared" si="108"/>
        <v>192.2022222753917</v>
      </c>
      <c r="CW8" s="115">
        <f t="shared" si="27"/>
        <v>473</v>
      </c>
      <c r="CX8" s="115">
        <f t="shared" si="28"/>
        <v>438</v>
      </c>
      <c r="CY8" s="115">
        <f t="shared" ca="1" si="109"/>
        <v>446.71899102244043</v>
      </c>
      <c r="CZ8" s="115">
        <f t="shared" ca="1" si="29"/>
        <v>222.90457465138769</v>
      </c>
      <c r="DA8" s="115">
        <v>0.21890000000000001</v>
      </c>
      <c r="DB8" s="115">
        <v>2.7E-2</v>
      </c>
      <c r="DC8" s="115">
        <v>1.06</v>
      </c>
      <c r="DD8" s="138">
        <f t="shared" si="30"/>
        <v>11.556095333024578</v>
      </c>
      <c r="DE8" s="138">
        <f t="shared" si="110"/>
        <v>11.556095333024578</v>
      </c>
      <c r="DF8" s="115">
        <f t="shared" si="31"/>
        <v>669.62356567382812</v>
      </c>
      <c r="DG8" s="115">
        <v>665.2022222753917</v>
      </c>
      <c r="DH8" s="115">
        <f t="shared" si="111"/>
        <v>1.1233500497128701</v>
      </c>
      <c r="DI8" s="115">
        <f t="shared" si="112"/>
        <v>1.122163038798613</v>
      </c>
      <c r="DJ8" s="138">
        <f t="shared" si="32"/>
        <v>2.8115735682687055</v>
      </c>
      <c r="DK8" s="138">
        <f t="shared" si="33"/>
        <v>2.7558484046944778</v>
      </c>
      <c r="DL8" s="115">
        <f t="shared" si="113"/>
        <v>669.62356567382812</v>
      </c>
      <c r="DM8" s="115">
        <f t="shared" si="163"/>
        <v>665.2022222753917</v>
      </c>
      <c r="DN8" s="115">
        <f t="shared" si="34"/>
        <v>12.799167876313437</v>
      </c>
      <c r="DO8" s="115">
        <f t="shared" si="114"/>
        <v>1.1233500497128701</v>
      </c>
      <c r="DP8" s="115">
        <f t="shared" si="115"/>
        <v>1.122163038798613</v>
      </c>
      <c r="DQ8" s="115">
        <v>298.14999999999998</v>
      </c>
      <c r="DR8" s="138">
        <f t="shared" si="116"/>
        <v>1.872507996466958</v>
      </c>
      <c r="DS8" s="138">
        <f t="shared" si="117"/>
        <v>1.8353950375265224</v>
      </c>
      <c r="DT8" s="115">
        <f t="shared" si="35"/>
        <v>669.62356567382812</v>
      </c>
      <c r="DU8" s="139">
        <f t="shared" si="118"/>
        <v>6.4188019079409706</v>
      </c>
      <c r="DV8" s="115">
        <f t="shared" si="119"/>
        <v>1.1233500497128701</v>
      </c>
      <c r="DW8" s="115">
        <v>298.14999999999998</v>
      </c>
      <c r="DX8" s="138">
        <f t="shared" si="36"/>
        <v>0.93906557180174743</v>
      </c>
      <c r="DY8" s="138">
        <f t="shared" si="37"/>
        <v>0.92045336716795534</v>
      </c>
      <c r="DZ8" s="138">
        <f t="shared" si="38"/>
        <v>2.9922168981404975</v>
      </c>
      <c r="EA8" s="138">
        <f t="shared" si="39"/>
        <v>3.9138355829957017</v>
      </c>
      <c r="EB8" s="115">
        <f t="shared" si="120"/>
        <v>22.774805131509009</v>
      </c>
      <c r="EC8" s="115">
        <v>30</v>
      </c>
      <c r="ED8" s="198">
        <f t="shared" ca="1" si="40"/>
        <v>125.80344444444444</v>
      </c>
      <c r="EE8" s="198">
        <v>104.83</v>
      </c>
      <c r="EF8" s="198">
        <f t="shared" ca="1" si="41"/>
        <v>0.42491111111111107</v>
      </c>
      <c r="EG8" s="199">
        <v>0.36720000000000003</v>
      </c>
      <c r="EH8" s="138">
        <f t="shared" ca="1" si="121"/>
        <v>8.5789882037761916E-2</v>
      </c>
      <c r="EI8" s="138">
        <f t="shared" ca="1" si="122"/>
        <v>8.5789882037761916E-2</v>
      </c>
      <c r="EJ8" s="115">
        <f t="shared" si="42"/>
        <v>12.799167876313437</v>
      </c>
      <c r="EK8" s="115">
        <v>435</v>
      </c>
      <c r="EL8" s="115">
        <f t="shared" ca="1" si="43"/>
        <v>446.71899102244043</v>
      </c>
      <c r="EM8" s="115">
        <f t="shared" ca="1" si="123"/>
        <v>1.0624716813828976</v>
      </c>
      <c r="EN8" s="115">
        <f t="shared" ca="1" si="124"/>
        <v>1.0660948634597169</v>
      </c>
      <c r="EO8" s="115">
        <v>298.14999999999998</v>
      </c>
      <c r="EP8" s="138">
        <f t="shared" ca="1" si="125"/>
        <v>0.32941676810387116</v>
      </c>
      <c r="EQ8" s="138">
        <f t="shared" ca="1" si="126"/>
        <v>0.38229688232552278</v>
      </c>
      <c r="ER8" s="115">
        <f t="shared" si="44"/>
        <v>0.89511911074320483</v>
      </c>
      <c r="ES8" s="115">
        <f t="shared" si="45"/>
        <v>453</v>
      </c>
      <c r="ET8" s="115">
        <f t="shared" ca="1" si="46"/>
        <v>2816.5993052117487</v>
      </c>
      <c r="EU8" s="115">
        <f t="shared" ca="1" si="47"/>
        <v>6.5855309782608691</v>
      </c>
      <c r="EV8" s="138">
        <f t="shared" ca="1" si="48"/>
        <v>0.76780983210832199</v>
      </c>
      <c r="EW8" s="138">
        <f t="shared" ca="1" si="49"/>
        <v>1.0318615688107711</v>
      </c>
      <c r="EX8" s="115">
        <v>21.47</v>
      </c>
      <c r="EY8" s="115">
        <f t="shared" ca="1" si="50"/>
        <v>125.4018719613817</v>
      </c>
      <c r="EZ8" s="115">
        <f t="shared" ca="1" si="51"/>
        <v>0.42412509242163765</v>
      </c>
      <c r="FA8" s="138">
        <f t="shared" ca="1" si="127"/>
        <v>7.7284606931538477E-2</v>
      </c>
      <c r="FB8" s="138">
        <f t="shared" ca="1" si="128"/>
        <v>7.7284606931538477E-2</v>
      </c>
      <c r="FC8" s="115">
        <f t="shared" si="52"/>
        <v>21.47</v>
      </c>
      <c r="FD8" s="115">
        <v>37</v>
      </c>
      <c r="FE8" s="115">
        <f t="shared" ca="1" si="53"/>
        <v>154.93355555555553</v>
      </c>
      <c r="FF8" s="115">
        <f t="shared" ca="1" si="54"/>
        <v>0.52252222222222222</v>
      </c>
      <c r="FG8" s="138">
        <f t="shared" ca="1" si="55"/>
        <v>8.1462225449999703E-2</v>
      </c>
      <c r="FH8" s="138">
        <f t="shared" ca="1" si="129"/>
        <v>8.1462225449999703E-2</v>
      </c>
      <c r="FI8" s="115">
        <f t="shared" si="56"/>
        <v>100.71352539062501</v>
      </c>
      <c r="FJ8" s="115">
        <f t="shared" ca="1" si="57"/>
        <v>43.970613408830438</v>
      </c>
      <c r="FK8" s="115">
        <f t="shared" ca="1" si="58"/>
        <v>0.15280286685095892</v>
      </c>
      <c r="FL8" s="138">
        <f t="shared" ca="1" si="59"/>
        <v>0.30849747865812549</v>
      </c>
      <c r="FM8" s="138">
        <f t="shared" ca="1" si="60"/>
        <v>0.64700101539289867</v>
      </c>
      <c r="FN8" s="115">
        <f t="shared" si="130"/>
        <v>100.71352539062501</v>
      </c>
      <c r="FO8" s="115">
        <f t="shared" ca="1" si="61"/>
        <v>57.009871767044075</v>
      </c>
      <c r="FP8" s="115">
        <f t="shared" ca="1" si="62"/>
        <v>0.19624859838485717</v>
      </c>
      <c r="FQ8" s="138">
        <f t="shared" ca="1" si="63"/>
        <v>0.31715013026094635</v>
      </c>
      <c r="FR8" s="138">
        <f t="shared" ca="1" si="64"/>
        <v>0.66514792018193292</v>
      </c>
      <c r="FS8" s="139">
        <f t="shared" si="131"/>
        <v>5.7523048666153738</v>
      </c>
      <c r="FT8" s="249">
        <f t="shared" si="132"/>
        <v>4.8864113453343982</v>
      </c>
      <c r="FU8" s="139">
        <f t="shared" ca="1" si="133"/>
        <v>0.86107127829252672</v>
      </c>
      <c r="FV8" s="249">
        <f t="shared" ca="1" si="134"/>
        <v>0.50702646842799037</v>
      </c>
      <c r="FW8" s="139">
        <f t="shared" ca="1" si="135"/>
        <v>0.77228486519268158</v>
      </c>
      <c r="FX8" s="249">
        <f t="shared" ca="1" si="136"/>
        <v>1.0458308550813442</v>
      </c>
      <c r="FY8" s="249">
        <f t="shared" si="65"/>
        <v>0.15000000000000002</v>
      </c>
      <c r="FZ8" s="139">
        <f t="shared" si="66"/>
        <v>1050000</v>
      </c>
      <c r="GA8" s="139">
        <f t="shared" si="137"/>
        <v>3.3757716049382713E-2</v>
      </c>
      <c r="GB8" s="139">
        <f t="shared" si="138"/>
        <v>121.52777777777777</v>
      </c>
      <c r="GC8" s="139">
        <f t="shared" si="67"/>
        <v>1050000</v>
      </c>
      <c r="GD8" s="139">
        <f t="shared" si="139"/>
        <v>6.7515432098765427E-2</v>
      </c>
      <c r="GE8" s="139">
        <f t="shared" si="140"/>
        <v>243.05555555555554</v>
      </c>
      <c r="GF8" s="139">
        <f t="shared" si="141"/>
        <v>4.5814043209876545E-2</v>
      </c>
      <c r="GG8" s="139">
        <f t="shared" si="68"/>
        <v>712500</v>
      </c>
      <c r="GH8" s="139">
        <f t="shared" si="142"/>
        <v>164.93055555555554</v>
      </c>
      <c r="GI8" s="137">
        <f t="shared" si="69"/>
        <v>53.385181138937632</v>
      </c>
      <c r="GJ8" s="137">
        <f t="shared" si="143"/>
        <v>0.19218665210017394</v>
      </c>
      <c r="GK8" s="251">
        <f t="shared" si="70"/>
        <v>41.019319831251778</v>
      </c>
      <c r="GL8" s="137">
        <f t="shared" si="164"/>
        <v>0.14766955139250523</v>
      </c>
      <c r="GM8" s="137">
        <f t="shared" ca="1" si="71"/>
        <v>9.12456948374248</v>
      </c>
      <c r="GN8" s="137">
        <f t="shared" ca="1" si="144"/>
        <v>3.2848450141472668E-2</v>
      </c>
      <c r="GO8" s="137">
        <f t="shared" ca="1" si="145"/>
        <v>0.11550087954104314</v>
      </c>
      <c r="GP8" s="137">
        <f t="shared" ca="1" si="72"/>
        <v>9.7930053358937741</v>
      </c>
      <c r="GQ8" s="137">
        <f t="shared" ca="1" si="146"/>
        <v>3.5254819209217303E-2</v>
      </c>
      <c r="GR8" s="137">
        <f t="shared" ca="1" si="147"/>
        <v>0.12396209285941387</v>
      </c>
      <c r="GS8" s="140">
        <f t="shared" si="73"/>
        <v>8.2873456213327687E-2</v>
      </c>
      <c r="GT8" s="140">
        <f t="shared" si="74"/>
        <v>7.0398528252232681E-2</v>
      </c>
      <c r="GU8" s="140">
        <f t="shared" si="148"/>
        <v>298.3444423679797</v>
      </c>
      <c r="GV8" s="140">
        <f t="shared" si="149"/>
        <v>253.43470170803766</v>
      </c>
      <c r="GW8" s="141">
        <f t="shared" ca="1" si="75"/>
        <v>8.2620323016360468E-3</v>
      </c>
      <c r="GX8" s="141">
        <f t="shared" ca="1" si="76"/>
        <v>4.8649504002076091E-3</v>
      </c>
      <c r="GY8" s="141">
        <f t="shared" ca="1" si="150"/>
        <v>29.743316285889769</v>
      </c>
      <c r="GZ8" s="141">
        <f ca="1">GX8*3600</f>
        <v>17.513821440747392</v>
      </c>
      <c r="HA8" s="141">
        <f t="shared" ca="1" si="77"/>
        <v>1.676562828819907E-2</v>
      </c>
      <c r="HB8" s="141">
        <f t="shared" ca="1" si="78"/>
        <v>1.5412750278607692E-2</v>
      </c>
      <c r="HC8" s="141">
        <f t="shared" ca="1" si="151"/>
        <v>60.356261837516655</v>
      </c>
      <c r="HD8" s="141">
        <f t="shared" ca="1" si="152"/>
        <v>55.485901002987688</v>
      </c>
      <c r="HE8" s="137">
        <f t="shared" si="153"/>
        <v>8.7445217647558717</v>
      </c>
      <c r="HF8" s="250">
        <f t="shared" si="154"/>
        <v>8.8002469283301004</v>
      </c>
      <c r="HG8" s="137">
        <v>2.9922168981404975</v>
      </c>
      <c r="HH8" s="251">
        <v>3.8131408303726242</v>
      </c>
      <c r="HI8" s="137">
        <f t="shared" ca="1" si="155"/>
        <v>1.4902111141414351</v>
      </c>
      <c r="HJ8" s="251">
        <f t="shared" ca="1" si="156"/>
        <v>1.4530981552009996</v>
      </c>
      <c r="HK8" s="137">
        <f t="shared" ca="1" si="157"/>
        <v>0.68201995007056004</v>
      </c>
      <c r="HL8" s="251">
        <f t="shared" ca="1" si="158"/>
        <v>0.94607168677300912</v>
      </c>
      <c r="HM8" s="137">
        <f t="shared" ca="1" si="159"/>
        <v>0.76780983210832199</v>
      </c>
      <c r="HN8" s="251">
        <f t="shared" ca="1" si="160"/>
        <v>1.0318615688107711</v>
      </c>
      <c r="HO8" s="137">
        <f t="shared" ca="1" si="161"/>
        <v>0.30849747865812549</v>
      </c>
      <c r="HP8" s="251">
        <f t="shared" ca="1" si="162"/>
        <v>0.64700101539289867</v>
      </c>
      <c r="JN8" s="143">
        <f t="shared" si="79"/>
        <v>19.217969784254407</v>
      </c>
      <c r="JO8" s="143">
        <f t="shared" si="80"/>
        <v>2992.2168981404975</v>
      </c>
      <c r="JP8" s="143">
        <f t="shared" si="81"/>
        <v>3913.8355829957018</v>
      </c>
      <c r="JQ8" s="143">
        <f t="shared" si="82"/>
        <v>0.89511911074320483</v>
      </c>
      <c r="JR8" s="143">
        <f t="shared" ca="1" si="83"/>
        <v>1.2029528292803622</v>
      </c>
      <c r="JS8" s="143">
        <f t="shared" si="84"/>
        <v>100.71352539062501</v>
      </c>
      <c r="JT8" s="143">
        <f t="shared" ca="1" si="85"/>
        <v>211.22296841765964</v>
      </c>
      <c r="JU8" s="143">
        <f>JO8/(CD8*E8)</f>
        <v>0.27446553707157628</v>
      </c>
      <c r="JV8" s="143">
        <f t="shared" si="86"/>
        <v>0.35900237912710375</v>
      </c>
      <c r="JW8" s="143">
        <f t="shared" ca="1" si="87"/>
        <v>0.22053455854675857</v>
      </c>
      <c r="JX8" s="143">
        <f t="shared" ca="1" si="88"/>
        <v>0.29637694913881363</v>
      </c>
      <c r="JY8" s="143">
        <f t="shared" si="89"/>
        <v>0.62518799143427672</v>
      </c>
      <c r="JZ8" s="143">
        <f t="shared" si="90"/>
        <v>0.75962707742539504</v>
      </c>
      <c r="KA8" s="143">
        <f t="shared" si="91"/>
        <v>0.25892975195431728</v>
      </c>
      <c r="KB8" s="143">
        <f t="shared" si="92"/>
        <v>0.33868148974255069</v>
      </c>
      <c r="KC8" s="143">
        <f t="shared" ca="1" si="93"/>
        <v>0.44198290906886151</v>
      </c>
      <c r="KD8" s="143">
        <f t="shared" ca="1" si="94"/>
        <v>0.65107211332337278</v>
      </c>
      <c r="KE8" s="143">
        <f t="shared" ca="1" si="95"/>
        <v>0.62702307649520528</v>
      </c>
      <c r="KF8" s="143">
        <f t="shared" ca="1" si="96"/>
        <v>0.40178891407397727</v>
      </c>
      <c r="KG8" s="142">
        <f t="shared" si="97"/>
        <v>0.14766955139250523</v>
      </c>
      <c r="KH8" s="142">
        <f t="shared" ca="1" si="98"/>
        <v>0.12396209285941387</v>
      </c>
      <c r="KI8" s="142">
        <f t="shared" ca="1" si="99"/>
        <v>388.44402049138614</v>
      </c>
      <c r="KJ8" s="142">
        <f t="shared" ca="1" si="100"/>
        <v>326.43442415177276</v>
      </c>
    </row>
    <row r="9" spans="1:341" x14ac:dyDescent="0.3">
      <c r="A9" s="195">
        <v>41283</v>
      </c>
      <c r="B9" s="196">
        <v>5</v>
      </c>
      <c r="C9" s="177">
        <v>24</v>
      </c>
      <c r="D9" s="177">
        <v>4.2</v>
      </c>
      <c r="E9" s="177">
        <v>50016</v>
      </c>
      <c r="F9" s="177">
        <v>300</v>
      </c>
      <c r="G9" s="177">
        <v>11.7</v>
      </c>
      <c r="H9" s="177">
        <v>0.85</v>
      </c>
      <c r="I9" s="177">
        <v>1.4</v>
      </c>
      <c r="J9" s="177">
        <v>1.33</v>
      </c>
      <c r="K9" s="177">
        <v>0.91</v>
      </c>
      <c r="L9" s="166">
        <v>26658.210251845419</v>
      </c>
      <c r="M9" s="169">
        <v>19</v>
      </c>
      <c r="N9" s="167">
        <v>73349.794444359839</v>
      </c>
      <c r="O9" s="176">
        <v>17</v>
      </c>
      <c r="P9" s="177">
        <v>2</v>
      </c>
      <c r="Q9" s="177">
        <v>5</v>
      </c>
      <c r="R9" s="168">
        <v>403.88372802734375</v>
      </c>
      <c r="S9" s="169">
        <v>91.534271584358066</v>
      </c>
      <c r="T9" s="166">
        <v>180</v>
      </c>
      <c r="U9" s="170">
        <v>3.7415413856506348</v>
      </c>
      <c r="V9" s="176">
        <v>17</v>
      </c>
      <c r="W9" s="177">
        <v>1250</v>
      </c>
      <c r="X9" s="169">
        <v>83185.89417026937</v>
      </c>
      <c r="Y9" s="169">
        <v>9670.1585132107139</v>
      </c>
      <c r="Z9" s="169">
        <v>306.29205322265625</v>
      </c>
      <c r="AA9" s="169">
        <v>10.15445613861084</v>
      </c>
      <c r="AB9" s="169">
        <v>13.071602821350098</v>
      </c>
      <c r="AC9" s="212">
        <v>37</v>
      </c>
      <c r="AD9" s="212">
        <v>29.461702346801758</v>
      </c>
      <c r="AE9" s="254">
        <v>20</v>
      </c>
      <c r="AF9" s="254">
        <v>10</v>
      </c>
      <c r="AG9" s="217">
        <v>5000000</v>
      </c>
      <c r="AH9" s="218">
        <v>300000</v>
      </c>
      <c r="AI9" s="219">
        <v>5000000</v>
      </c>
      <c r="AJ9" s="225">
        <f t="shared" si="0"/>
        <v>300000</v>
      </c>
      <c r="AK9" s="220">
        <v>2750000</v>
      </c>
      <c r="AL9" s="226">
        <f t="shared" si="1"/>
        <v>300000</v>
      </c>
      <c r="AM9" s="221">
        <v>14.407</v>
      </c>
      <c r="BM9" s="197">
        <f t="shared" si="2"/>
        <v>7.5382976531982422</v>
      </c>
      <c r="BN9" s="196">
        <f t="shared" si="3"/>
        <v>180</v>
      </c>
      <c r="BO9" s="197">
        <f t="shared" si="4"/>
        <v>2.9171466827392578</v>
      </c>
      <c r="BP9" s="196">
        <f t="shared" si="5"/>
        <v>12.684847366443082</v>
      </c>
      <c r="BQ9" s="115">
        <f t="shared" si="6"/>
        <v>659.74492511188635</v>
      </c>
      <c r="BR9" s="184">
        <f t="shared" si="7"/>
        <v>1.0041987768</v>
      </c>
      <c r="BS9" s="115">
        <f t="shared" si="8"/>
        <v>6863.8528613899143</v>
      </c>
      <c r="BT9" s="196">
        <v>900</v>
      </c>
      <c r="BU9" s="115">
        <f t="shared" si="101"/>
        <v>1.1850729520000001</v>
      </c>
      <c r="BV9" s="115">
        <f t="shared" si="102"/>
        <v>1.0728357646912738</v>
      </c>
      <c r="BW9" s="115">
        <f t="shared" si="103"/>
        <v>474.58086247660992</v>
      </c>
      <c r="BX9" s="115">
        <f t="shared" si="9"/>
        <v>1141.6807689307607</v>
      </c>
      <c r="BY9" s="115"/>
      <c r="BZ9" s="115">
        <f t="shared" si="10"/>
        <v>667.09990645415076</v>
      </c>
      <c r="CA9" s="115">
        <f t="shared" si="11"/>
        <v>10809.276283654446</v>
      </c>
      <c r="CB9" s="115">
        <f t="shared" si="12"/>
        <v>3056.2414351816601</v>
      </c>
      <c r="CC9" s="115">
        <f t="shared" si="13"/>
        <v>1110.7587604935591</v>
      </c>
      <c r="CD9" s="129">
        <f t="shared" si="104"/>
        <v>0.21946570673194218</v>
      </c>
      <c r="CE9" s="115">
        <f t="shared" si="14"/>
        <v>18.017179601332721</v>
      </c>
      <c r="CF9" s="115">
        <f t="shared" si="15"/>
        <v>25.426186551210574</v>
      </c>
      <c r="CG9" s="115">
        <f t="shared" si="16"/>
        <v>0.02</v>
      </c>
      <c r="CH9" s="115">
        <f t="shared" si="17"/>
        <v>0.05</v>
      </c>
      <c r="CI9" s="136">
        <v>30</v>
      </c>
      <c r="CJ9" s="115">
        <f t="shared" si="18"/>
        <v>165</v>
      </c>
      <c r="CK9" s="115">
        <f t="shared" si="19"/>
        <v>453</v>
      </c>
      <c r="CL9" s="115">
        <f t="shared" si="20"/>
        <v>676.88372802734375</v>
      </c>
      <c r="CM9" s="115">
        <f t="shared" ca="1" si="21"/>
        <v>2816.5993052117487</v>
      </c>
      <c r="CN9" s="115">
        <f t="shared" ca="1" si="22"/>
        <v>125.80344444444444</v>
      </c>
      <c r="CO9" s="115">
        <f t="shared" ca="1" si="23"/>
        <v>690.58718083896258</v>
      </c>
      <c r="CP9" s="115">
        <f t="shared" ca="1" si="24"/>
        <v>2790.6388281929471</v>
      </c>
      <c r="CQ9" s="115">
        <f t="shared" si="105"/>
        <v>1.072449112508886</v>
      </c>
      <c r="CR9" s="115">
        <f t="shared" ca="1" si="25"/>
        <v>616.33883606822587</v>
      </c>
      <c r="CS9" s="115">
        <f t="shared" ca="1" si="26"/>
        <v>30.512335689679301</v>
      </c>
      <c r="CT9" s="115">
        <f t="shared" si="106"/>
        <v>1.125301324492332</v>
      </c>
      <c r="CU9" s="115">
        <f t="shared" ca="1" si="107"/>
        <v>1.0213440291844211</v>
      </c>
      <c r="CV9" s="115">
        <f t="shared" si="108"/>
        <v>194.09990645415076</v>
      </c>
      <c r="CW9" s="115">
        <f t="shared" si="27"/>
        <v>473</v>
      </c>
      <c r="CX9" s="115">
        <f t="shared" si="28"/>
        <v>438</v>
      </c>
      <c r="CY9" s="115">
        <f t="shared" ca="1" si="109"/>
        <v>442.48766431032072</v>
      </c>
      <c r="CZ9" s="115">
        <f t="shared" ca="1" si="29"/>
        <v>234.39606371702303</v>
      </c>
      <c r="DA9" s="115">
        <v>0.21890000000000001</v>
      </c>
      <c r="DB9" s="115">
        <v>2.7E-2</v>
      </c>
      <c r="DC9" s="115">
        <v>1.06</v>
      </c>
      <c r="DD9" s="138">
        <f t="shared" si="30"/>
        <v>11.635404595179109</v>
      </c>
      <c r="DE9" s="138">
        <f t="shared" si="110"/>
        <v>11.635404595179109</v>
      </c>
      <c r="DF9" s="115">
        <f t="shared" si="31"/>
        <v>676.88372802734375</v>
      </c>
      <c r="DG9" s="115">
        <v>667.09990645415076</v>
      </c>
      <c r="DH9" s="115">
        <f t="shared" si="111"/>
        <v>1.125301324492332</v>
      </c>
      <c r="DI9" s="115">
        <f t="shared" si="112"/>
        <v>1.122672390254337</v>
      </c>
      <c r="DJ9" s="138">
        <f t="shared" si="32"/>
        <v>2.904159952687114</v>
      </c>
      <c r="DK9" s="138">
        <f t="shared" si="33"/>
        <v>2.7799339940604222</v>
      </c>
      <c r="DL9" s="115">
        <f t="shared" si="113"/>
        <v>676.88372802734375</v>
      </c>
      <c r="DM9" s="115">
        <f t="shared" si="163"/>
        <v>667.09990645415076</v>
      </c>
      <c r="DN9" s="115">
        <f t="shared" si="34"/>
        <v>12.800164160683474</v>
      </c>
      <c r="DO9" s="115">
        <f t="shared" si="114"/>
        <v>1.125301324492332</v>
      </c>
      <c r="DP9" s="115">
        <f t="shared" si="115"/>
        <v>1.122672390254337</v>
      </c>
      <c r="DQ9" s="115">
        <v>298.14999999999998</v>
      </c>
      <c r="DR9" s="138">
        <f t="shared" si="116"/>
        <v>1.9341705284896182</v>
      </c>
      <c r="DS9" s="138">
        <f t="shared" si="117"/>
        <v>1.8514360400442416</v>
      </c>
      <c r="DT9" s="115">
        <f t="shared" si="35"/>
        <v>676.88372802734375</v>
      </c>
      <c r="DU9" s="139">
        <f t="shared" si="118"/>
        <v>6.4193015460484677</v>
      </c>
      <c r="DV9" s="115">
        <f t="shared" si="119"/>
        <v>1.125301324492332</v>
      </c>
      <c r="DW9" s="115">
        <v>298.14999999999998</v>
      </c>
      <c r="DX9" s="138">
        <f t="shared" si="36"/>
        <v>0.96998942419749601</v>
      </c>
      <c r="DY9" s="138">
        <f t="shared" si="37"/>
        <v>0.92849795401618074</v>
      </c>
      <c r="DZ9" s="138">
        <f t="shared" si="38"/>
        <v>3.05624143518166</v>
      </c>
      <c r="EA9" s="138">
        <f t="shared" si="39"/>
        <v>3.9454234222645321</v>
      </c>
      <c r="EB9" s="115">
        <f t="shared" si="120"/>
        <v>25.426186551210574</v>
      </c>
      <c r="EC9" s="115">
        <v>30</v>
      </c>
      <c r="ED9" s="198">
        <f t="shared" ca="1" si="40"/>
        <v>125.80344444444444</v>
      </c>
      <c r="EE9" s="198">
        <v>104.83</v>
      </c>
      <c r="EF9" s="198">
        <f t="shared" ca="1" si="41"/>
        <v>0.42491111111111107</v>
      </c>
      <c r="EG9" s="199">
        <v>0.36720000000000003</v>
      </c>
      <c r="EH9" s="138">
        <f t="shared" ca="1" si="121"/>
        <v>9.5777308842069322E-2</v>
      </c>
      <c r="EI9" s="138">
        <f t="shared" ca="1" si="122"/>
        <v>9.5777308842069322E-2</v>
      </c>
      <c r="EJ9" s="115">
        <f t="shared" si="42"/>
        <v>12.800164160683474</v>
      </c>
      <c r="EK9" s="115">
        <v>435</v>
      </c>
      <c r="EL9" s="115">
        <f t="shared" ca="1" si="43"/>
        <v>442.48766431032072</v>
      </c>
      <c r="EM9" s="115">
        <f t="shared" ca="1" si="123"/>
        <v>1.0627789207947176</v>
      </c>
      <c r="EN9" s="115">
        <f t="shared" ca="1" si="124"/>
        <v>1.0650853005705032</v>
      </c>
      <c r="EO9" s="115">
        <v>298.14999999999998</v>
      </c>
      <c r="EP9" s="138">
        <f t="shared" ca="1" si="125"/>
        <v>0.32953767608100049</v>
      </c>
      <c r="EQ9" s="138">
        <f t="shared" ca="1" si="126"/>
        <v>0.36296271688242854</v>
      </c>
      <c r="ER9" s="115">
        <f t="shared" si="44"/>
        <v>1.0393170515696208</v>
      </c>
      <c r="ES9" s="115">
        <f t="shared" si="45"/>
        <v>453</v>
      </c>
      <c r="ET9" s="115">
        <f t="shared" ca="1" si="46"/>
        <v>2816.5993052117487</v>
      </c>
      <c r="EU9" s="115">
        <f t="shared" ca="1" si="47"/>
        <v>6.5855309782608691</v>
      </c>
      <c r="EV9" s="138">
        <f t="shared" ca="1" si="48"/>
        <v>0.89149906564995618</v>
      </c>
      <c r="EW9" s="138">
        <f t="shared" ca="1" si="49"/>
        <v>1.0439408310994969</v>
      </c>
      <c r="EX9" s="115">
        <v>21.47</v>
      </c>
      <c r="EY9" s="115">
        <f t="shared" ca="1" si="50"/>
        <v>123.38494228829278</v>
      </c>
      <c r="EZ9" s="115">
        <f t="shared" ca="1" si="51"/>
        <v>0.4174048493915134</v>
      </c>
      <c r="FA9" s="138">
        <f t="shared" ca="1" si="127"/>
        <v>7.6999287514314563E-2</v>
      </c>
      <c r="FB9" s="138">
        <f t="shared" ca="1" si="128"/>
        <v>7.6999287514314563E-2</v>
      </c>
      <c r="FC9" s="115">
        <f t="shared" si="52"/>
        <v>21.47</v>
      </c>
      <c r="FD9" s="115">
        <v>37</v>
      </c>
      <c r="FE9" s="115">
        <f t="shared" ca="1" si="53"/>
        <v>154.93355555555553</v>
      </c>
      <c r="FF9" s="115">
        <f t="shared" ca="1" si="54"/>
        <v>0.52252222222222222</v>
      </c>
      <c r="FG9" s="138">
        <f t="shared" ca="1" si="55"/>
        <v>8.1462225449999703E-2</v>
      </c>
      <c r="FH9" s="138">
        <f t="shared" ca="1" si="129"/>
        <v>8.1462225449999703E-2</v>
      </c>
      <c r="FI9" s="115">
        <f t="shared" si="56"/>
        <v>85.76177490234376</v>
      </c>
      <c r="FJ9" s="115">
        <f t="shared" ca="1" si="57"/>
        <v>42.581971657435105</v>
      </c>
      <c r="FK9" s="115">
        <f t="shared" ca="1" si="58"/>
        <v>0.14817602726618451</v>
      </c>
      <c r="FL9" s="138">
        <f t="shared" ca="1" si="59"/>
        <v>0.26191381291614724</v>
      </c>
      <c r="FM9" s="138">
        <f t="shared" ca="1" si="60"/>
        <v>0.68804855670893261</v>
      </c>
      <c r="FN9" s="115">
        <f t="shared" si="130"/>
        <v>85.76177490234376</v>
      </c>
      <c r="FO9" s="115">
        <f t="shared" ca="1" si="61"/>
        <v>54.790554652108092</v>
      </c>
      <c r="FP9" s="115">
        <f t="shared" ca="1" si="62"/>
        <v>0.18885401711993746</v>
      </c>
      <c r="FQ9" s="138">
        <f t="shared" ca="1" si="63"/>
        <v>0.26881251751389562</v>
      </c>
      <c r="FR9" s="138">
        <f t="shared" ca="1" si="64"/>
        <v>0.70617147924132195</v>
      </c>
      <c r="FS9" s="139">
        <f t="shared" si="131"/>
        <v>5.6750032073103345</v>
      </c>
      <c r="FT9" s="249">
        <f t="shared" si="132"/>
        <v>4.9100471788541533</v>
      </c>
      <c r="FU9" s="139">
        <f t="shared" ca="1" si="133"/>
        <v>0.80891109560073082</v>
      </c>
      <c r="FV9" s="249">
        <f t="shared" ca="1" si="134"/>
        <v>0.54030980090438541</v>
      </c>
      <c r="FW9" s="139">
        <f t="shared" ca="1" si="135"/>
        <v>0.89393483231201942</v>
      </c>
      <c r="FX9" s="249">
        <f t="shared" ca="1" si="136"/>
        <v>1.0576008156962011</v>
      </c>
      <c r="FY9" s="249">
        <f t="shared" si="65"/>
        <v>0.15000000000000002</v>
      </c>
      <c r="FZ9" s="139">
        <f t="shared" si="66"/>
        <v>1050000</v>
      </c>
      <c r="GA9" s="139">
        <f t="shared" si="137"/>
        <v>3.3757716049382713E-2</v>
      </c>
      <c r="GB9" s="139">
        <f t="shared" si="138"/>
        <v>121.52777777777777</v>
      </c>
      <c r="GC9" s="139">
        <f t="shared" si="67"/>
        <v>1050000</v>
      </c>
      <c r="GD9" s="139">
        <f t="shared" si="139"/>
        <v>6.7515432098765427E-2</v>
      </c>
      <c r="GE9" s="139">
        <f t="shared" si="140"/>
        <v>243.05555555555554</v>
      </c>
      <c r="GF9" s="139">
        <f t="shared" si="141"/>
        <v>4.5814043209876545E-2</v>
      </c>
      <c r="GG9" s="139">
        <f t="shared" si="68"/>
        <v>712500</v>
      </c>
      <c r="GH9" s="139">
        <f t="shared" si="142"/>
        <v>164.93055555555554</v>
      </c>
      <c r="GI9" s="137">
        <f t="shared" si="69"/>
        <v>52.204238767635658</v>
      </c>
      <c r="GJ9" s="137">
        <f t="shared" si="143"/>
        <v>0.18793525956348686</v>
      </c>
      <c r="GK9" s="251">
        <f t="shared" si="70"/>
        <v>40.892564303553783</v>
      </c>
      <c r="GL9" s="137">
        <f t="shared" si="164"/>
        <v>0.14721323149279245</v>
      </c>
      <c r="GM9" s="137">
        <f t="shared" ca="1" si="71"/>
        <v>8.9549855138319607</v>
      </c>
      <c r="GN9" s="137">
        <f t="shared" ca="1" si="144"/>
        <v>3.22379478497948E-2</v>
      </c>
      <c r="GO9" s="137">
        <f t="shared" ca="1" si="145"/>
        <v>0.11335424701053025</v>
      </c>
      <c r="GP9" s="137">
        <f t="shared" ca="1" si="72"/>
        <v>9.883719562813269</v>
      </c>
      <c r="GQ9" s="137">
        <f t="shared" ca="1" si="146"/>
        <v>3.5581390426127485E-2</v>
      </c>
      <c r="GR9" s="137">
        <f t="shared" ca="1" si="147"/>
        <v>0.1251103742128252</v>
      </c>
      <c r="GS9" s="140">
        <f t="shared" si="73"/>
        <v>8.1759771207719989E-2</v>
      </c>
      <c r="GT9" s="140">
        <f t="shared" si="74"/>
        <v>7.0739049705751789E-2</v>
      </c>
      <c r="GU9" s="140">
        <f t="shared" si="148"/>
        <v>294.33517634779196</v>
      </c>
      <c r="GV9" s="140">
        <f t="shared" si="149"/>
        <v>254.66057894070644</v>
      </c>
      <c r="GW9" s="141">
        <f t="shared" ca="1" si="75"/>
        <v>7.7615521147769385E-3</v>
      </c>
      <c r="GX9" s="141">
        <f t="shared" ca="1" si="76"/>
        <v>5.1843060388852341E-3</v>
      </c>
      <c r="GY9" s="141">
        <f t="shared" ca="1" si="150"/>
        <v>27.94158761319698</v>
      </c>
      <c r="GZ9" s="141">
        <f t="shared" ref="GZ9:GZ64" ca="1" si="165">GX9*3600</f>
        <v>18.663501739986842</v>
      </c>
      <c r="HA9" s="141">
        <f t="shared" ca="1" si="77"/>
        <v>1.729689272640637E-2</v>
      </c>
      <c r="HB9" s="141">
        <f t="shared" ca="1" si="78"/>
        <v>1.5930425459718567E-2</v>
      </c>
      <c r="HC9" s="141">
        <f t="shared" ca="1" si="151"/>
        <v>62.268813815062934</v>
      </c>
      <c r="HD9" s="141">
        <f t="shared" ca="1" si="152"/>
        <v>57.349531654986841</v>
      </c>
      <c r="HE9" s="137">
        <f t="shared" si="153"/>
        <v>8.7312446424919941</v>
      </c>
      <c r="HF9" s="250">
        <f t="shared" si="154"/>
        <v>8.8554706011186859</v>
      </c>
      <c r="HG9" s="137">
        <v>3.05624143518166</v>
      </c>
      <c r="HH9" s="251">
        <v>3.7225825138833297</v>
      </c>
      <c r="HI9" s="137">
        <f t="shared" ca="1" si="155"/>
        <v>1.5712078116071897</v>
      </c>
      <c r="HJ9" s="251">
        <f t="shared" ca="1" si="156"/>
        <v>1.488473323161813</v>
      </c>
      <c r="HK9" s="137">
        <f t="shared" ca="1" si="157"/>
        <v>0.79572175680788682</v>
      </c>
      <c r="HL9" s="251">
        <f t="shared" ca="1" si="158"/>
        <v>0.9481635222574275</v>
      </c>
      <c r="HM9" s="137">
        <f t="shared" ca="1" si="159"/>
        <v>0.89149906564995618</v>
      </c>
      <c r="HN9" s="251">
        <f t="shared" ca="1" si="160"/>
        <v>1.0439408310994969</v>
      </c>
      <c r="HO9" s="137">
        <f t="shared" ca="1" si="161"/>
        <v>0.26191381291614724</v>
      </c>
      <c r="HP9" s="251">
        <f t="shared" ca="1" si="162"/>
        <v>0.68804855670893261</v>
      </c>
      <c r="JN9" s="143">
        <f t="shared" si="79"/>
        <v>19.219465706731942</v>
      </c>
      <c r="JO9" s="143">
        <f t="shared" si="80"/>
        <v>3056.2414351816601</v>
      </c>
      <c r="JP9" s="143">
        <f t="shared" si="81"/>
        <v>3945.4234222645318</v>
      </c>
      <c r="JQ9" s="143">
        <f t="shared" si="82"/>
        <v>1.0393170515696208</v>
      </c>
      <c r="JR9" s="143">
        <f t="shared" ca="1" si="83"/>
        <v>1.2170349340752804</v>
      </c>
      <c r="JS9" s="143">
        <f t="shared" si="84"/>
        <v>85.76177490234376</v>
      </c>
      <c r="JT9" s="143">
        <f t="shared" ca="1" si="85"/>
        <v>225.29650034626357</v>
      </c>
      <c r="JU9" s="143">
        <f t="shared" ref="JU9:JU40" si="166">CB9/(CD9*E9)</f>
        <v>0.27842744055800411</v>
      </c>
      <c r="JV9" s="143">
        <f t="shared" si="86"/>
        <v>0.35943303848094726</v>
      </c>
      <c r="JW9" s="143">
        <f t="shared" ca="1" si="87"/>
        <v>0.25431807568455278</v>
      </c>
      <c r="JX9" s="143">
        <f t="shared" ca="1" si="88"/>
        <v>0.29780516157938586</v>
      </c>
      <c r="JY9" s="143">
        <f t="shared" si="89"/>
        <v>0.60577162845966792</v>
      </c>
      <c r="JZ9" s="143">
        <f t="shared" si="90"/>
        <v>0.60482296644351308</v>
      </c>
      <c r="KA9" s="143">
        <f t="shared" si="91"/>
        <v>0.26266739675283407</v>
      </c>
      <c r="KB9" s="143">
        <f t="shared" si="92"/>
        <v>0.33908777215183711</v>
      </c>
      <c r="KC9" s="143">
        <f t="shared" ca="1" si="93"/>
        <v>0.49589023159626627</v>
      </c>
      <c r="KD9" s="143">
        <f t="shared" ca="1" si="94"/>
        <v>0.63700404132426092</v>
      </c>
      <c r="KE9" s="143">
        <f t="shared" ca="1" si="95"/>
        <v>0.65908769559695046</v>
      </c>
      <c r="KF9" s="143">
        <f t="shared" ca="1" si="96"/>
        <v>0.29379033922508535</v>
      </c>
      <c r="KG9" s="142">
        <f t="shared" si="97"/>
        <v>0.14721323149279245</v>
      </c>
      <c r="KH9" s="142">
        <f t="shared" ca="1" si="98"/>
        <v>0.1251103742128252</v>
      </c>
      <c r="KI9" s="142">
        <f t="shared" ca="1" si="99"/>
        <v>384.54557777605186</v>
      </c>
      <c r="KJ9" s="142">
        <f t="shared" ca="1" si="100"/>
        <v>330.6736123356801</v>
      </c>
    </row>
    <row r="10" spans="1:341" x14ac:dyDescent="0.3">
      <c r="A10" s="195">
        <v>41284</v>
      </c>
      <c r="B10" s="196">
        <v>6</v>
      </c>
      <c r="C10" s="177">
        <v>24</v>
      </c>
      <c r="D10" s="177">
        <v>4.2</v>
      </c>
      <c r="E10" s="177">
        <v>50016</v>
      </c>
      <c r="F10" s="177">
        <v>300</v>
      </c>
      <c r="G10" s="177">
        <v>11.7</v>
      </c>
      <c r="H10" s="177">
        <v>0.85</v>
      </c>
      <c r="I10" s="177">
        <v>1.4</v>
      </c>
      <c r="J10" s="177">
        <v>1.33</v>
      </c>
      <c r="K10" s="177">
        <v>0.91</v>
      </c>
      <c r="L10" s="166">
        <v>26833.119643732905</v>
      </c>
      <c r="M10" s="169">
        <v>19</v>
      </c>
      <c r="N10" s="167">
        <v>73898.54333370924</v>
      </c>
      <c r="O10" s="176">
        <v>17</v>
      </c>
      <c r="P10" s="177">
        <v>2</v>
      </c>
      <c r="Q10" s="177">
        <v>5</v>
      </c>
      <c r="R10" s="168">
        <v>402.2110595703125</v>
      </c>
      <c r="S10" s="169">
        <v>79.563801157521084</v>
      </c>
      <c r="T10" s="166">
        <v>180</v>
      </c>
      <c r="U10" s="170">
        <v>3.2085807323455811</v>
      </c>
      <c r="V10" s="176">
        <v>17</v>
      </c>
      <c r="W10" s="177">
        <v>1250</v>
      </c>
      <c r="X10" s="169">
        <v>81585.83142401278</v>
      </c>
      <c r="Y10" s="169">
        <v>9716.3159677293152</v>
      </c>
      <c r="Z10" s="169">
        <v>304.31829833984375</v>
      </c>
      <c r="AA10" s="169">
        <v>10.955245971679688</v>
      </c>
      <c r="AB10" s="169">
        <v>14.024478912353516</v>
      </c>
      <c r="AC10" s="212">
        <v>37</v>
      </c>
      <c r="AD10" s="212">
        <v>29.242956161499023</v>
      </c>
      <c r="AE10" s="254">
        <v>20</v>
      </c>
      <c r="AF10" s="254">
        <v>10</v>
      </c>
      <c r="AG10" s="217">
        <v>5000000</v>
      </c>
      <c r="AH10" s="218">
        <v>300000</v>
      </c>
      <c r="AI10" s="219">
        <v>5000000</v>
      </c>
      <c r="AJ10" s="225">
        <f t="shared" si="0"/>
        <v>300000</v>
      </c>
      <c r="AK10" s="220">
        <v>2750000</v>
      </c>
      <c r="AL10" s="226">
        <f t="shared" si="1"/>
        <v>300000</v>
      </c>
      <c r="AM10" s="221">
        <v>14.407</v>
      </c>
      <c r="BM10" s="197">
        <f t="shared" si="2"/>
        <v>7.7570438385009766</v>
      </c>
      <c r="BN10" s="196">
        <f t="shared" si="3"/>
        <v>180</v>
      </c>
      <c r="BO10" s="197">
        <f t="shared" si="4"/>
        <v>3.0692329406738281</v>
      </c>
      <c r="BP10" s="196">
        <f t="shared" si="5"/>
        <v>12.685797736499502</v>
      </c>
      <c r="BQ10" s="115">
        <f t="shared" si="6"/>
        <v>659.74492511188635</v>
      </c>
      <c r="BR10" s="184">
        <f t="shared" si="7"/>
        <v>1.0041987768</v>
      </c>
      <c r="BS10" s="115">
        <f t="shared" si="8"/>
        <v>6863.8528613899143</v>
      </c>
      <c r="BT10" s="196">
        <v>900</v>
      </c>
      <c r="BU10" s="115">
        <f t="shared" si="101"/>
        <v>1.1850729520000001</v>
      </c>
      <c r="BV10" s="115">
        <f t="shared" si="102"/>
        <v>1.0731539197409745</v>
      </c>
      <c r="BW10" s="115">
        <f t="shared" si="103"/>
        <v>475.88018407712661</v>
      </c>
      <c r="BX10" s="115">
        <f t="shared" si="9"/>
        <v>1144.806496496396</v>
      </c>
      <c r="BY10" s="115"/>
      <c r="BZ10" s="115">
        <f t="shared" si="10"/>
        <v>668.92631241926938</v>
      </c>
      <c r="CA10" s="115">
        <f t="shared" si="11"/>
        <v>10839.682308110629</v>
      </c>
      <c r="CB10" s="115">
        <f t="shared" si="12"/>
        <v>3079.105972237885</v>
      </c>
      <c r="CC10" s="115">
        <f t="shared" si="13"/>
        <v>1118.0466518222045</v>
      </c>
      <c r="CD10" s="129">
        <f t="shared" si="104"/>
        <v>0.22090566136287937</v>
      </c>
      <c r="CE10" s="115">
        <f t="shared" si="14"/>
        <v>17.901076372931986</v>
      </c>
      <c r="CF10" s="115">
        <f t="shared" si="15"/>
        <v>22.101055877089191</v>
      </c>
      <c r="CG10" s="115">
        <f t="shared" si="16"/>
        <v>0.02</v>
      </c>
      <c r="CH10" s="115">
        <f t="shared" si="17"/>
        <v>0.05</v>
      </c>
      <c r="CI10" s="136">
        <v>30</v>
      </c>
      <c r="CJ10" s="115">
        <f t="shared" si="18"/>
        <v>165</v>
      </c>
      <c r="CK10" s="115">
        <f t="shared" si="19"/>
        <v>453</v>
      </c>
      <c r="CL10" s="115">
        <f t="shared" si="20"/>
        <v>675.2110595703125</v>
      </c>
      <c r="CM10" s="115">
        <f t="shared" ca="1" si="21"/>
        <v>2816.5993052117487</v>
      </c>
      <c r="CN10" s="115">
        <f t="shared" ca="1" si="22"/>
        <v>125.80344444444444</v>
      </c>
      <c r="CO10" s="115">
        <f t="shared" ca="1" si="23"/>
        <v>690.58718083896258</v>
      </c>
      <c r="CP10" s="115">
        <f t="shared" ca="1" si="24"/>
        <v>2790.6388281929471</v>
      </c>
      <c r="CQ10" s="115">
        <f t="shared" si="105"/>
        <v>1.072449112508886</v>
      </c>
      <c r="CR10" s="115">
        <f t="shared" ca="1" si="25"/>
        <v>528.54497924013242</v>
      </c>
      <c r="CS10" s="115">
        <f t="shared" ca="1" si="26"/>
        <v>26.164071948676629</v>
      </c>
      <c r="CT10" s="115">
        <f t="shared" si="106"/>
        <v>1.1248515484514925</v>
      </c>
      <c r="CU10" s="115">
        <f t="shared" ca="1" si="107"/>
        <v>1.0202852602217176</v>
      </c>
      <c r="CV10" s="115">
        <f t="shared" si="108"/>
        <v>195.92631241926938</v>
      </c>
      <c r="CW10" s="115">
        <f t="shared" si="27"/>
        <v>473</v>
      </c>
      <c r="CX10" s="115">
        <f t="shared" si="28"/>
        <v>438</v>
      </c>
      <c r="CY10" s="115">
        <f t="shared" ca="1" si="109"/>
        <v>446.83592805132338</v>
      </c>
      <c r="CZ10" s="115">
        <f t="shared" ca="1" si="29"/>
        <v>228.37513151898912</v>
      </c>
      <c r="DA10" s="115">
        <v>0.21890000000000001</v>
      </c>
      <c r="DB10" s="115">
        <v>2.7E-2</v>
      </c>
      <c r="DC10" s="115">
        <v>1.06</v>
      </c>
      <c r="DD10" s="138">
        <f t="shared" si="30"/>
        <v>11.711746612249321</v>
      </c>
      <c r="DE10" s="138">
        <f t="shared" si="110"/>
        <v>11.711746612249321</v>
      </c>
      <c r="DF10" s="115">
        <f t="shared" si="31"/>
        <v>675.2110595703125</v>
      </c>
      <c r="DG10" s="115">
        <v>668.92631241926938</v>
      </c>
      <c r="DH10" s="115">
        <f t="shared" si="111"/>
        <v>1.1248515484514925</v>
      </c>
      <c r="DI10" s="115">
        <f t="shared" si="112"/>
        <v>1.1231627887310394</v>
      </c>
      <c r="DJ10" s="138">
        <f t="shared" si="32"/>
        <v>2.8830015934916</v>
      </c>
      <c r="DK10" s="138">
        <f t="shared" si="33"/>
        <v>2.8031874767482279</v>
      </c>
      <c r="DL10" s="115">
        <f t="shared" si="113"/>
        <v>675.2110595703125</v>
      </c>
      <c r="DM10" s="115">
        <f t="shared" si="163"/>
        <v>668.92631241926938</v>
      </c>
      <c r="DN10" s="115">
        <f t="shared" si="34"/>
        <v>12.80112317046768</v>
      </c>
      <c r="DO10" s="115">
        <f t="shared" si="114"/>
        <v>1.1248515484514925</v>
      </c>
      <c r="DP10" s="115">
        <f t="shared" si="115"/>
        <v>1.1231627887310394</v>
      </c>
      <c r="DQ10" s="115">
        <v>298.14999999999998</v>
      </c>
      <c r="DR10" s="138">
        <f t="shared" si="116"/>
        <v>1.920079061265406</v>
      </c>
      <c r="DS10" s="138">
        <f t="shared" si="117"/>
        <v>1.8669228595143195</v>
      </c>
      <c r="DT10" s="115">
        <f t="shared" si="35"/>
        <v>675.2110595703125</v>
      </c>
      <c r="DU10" s="139">
        <f t="shared" si="118"/>
        <v>6.4197824908952015</v>
      </c>
      <c r="DV10" s="115">
        <f t="shared" si="119"/>
        <v>1.1248515484514925</v>
      </c>
      <c r="DW10" s="115">
        <v>298.14999999999998</v>
      </c>
      <c r="DX10" s="138">
        <f t="shared" si="36"/>
        <v>0.96292253222619428</v>
      </c>
      <c r="DY10" s="138">
        <f t="shared" si="37"/>
        <v>0.93626461723390775</v>
      </c>
      <c r="DZ10" s="138">
        <f t="shared" si="38"/>
        <v>3.0791059722378851</v>
      </c>
      <c r="EA10" s="138">
        <f t="shared" si="39"/>
        <v>3.9758294467207143</v>
      </c>
      <c r="EB10" s="115">
        <f t="shared" si="120"/>
        <v>22.101055877089191</v>
      </c>
      <c r="EC10" s="115">
        <v>30</v>
      </c>
      <c r="ED10" s="198">
        <f t="shared" ca="1" si="40"/>
        <v>125.80344444444444</v>
      </c>
      <c r="EE10" s="198">
        <v>104.83</v>
      </c>
      <c r="EF10" s="198">
        <f t="shared" ca="1" si="41"/>
        <v>0.42491111111111107</v>
      </c>
      <c r="EG10" s="199">
        <v>0.36720000000000003</v>
      </c>
      <c r="EH10" s="138">
        <f t="shared" ca="1" si="121"/>
        <v>8.3251951692103837E-2</v>
      </c>
      <c r="EI10" s="138">
        <f t="shared" ca="1" si="122"/>
        <v>8.3251951692103837E-2</v>
      </c>
      <c r="EJ10" s="115">
        <f t="shared" si="42"/>
        <v>12.80112317046768</v>
      </c>
      <c r="EK10" s="115">
        <v>435</v>
      </c>
      <c r="EL10" s="115">
        <f t="shared" ca="1" si="43"/>
        <v>446.83592805132338</v>
      </c>
      <c r="EM10" s="115">
        <f t="shared" ca="1" si="123"/>
        <v>1.0624631073284743</v>
      </c>
      <c r="EN10" s="115">
        <f t="shared" ca="1" si="124"/>
        <v>1.0661228185234362</v>
      </c>
      <c r="EO10" s="115">
        <v>298.14999999999998</v>
      </c>
      <c r="EP10" s="138">
        <f t="shared" ca="1" si="125"/>
        <v>0.32946443343898479</v>
      </c>
      <c r="EQ10" s="138">
        <f t="shared" ca="1" si="126"/>
        <v>0.38289621385917455</v>
      </c>
      <c r="ER10" s="115">
        <f t="shared" si="44"/>
        <v>0.89127242565155029</v>
      </c>
      <c r="ES10" s="115">
        <f t="shared" si="45"/>
        <v>453</v>
      </c>
      <c r="ET10" s="115">
        <f t="shared" ca="1" si="46"/>
        <v>2816.5993052117487</v>
      </c>
      <c r="EU10" s="115">
        <f t="shared" ca="1" si="47"/>
        <v>6.5855309782608691</v>
      </c>
      <c r="EV10" s="138">
        <f t="shared" ca="1" si="48"/>
        <v>0.76451024594269479</v>
      </c>
      <c r="EW10" s="138">
        <f t="shared" ca="1" si="49"/>
        <v>1.0534216507178531</v>
      </c>
      <c r="EX10" s="115">
        <v>21.47</v>
      </c>
      <c r="EY10" s="115">
        <f t="shared" ca="1" si="50"/>
        <v>122.46946519766914</v>
      </c>
      <c r="EZ10" s="115">
        <f t="shared" ca="1" si="51"/>
        <v>0.41435455536312527</v>
      </c>
      <c r="FA10" s="138">
        <f t="shared" ca="1" si="127"/>
        <v>7.6869782061812414E-2</v>
      </c>
      <c r="FB10" s="138">
        <f t="shared" ca="1" si="128"/>
        <v>7.6869782061812414E-2</v>
      </c>
      <c r="FC10" s="115">
        <f t="shared" si="52"/>
        <v>21.47</v>
      </c>
      <c r="FD10" s="115">
        <v>37</v>
      </c>
      <c r="FE10" s="115">
        <f t="shared" ca="1" si="53"/>
        <v>154.93355555555553</v>
      </c>
      <c r="FF10" s="115">
        <f t="shared" ca="1" si="54"/>
        <v>0.52252222222222222</v>
      </c>
      <c r="FG10" s="138">
        <f t="shared" ca="1" si="55"/>
        <v>8.1462225449999703E-2</v>
      </c>
      <c r="FH10" s="138">
        <f t="shared" ca="1" si="129"/>
        <v>8.1462225449999703E-2</v>
      </c>
      <c r="FI10" s="115">
        <f t="shared" si="56"/>
        <v>85.209123535156252</v>
      </c>
      <c r="FJ10" s="115">
        <f t="shared" ca="1" si="57"/>
        <v>45.933366085476351</v>
      </c>
      <c r="FK10" s="115">
        <f t="shared" ca="1" si="58"/>
        <v>0.15934259660508898</v>
      </c>
      <c r="FL10" s="138">
        <f t="shared" ca="1" si="59"/>
        <v>0.26210760179200399</v>
      </c>
      <c r="FM10" s="138">
        <f t="shared" ca="1" si="60"/>
        <v>0.66143109709537817</v>
      </c>
      <c r="FN10" s="115">
        <f t="shared" si="130"/>
        <v>85.209123535156252</v>
      </c>
      <c r="FO10" s="115">
        <f t="shared" ca="1" si="61"/>
        <v>58.778446968078619</v>
      </c>
      <c r="FP10" s="115">
        <f t="shared" ca="1" si="62"/>
        <v>0.20214134483337404</v>
      </c>
      <c r="FQ10" s="138">
        <f t="shared" ca="1" si="63"/>
        <v>0.26931919913266522</v>
      </c>
      <c r="FR10" s="138">
        <f t="shared" ca="1" si="64"/>
        <v>0.67962963352939165</v>
      </c>
      <c r="FS10" s="139">
        <f t="shared" si="131"/>
        <v>5.749639046519837</v>
      </c>
      <c r="FT10" s="249">
        <f t="shared" si="132"/>
        <v>4.9327296887803787</v>
      </c>
      <c r="FU10" s="139">
        <f t="shared" ca="1" si="133"/>
        <v>0.90935633357583034</v>
      </c>
      <c r="FV10" s="249">
        <f t="shared" ca="1" si="134"/>
        <v>0.51385694662939563</v>
      </c>
      <c r="FW10" s="139">
        <f t="shared" ca="1" si="135"/>
        <v>0.76712939989516882</v>
      </c>
      <c r="FX10" s="249">
        <f t="shared" ca="1" si="136"/>
        <v>1.0670277437636795</v>
      </c>
      <c r="FY10" s="249">
        <f t="shared" si="65"/>
        <v>0.15000000000000002</v>
      </c>
      <c r="FZ10" s="139">
        <f t="shared" si="66"/>
        <v>1050000</v>
      </c>
      <c r="GA10" s="139">
        <f t="shared" si="137"/>
        <v>3.3757716049382713E-2</v>
      </c>
      <c r="GB10" s="139">
        <f t="shared" si="138"/>
        <v>121.52777777777777</v>
      </c>
      <c r="GC10" s="139">
        <f t="shared" si="67"/>
        <v>1050000</v>
      </c>
      <c r="GD10" s="139">
        <f t="shared" si="139"/>
        <v>6.7515432098765427E-2</v>
      </c>
      <c r="GE10" s="139">
        <f t="shared" si="140"/>
        <v>243.05555555555554</v>
      </c>
      <c r="GF10" s="139">
        <f t="shared" si="141"/>
        <v>4.5814043209876545E-2</v>
      </c>
      <c r="GG10" s="139">
        <f t="shared" si="68"/>
        <v>712500</v>
      </c>
      <c r="GH10" s="139">
        <f t="shared" si="142"/>
        <v>164.93055555555554</v>
      </c>
      <c r="GI10" s="137">
        <f t="shared" si="69"/>
        <v>52.272785342832726</v>
      </c>
      <c r="GJ10" s="137">
        <f t="shared" si="143"/>
        <v>0.18818202723419633</v>
      </c>
      <c r="GK10" s="251">
        <f t="shared" si="70"/>
        <v>40.772203558241323</v>
      </c>
      <c r="GL10" s="137">
        <f t="shared" si="164"/>
        <v>0.14677993280966758</v>
      </c>
      <c r="GM10" s="137">
        <f t="shared" ca="1" si="71"/>
        <v>8.9975765478055347</v>
      </c>
      <c r="GN10" s="137">
        <f t="shared" ca="1" si="144"/>
        <v>3.239127557209967E-2</v>
      </c>
      <c r="GO10" s="137">
        <f t="shared" ca="1" si="145"/>
        <v>0.11389337402285397</v>
      </c>
      <c r="GP10" s="137">
        <f t="shared" ca="1" si="72"/>
        <v>9.9122218300390816</v>
      </c>
      <c r="GQ10" s="137">
        <f t="shared" ca="1" si="146"/>
        <v>3.5683998588140413E-2</v>
      </c>
      <c r="GR10" s="137">
        <f t="shared" ca="1" si="147"/>
        <v>0.125471162405557</v>
      </c>
      <c r="GS10" s="140">
        <f t="shared" si="73"/>
        <v>8.2835049743211292E-2</v>
      </c>
      <c r="GT10" s="140">
        <f t="shared" si="74"/>
        <v>7.1065836626258913E-2</v>
      </c>
      <c r="GU10" s="140">
        <f t="shared" si="148"/>
        <v>298.20617907556067</v>
      </c>
      <c r="GV10" s="140">
        <f t="shared" si="149"/>
        <v>255.83701185453208</v>
      </c>
      <c r="GW10" s="141">
        <f t="shared" ca="1" si="75"/>
        <v>8.7253304007527729E-3</v>
      </c>
      <c r="GX10" s="141">
        <f t="shared" ca="1" si="76"/>
        <v>4.930489262039742E-3</v>
      </c>
      <c r="GY10" s="141">
        <f t="shared" ca="1" si="150"/>
        <v>31.411189442709983</v>
      </c>
      <c r="GZ10" s="141">
        <f t="shared" ca="1" si="165"/>
        <v>17.749761343343071</v>
      </c>
      <c r="HA10" s="141">
        <f t="shared" ca="1" si="77"/>
        <v>1.7185793210238769E-2</v>
      </c>
      <c r="HB10" s="141">
        <f t="shared" ca="1" si="78"/>
        <v>1.5660927873462301E-2</v>
      </c>
      <c r="HC10" s="141">
        <f t="shared" ca="1" si="151"/>
        <v>61.868855556859565</v>
      </c>
      <c r="HD10" s="141">
        <f t="shared" ca="1" si="152"/>
        <v>56.379340344464282</v>
      </c>
      <c r="HE10" s="137">
        <f t="shared" si="153"/>
        <v>8.8287450187577221</v>
      </c>
      <c r="HF10" s="250">
        <f t="shared" si="154"/>
        <v>8.9085591355010934</v>
      </c>
      <c r="HG10" s="137">
        <v>3.0791059722378851</v>
      </c>
      <c r="HH10" s="251">
        <v>3.8326743736927731</v>
      </c>
      <c r="HI10" s="137">
        <f t="shared" ca="1" si="155"/>
        <v>1.5371828474062315</v>
      </c>
      <c r="HJ10" s="251">
        <f t="shared" ca="1" si="156"/>
        <v>1.484026645655145</v>
      </c>
      <c r="HK10" s="137">
        <f t="shared" ca="1" si="157"/>
        <v>0.68125829425059092</v>
      </c>
      <c r="HL10" s="251">
        <f t="shared" ca="1" si="158"/>
        <v>0.97016969902574923</v>
      </c>
      <c r="HM10" s="137">
        <f t="shared" ca="1" si="159"/>
        <v>0.76451024594269479</v>
      </c>
      <c r="HN10" s="251">
        <f t="shared" ca="1" si="160"/>
        <v>1.0534216507178531</v>
      </c>
      <c r="HO10" s="137">
        <f t="shared" ca="1" si="161"/>
        <v>0.26210760179200399</v>
      </c>
      <c r="HP10" s="251">
        <f t="shared" ca="1" si="162"/>
        <v>0.66143109709537817</v>
      </c>
      <c r="JN10" s="143">
        <f t="shared" si="79"/>
        <v>19.220905661362881</v>
      </c>
      <c r="JO10" s="143">
        <f t="shared" si="80"/>
        <v>3079.105972237885</v>
      </c>
      <c r="JP10" s="143">
        <f t="shared" si="81"/>
        <v>3975.8294467207143</v>
      </c>
      <c r="JQ10" s="143">
        <f t="shared" si="82"/>
        <v>0.89127242565155029</v>
      </c>
      <c r="JR10" s="143">
        <f t="shared" ca="1" si="83"/>
        <v>1.2280877527173613</v>
      </c>
      <c r="JS10" s="143">
        <f t="shared" si="84"/>
        <v>85.209123535156252</v>
      </c>
      <c r="JT10" s="143">
        <f t="shared" ca="1" si="85"/>
        <v>215.02605676854259</v>
      </c>
      <c r="JU10" s="143">
        <f t="shared" si="166"/>
        <v>0.2786819454545314</v>
      </c>
      <c r="JV10" s="143">
        <f t="shared" si="86"/>
        <v>0.35984207591343687</v>
      </c>
      <c r="JW10" s="143">
        <f t="shared" ca="1" si="87"/>
        <v>0.21667323260121393</v>
      </c>
      <c r="JX10" s="143">
        <f t="shared" ca="1" si="88"/>
        <v>0.29855489257923284</v>
      </c>
      <c r="JY10" s="143">
        <f t="shared" si="89"/>
        <v>0.62060019953173873</v>
      </c>
      <c r="JZ10" s="143">
        <f t="shared" si="90"/>
        <v>0.62651104507714739</v>
      </c>
      <c r="KA10" s="143">
        <f t="shared" si="91"/>
        <v>0.26290749571182209</v>
      </c>
      <c r="KB10" s="143">
        <f t="shared" si="92"/>
        <v>0.33947365652211026</v>
      </c>
      <c r="KC10" s="143">
        <f t="shared" ca="1" si="93"/>
        <v>0.42829877352601248</v>
      </c>
      <c r="KD10" s="143">
        <f t="shared" ca="1" si="94"/>
        <v>0.65374142834036097</v>
      </c>
      <c r="KE10" s="143">
        <f t="shared" ca="1" si="95"/>
        <v>0.62788826928385855</v>
      </c>
      <c r="KF10" s="143">
        <f t="shared" ca="1" si="96"/>
        <v>0.34284380514587731</v>
      </c>
      <c r="KG10" s="142">
        <f t="shared" si="97"/>
        <v>0.14677993280966758</v>
      </c>
      <c r="KH10" s="142">
        <f t="shared" ca="1" si="98"/>
        <v>0.125471162405557</v>
      </c>
      <c r="KI10" s="142">
        <f t="shared" ca="1" si="99"/>
        <v>391.48622407513022</v>
      </c>
      <c r="KJ10" s="142">
        <f t="shared" ca="1" si="100"/>
        <v>329.96611354233949</v>
      </c>
    </row>
    <row r="11" spans="1:341" x14ac:dyDescent="0.3">
      <c r="A11" s="195">
        <v>41285</v>
      </c>
      <c r="B11" s="196">
        <v>7</v>
      </c>
      <c r="C11" s="177">
        <v>24</v>
      </c>
      <c r="D11" s="177">
        <v>4.2</v>
      </c>
      <c r="E11" s="177">
        <v>50016</v>
      </c>
      <c r="F11" s="177">
        <v>300</v>
      </c>
      <c r="G11" s="177">
        <v>11.7</v>
      </c>
      <c r="H11" s="177">
        <v>0.85</v>
      </c>
      <c r="I11" s="177">
        <v>1.4</v>
      </c>
      <c r="J11" s="177">
        <v>1.33</v>
      </c>
      <c r="K11" s="177">
        <v>0.91</v>
      </c>
      <c r="L11" s="166">
        <v>27531.029024712741</v>
      </c>
      <c r="M11" s="169">
        <v>19</v>
      </c>
      <c r="N11" s="167">
        <v>74469.032223656774</v>
      </c>
      <c r="O11" s="176">
        <v>17</v>
      </c>
      <c r="P11" s="177">
        <v>2</v>
      </c>
      <c r="Q11" s="177">
        <v>5</v>
      </c>
      <c r="R11" s="168">
        <v>409.17813110351562</v>
      </c>
      <c r="S11" s="169">
        <v>82.830693139723735</v>
      </c>
      <c r="T11" s="166">
        <v>180</v>
      </c>
      <c r="U11" s="170">
        <v>3.3313558101654053</v>
      </c>
      <c r="V11" s="176">
        <v>17</v>
      </c>
      <c r="W11" s="177">
        <v>1250</v>
      </c>
      <c r="X11" s="169">
        <v>81839.154071524739</v>
      </c>
      <c r="Y11" s="169">
        <v>9928.8214565441012</v>
      </c>
      <c r="Z11" s="169">
        <v>298.96514892578125</v>
      </c>
      <c r="AA11" s="169">
        <v>10.644536018371582</v>
      </c>
      <c r="AB11" s="169">
        <v>13.818885803222656</v>
      </c>
      <c r="AC11" s="212">
        <v>37</v>
      </c>
      <c r="AD11" s="212">
        <v>29.448348999023438</v>
      </c>
      <c r="AE11" s="254">
        <v>20</v>
      </c>
      <c r="AF11" s="254">
        <v>10</v>
      </c>
      <c r="AG11" s="217">
        <v>5000000</v>
      </c>
      <c r="AH11" s="218">
        <v>300000</v>
      </c>
      <c r="AI11" s="219">
        <v>5000000</v>
      </c>
      <c r="AJ11" s="225">
        <f t="shared" si="0"/>
        <v>300000</v>
      </c>
      <c r="AK11" s="220">
        <v>2750000</v>
      </c>
      <c r="AL11" s="226">
        <f t="shared" si="1"/>
        <v>300000</v>
      </c>
      <c r="AM11" s="221">
        <v>14.407</v>
      </c>
      <c r="BK11" s="283"/>
      <c r="BM11" s="197">
        <f t="shared" si="2"/>
        <v>7.5516510009765625</v>
      </c>
      <c r="BN11" s="196">
        <f t="shared" si="3"/>
        <v>180</v>
      </c>
      <c r="BO11" s="197">
        <f t="shared" si="4"/>
        <v>3.1743497848510742</v>
      </c>
      <c r="BP11" s="196">
        <f t="shared" si="5"/>
        <v>12.689589826624676</v>
      </c>
      <c r="BQ11" s="115">
        <f t="shared" si="6"/>
        <v>659.74492511188635</v>
      </c>
      <c r="BR11" s="184">
        <f t="shared" si="7"/>
        <v>1.0041987768</v>
      </c>
      <c r="BS11" s="115">
        <f t="shared" si="8"/>
        <v>6863.8528613899143</v>
      </c>
      <c r="BT11" s="196">
        <v>900</v>
      </c>
      <c r="BU11" s="115">
        <f t="shared" si="101"/>
        <v>1.1850729520000001</v>
      </c>
      <c r="BV11" s="115">
        <f t="shared" si="102"/>
        <v>1.0744261472096956</v>
      </c>
      <c r="BW11" s="115">
        <f t="shared" si="103"/>
        <v>481.06269499861276</v>
      </c>
      <c r="BX11" s="115">
        <f t="shared" si="9"/>
        <v>1157.273861958538</v>
      </c>
      <c r="BY11" s="115"/>
      <c r="BZ11" s="115">
        <f t="shared" si="10"/>
        <v>676.21116695992521</v>
      </c>
      <c r="CA11" s="115">
        <f t="shared" si="11"/>
        <v>10961.005980197489</v>
      </c>
      <c r="CB11" s="115">
        <f t="shared" si="12"/>
        <v>3102.8763426523656</v>
      </c>
      <c r="CC11" s="115">
        <f t="shared" si="13"/>
        <v>1147.126209363031</v>
      </c>
      <c r="CD11" s="129">
        <f t="shared" si="104"/>
        <v>0.22665125246162873</v>
      </c>
      <c r="CE11" s="115">
        <f t="shared" si="14"/>
        <v>17.586185230928308</v>
      </c>
      <c r="CF11" s="115">
        <f t="shared" si="15"/>
        <v>23.008525872145484</v>
      </c>
      <c r="CG11" s="115">
        <f t="shared" si="16"/>
        <v>0.02</v>
      </c>
      <c r="CH11" s="115">
        <f t="shared" si="17"/>
        <v>0.05</v>
      </c>
      <c r="CI11" s="136">
        <v>30</v>
      </c>
      <c r="CJ11" s="115">
        <f t="shared" si="18"/>
        <v>165</v>
      </c>
      <c r="CK11" s="115">
        <f t="shared" si="19"/>
        <v>453</v>
      </c>
      <c r="CL11" s="115">
        <f t="shared" si="20"/>
        <v>682.17813110351562</v>
      </c>
      <c r="CM11" s="115">
        <f t="shared" ca="1" si="21"/>
        <v>2816.5993052117487</v>
      </c>
      <c r="CN11" s="115">
        <f t="shared" ca="1" si="22"/>
        <v>125.80344444444444</v>
      </c>
      <c r="CO11" s="115">
        <f t="shared" ca="1" si="23"/>
        <v>690.58718083896258</v>
      </c>
      <c r="CP11" s="115">
        <f t="shared" ca="1" si="24"/>
        <v>2790.6388281929471</v>
      </c>
      <c r="CQ11" s="115">
        <f t="shared" si="105"/>
        <v>1.072449112508886</v>
      </c>
      <c r="CR11" s="115">
        <f t="shared" ca="1" si="25"/>
        <v>548.76954466973484</v>
      </c>
      <c r="CS11" s="115">
        <f t="shared" ca="1" si="26"/>
        <v>27.157111941333831</v>
      </c>
      <c r="CT11" s="115">
        <f t="shared" si="106"/>
        <v>1.1267257944453788</v>
      </c>
      <c r="CU11" s="115">
        <f t="shared" ca="1" si="107"/>
        <v>1.0216878963423675</v>
      </c>
      <c r="CV11" s="115">
        <f t="shared" si="108"/>
        <v>203.21116695992521</v>
      </c>
      <c r="CW11" s="115">
        <f t="shared" si="27"/>
        <v>473</v>
      </c>
      <c r="CX11" s="115">
        <f t="shared" si="28"/>
        <v>438</v>
      </c>
      <c r="CY11" s="115">
        <f t="shared" ca="1" si="109"/>
        <v>445.84288805866618</v>
      </c>
      <c r="CZ11" s="115">
        <f t="shared" ca="1" si="29"/>
        <v>236.33524304484945</v>
      </c>
      <c r="DA11" s="115">
        <v>0.21890000000000001</v>
      </c>
      <c r="DB11" s="115">
        <v>2.7E-2</v>
      </c>
      <c r="DC11" s="115">
        <v>1.06</v>
      </c>
      <c r="DD11" s="138">
        <f t="shared" si="30"/>
        <v>12.016360385708072</v>
      </c>
      <c r="DE11" s="138">
        <f t="shared" si="110"/>
        <v>12.016360385708072</v>
      </c>
      <c r="DF11" s="115">
        <f t="shared" si="31"/>
        <v>682.17813110351562</v>
      </c>
      <c r="DG11" s="115">
        <v>676.21116695992521</v>
      </c>
      <c r="DH11" s="115">
        <f t="shared" si="111"/>
        <v>1.1267257944453788</v>
      </c>
      <c r="DI11" s="115">
        <f t="shared" si="112"/>
        <v>1.1251204592033031</v>
      </c>
      <c r="DJ11" s="138">
        <f t="shared" si="32"/>
        <v>2.9732938543342766</v>
      </c>
      <c r="DK11" s="138">
        <f t="shared" si="33"/>
        <v>2.8966414022197937</v>
      </c>
      <c r="DL11" s="115">
        <f t="shared" si="113"/>
        <v>682.17813110351562</v>
      </c>
      <c r="DM11" s="115">
        <f t="shared" si="163"/>
        <v>676.21116695992521</v>
      </c>
      <c r="DN11" s="115">
        <f t="shared" si="34"/>
        <v>12.804949734139445</v>
      </c>
      <c r="DO11" s="115">
        <f t="shared" si="114"/>
        <v>1.1267257944453788</v>
      </c>
      <c r="DP11" s="115">
        <f t="shared" si="115"/>
        <v>1.1251204592033031</v>
      </c>
      <c r="DQ11" s="115">
        <v>298.14999999999998</v>
      </c>
      <c r="DR11" s="138">
        <f t="shared" si="116"/>
        <v>1.9802137069866286</v>
      </c>
      <c r="DS11" s="138">
        <f t="shared" si="117"/>
        <v>1.9291631738783825</v>
      </c>
      <c r="DT11" s="115">
        <f t="shared" si="35"/>
        <v>682.17813110351562</v>
      </c>
      <c r="DU11" s="139">
        <f t="shared" si="118"/>
        <v>6.4217015183221839</v>
      </c>
      <c r="DV11" s="115">
        <f t="shared" si="119"/>
        <v>1.1267257944453788</v>
      </c>
      <c r="DW11" s="115">
        <v>298.14999999999998</v>
      </c>
      <c r="DX11" s="138">
        <f t="shared" si="36"/>
        <v>0.99308014734764849</v>
      </c>
      <c r="DY11" s="138">
        <f t="shared" si="37"/>
        <v>0.96747822834141106</v>
      </c>
      <c r="DZ11" s="138">
        <f t="shared" si="38"/>
        <v>3.1028763426523658</v>
      </c>
      <c r="EA11" s="138">
        <f t="shared" si="39"/>
        <v>4.0971531188075749</v>
      </c>
      <c r="EB11" s="115">
        <f t="shared" si="120"/>
        <v>23.008525872145484</v>
      </c>
      <c r="EC11" s="115">
        <v>30</v>
      </c>
      <c r="ED11" s="198">
        <f t="shared" ca="1" si="40"/>
        <v>125.80344444444444</v>
      </c>
      <c r="EE11" s="198">
        <v>104.83</v>
      </c>
      <c r="EF11" s="198">
        <f t="shared" ca="1" si="41"/>
        <v>0.42491111111111107</v>
      </c>
      <c r="EG11" s="199">
        <v>0.36720000000000003</v>
      </c>
      <c r="EH11" s="138">
        <f t="shared" ca="1" si="121"/>
        <v>8.6670279242181514E-2</v>
      </c>
      <c r="EI11" s="138">
        <f t="shared" ca="1" si="122"/>
        <v>8.6670279242181514E-2</v>
      </c>
      <c r="EJ11" s="115">
        <f t="shared" si="42"/>
        <v>12.804949734139445</v>
      </c>
      <c r="EK11" s="115">
        <v>435</v>
      </c>
      <c r="EL11" s="115">
        <f t="shared" ca="1" si="43"/>
        <v>445.84288805866618</v>
      </c>
      <c r="EM11" s="115">
        <f t="shared" ca="1" si="123"/>
        <v>1.0625357763067631</v>
      </c>
      <c r="EN11" s="115">
        <f t="shared" ca="1" si="124"/>
        <v>1.0658855148981414</v>
      </c>
      <c r="EO11" s="115">
        <v>298.14999999999998</v>
      </c>
      <c r="EP11" s="138">
        <f t="shared" ca="1" si="125"/>
        <v>0.32958545930254857</v>
      </c>
      <c r="EQ11" s="138">
        <f t="shared" ca="1" si="126"/>
        <v>0.37842547782651925</v>
      </c>
      <c r="ER11" s="115">
        <f t="shared" si="44"/>
        <v>0.92537661393483484</v>
      </c>
      <c r="ES11" s="115">
        <f t="shared" si="45"/>
        <v>453</v>
      </c>
      <c r="ET11" s="115">
        <f t="shared" ca="1" si="46"/>
        <v>2816.5993052117487</v>
      </c>
      <c r="EU11" s="115">
        <f t="shared" ca="1" si="47"/>
        <v>6.5855309782608691</v>
      </c>
      <c r="EV11" s="138">
        <f t="shared" ca="1" si="48"/>
        <v>0.79376392935275819</v>
      </c>
      <c r="EW11" s="138">
        <f t="shared" ca="1" si="49"/>
        <v>1.0947371932970331</v>
      </c>
      <c r="EX11" s="115">
        <v>21.47</v>
      </c>
      <c r="EY11" s="115">
        <f t="shared" ca="1" si="50"/>
        <v>123.3290570441352</v>
      </c>
      <c r="EZ11" s="115">
        <f t="shared" ca="1" si="51"/>
        <v>0.41721864437527123</v>
      </c>
      <c r="FA11" s="138">
        <f t="shared" ca="1" si="127"/>
        <v>7.6991381861724495E-2</v>
      </c>
      <c r="FB11" s="138">
        <f t="shared" ca="1" si="128"/>
        <v>7.6991381861724495E-2</v>
      </c>
      <c r="FC11" s="115">
        <f t="shared" si="52"/>
        <v>21.47</v>
      </c>
      <c r="FD11" s="115">
        <v>37</v>
      </c>
      <c r="FE11" s="115">
        <f t="shared" ca="1" si="53"/>
        <v>154.93355555555553</v>
      </c>
      <c r="FF11" s="115">
        <f t="shared" ca="1" si="54"/>
        <v>0.52252222222222222</v>
      </c>
      <c r="FG11" s="138">
        <f t="shared" ca="1" si="55"/>
        <v>8.1462225449999703E-2</v>
      </c>
      <c r="FH11" s="138">
        <f t="shared" ca="1" si="129"/>
        <v>8.1462225449999703E-2</v>
      </c>
      <c r="FI11" s="115">
        <f t="shared" si="56"/>
        <v>83.710241699218756</v>
      </c>
      <c r="FJ11" s="115">
        <f t="shared" ca="1" si="57"/>
        <v>44.633010407553783</v>
      </c>
      <c r="FK11" s="115">
        <f t="shared" ca="1" si="58"/>
        <v>0.15500991892284818</v>
      </c>
      <c r="FL11" s="138">
        <f t="shared" ca="1" si="59"/>
        <v>0.25677975009421378</v>
      </c>
      <c r="FM11" s="138">
        <f t="shared" ca="1" si="60"/>
        <v>0.67333283761195351</v>
      </c>
      <c r="FN11" s="115">
        <f t="shared" si="130"/>
        <v>83.710241699218756</v>
      </c>
      <c r="FO11" s="115">
        <f t="shared" ca="1" si="61"/>
        <v>57.918016962687183</v>
      </c>
      <c r="FP11" s="115">
        <f t="shared" ca="1" si="62"/>
        <v>0.19927446314493816</v>
      </c>
      <c r="FQ11" s="138">
        <f t="shared" ca="1" si="63"/>
        <v>0.26410713317580725</v>
      </c>
      <c r="FR11" s="138">
        <f t="shared" ca="1" si="64"/>
        <v>0.69254684354812612</v>
      </c>
      <c r="FS11" s="139">
        <f t="shared" si="131"/>
        <v>5.9401901887214308</v>
      </c>
      <c r="FT11" s="249">
        <f t="shared" si="132"/>
        <v>5.0225658646807032</v>
      </c>
      <c r="FU11" s="139">
        <f t="shared" ca="1" si="133"/>
        <v>0.94353459757350322</v>
      </c>
      <c r="FV11" s="249">
        <f t="shared" ca="1" si="134"/>
        <v>0.54267078199701158</v>
      </c>
      <c r="FW11" s="139">
        <f t="shared" ca="1" si="135"/>
        <v>0.79662046884607651</v>
      </c>
      <c r="FX11" s="249">
        <f t="shared" ca="1" si="136"/>
        <v>1.1094803556449304</v>
      </c>
      <c r="FY11" s="249">
        <f t="shared" si="65"/>
        <v>0.15000000000000002</v>
      </c>
      <c r="FZ11" s="139">
        <f t="shared" si="66"/>
        <v>1050000</v>
      </c>
      <c r="GA11" s="139">
        <f t="shared" si="137"/>
        <v>3.3757716049382713E-2</v>
      </c>
      <c r="GB11" s="139">
        <f t="shared" si="138"/>
        <v>121.52777777777777</v>
      </c>
      <c r="GC11" s="139">
        <f t="shared" si="67"/>
        <v>1050000</v>
      </c>
      <c r="GD11" s="139">
        <f t="shared" si="139"/>
        <v>6.7515432098765427E-2</v>
      </c>
      <c r="GE11" s="139">
        <f t="shared" si="140"/>
        <v>243.05555555555554</v>
      </c>
      <c r="GF11" s="139">
        <f t="shared" si="141"/>
        <v>4.5814043209876545E-2</v>
      </c>
      <c r="GG11" s="139">
        <f t="shared" si="68"/>
        <v>712500</v>
      </c>
      <c r="GH11" s="139">
        <f t="shared" si="142"/>
        <v>164.93055555555554</v>
      </c>
      <c r="GI11" s="137">
        <f t="shared" si="69"/>
        <v>52.867455048711726</v>
      </c>
      <c r="GJ11" s="137">
        <f t="shared" si="143"/>
        <v>0.19032283817536069</v>
      </c>
      <c r="GK11" s="251">
        <f t="shared" si="70"/>
        <v>40.307379943018056</v>
      </c>
      <c r="GL11" s="137">
        <f t="shared" si="164"/>
        <v>0.14510656779486383</v>
      </c>
      <c r="GM11" s="137">
        <f t="shared" ca="1" si="71"/>
        <v>9.1546816678931471</v>
      </c>
      <c r="GN11" s="137">
        <f t="shared" ca="1" si="144"/>
        <v>3.2956854004415066E-2</v>
      </c>
      <c r="GO11" s="137">
        <f t="shared" ca="1" si="145"/>
        <v>0.11588204642902626</v>
      </c>
      <c r="GP11" s="137">
        <f t="shared" ca="1" si="72"/>
        <v>10.13025460846705</v>
      </c>
      <c r="GQ11" s="137">
        <f t="shared" ca="1" si="146"/>
        <v>3.6468916590481092E-2</v>
      </c>
      <c r="GR11" s="137">
        <f t="shared" ca="1" si="147"/>
        <v>0.12823107099325279</v>
      </c>
      <c r="GS11" s="140">
        <f t="shared" si="73"/>
        <v>8.5580320048909655E-2</v>
      </c>
      <c r="GT11" s="140">
        <f t="shared" si="74"/>
        <v>7.2360106412454897E-2</v>
      </c>
      <c r="GU11" s="140">
        <f t="shared" si="148"/>
        <v>308.08915217607478</v>
      </c>
      <c r="GV11" s="140">
        <f t="shared" si="149"/>
        <v>260.49638308483765</v>
      </c>
      <c r="GW11" s="141">
        <f t="shared" ca="1" si="75"/>
        <v>9.0532729628628114E-3</v>
      </c>
      <c r="GX11" s="141">
        <f t="shared" ca="1" si="76"/>
        <v>5.2069597988498098E-3</v>
      </c>
      <c r="GY11" s="141">
        <f t="shared" ca="1" si="150"/>
        <v>32.591782666306123</v>
      </c>
      <c r="GZ11" s="141">
        <f t="shared" ca="1" si="165"/>
        <v>18.745055275859315</v>
      </c>
      <c r="HA11" s="141">
        <f t="shared" ca="1" si="77"/>
        <v>1.7843152301353572E-2</v>
      </c>
      <c r="HB11" s="141">
        <f t="shared" ca="1" si="78"/>
        <v>1.6376322620703439E-2</v>
      </c>
      <c r="HC11" s="141">
        <f t="shared" ca="1" si="151"/>
        <v>64.235348284872856</v>
      </c>
      <c r="HD11" s="141">
        <f t="shared" ca="1" si="152"/>
        <v>58.954761434532379</v>
      </c>
      <c r="HE11" s="137">
        <f t="shared" si="153"/>
        <v>9.0430665313737961</v>
      </c>
      <c r="HF11" s="250">
        <f t="shared" si="154"/>
        <v>9.1197189834882781</v>
      </c>
      <c r="HG11" s="137">
        <v>3.1028763426523658</v>
      </c>
      <c r="HH11" s="251">
        <v>3.9611959341381064</v>
      </c>
      <c r="HI11" s="137">
        <f t="shared" ca="1" si="155"/>
        <v>1.6017882291601093</v>
      </c>
      <c r="HJ11" s="251">
        <f t="shared" ca="1" si="156"/>
        <v>1.5507376960518633</v>
      </c>
      <c r="HK11" s="137">
        <f t="shared" ca="1" si="157"/>
        <v>0.70709365011057668</v>
      </c>
      <c r="HL11" s="251">
        <f t="shared" ca="1" si="158"/>
        <v>1.0080669140548517</v>
      </c>
      <c r="HM11" s="137">
        <f t="shared" ca="1" si="159"/>
        <v>0.79376392935275819</v>
      </c>
      <c r="HN11" s="251">
        <f t="shared" ca="1" si="160"/>
        <v>1.0947371932970331</v>
      </c>
      <c r="HO11" s="137">
        <f t="shared" ca="1" si="161"/>
        <v>0.25677975009421378</v>
      </c>
      <c r="HP11" s="251">
        <f t="shared" ca="1" si="162"/>
        <v>0.67333283761195351</v>
      </c>
      <c r="JN11" s="143">
        <f t="shared" si="79"/>
        <v>19.226651252461629</v>
      </c>
      <c r="JO11" s="143">
        <f t="shared" si="80"/>
        <v>3102.8763426523656</v>
      </c>
      <c r="JP11" s="143">
        <f t="shared" si="81"/>
        <v>4097.1531188075751</v>
      </c>
      <c r="JQ11" s="143">
        <f t="shared" si="82"/>
        <v>0.92537661393483484</v>
      </c>
      <c r="JR11" s="143">
        <f t="shared" ca="1" si="83"/>
        <v>1.27625375709347</v>
      </c>
      <c r="JS11" s="143">
        <f t="shared" si="84"/>
        <v>83.710241699218756</v>
      </c>
      <c r="JT11" s="143">
        <f t="shared" ca="1" si="85"/>
        <v>219.50661825878751</v>
      </c>
      <c r="JU11" s="143">
        <f t="shared" si="166"/>
        <v>0.2737142377257103</v>
      </c>
      <c r="JV11" s="143">
        <f t="shared" si="86"/>
        <v>0.36142244128275752</v>
      </c>
      <c r="JW11" s="143">
        <f t="shared" ca="1" si="87"/>
        <v>0.21927053987099848</v>
      </c>
      <c r="JX11" s="143">
        <f t="shared" ca="1" si="88"/>
        <v>0.30241184628638351</v>
      </c>
      <c r="JY11" s="143">
        <f t="shared" si="89"/>
        <v>0.63221034023425426</v>
      </c>
      <c r="JZ11" s="143">
        <f t="shared" si="90"/>
        <v>0.6947601228791267</v>
      </c>
      <c r="KA11" s="143">
        <f t="shared" si="91"/>
        <v>0.25822097898651919</v>
      </c>
      <c r="KB11" s="143">
        <f t="shared" si="92"/>
        <v>0.34096456724788449</v>
      </c>
      <c r="KC11" s="143">
        <f t="shared" ca="1" si="93"/>
        <v>0.42837849837034292</v>
      </c>
      <c r="KD11" s="143">
        <f t="shared" ca="1" si="94"/>
        <v>0.65005636776700737</v>
      </c>
      <c r="KE11" s="143">
        <f t="shared" ca="1" si="95"/>
        <v>0.61506345242922544</v>
      </c>
      <c r="KF11" s="143">
        <f t="shared" ca="1" si="96"/>
        <v>0.32349637039263568</v>
      </c>
      <c r="KG11" s="142">
        <f t="shared" si="97"/>
        <v>0.14510656779486383</v>
      </c>
      <c r="KH11" s="142">
        <f t="shared" ca="1" si="98"/>
        <v>0.12823107099325279</v>
      </c>
      <c r="KI11" s="142">
        <f t="shared" ca="1" si="99"/>
        <v>404.91628312725379</v>
      </c>
      <c r="KJ11" s="142">
        <f t="shared" ca="1" si="100"/>
        <v>338.19619979522935</v>
      </c>
    </row>
    <row r="12" spans="1:341" x14ac:dyDescent="0.3">
      <c r="A12" s="195">
        <v>41287</v>
      </c>
      <c r="B12" s="196">
        <v>8</v>
      </c>
      <c r="C12" s="177">
        <v>24</v>
      </c>
      <c r="D12" s="177">
        <v>4.2</v>
      </c>
      <c r="E12" s="177">
        <v>50016</v>
      </c>
      <c r="F12" s="177">
        <v>300</v>
      </c>
      <c r="G12" s="177">
        <v>11.7</v>
      </c>
      <c r="H12" s="177">
        <v>0.85</v>
      </c>
      <c r="I12" s="177">
        <v>1.4</v>
      </c>
      <c r="J12" s="177">
        <v>1.33</v>
      </c>
      <c r="K12" s="177">
        <v>0.91</v>
      </c>
      <c r="L12" s="166">
        <v>27966.350686222315</v>
      </c>
      <c r="M12" s="169">
        <v>19</v>
      </c>
      <c r="N12" s="167">
        <v>78690.266665451229</v>
      </c>
      <c r="O12" s="176">
        <v>17</v>
      </c>
      <c r="P12" s="177">
        <v>2</v>
      </c>
      <c r="Q12" s="177">
        <v>5</v>
      </c>
      <c r="R12" s="168">
        <v>373.70944213867187</v>
      </c>
      <c r="S12" s="169">
        <v>76.838543356687296</v>
      </c>
      <c r="T12" s="166">
        <v>180</v>
      </c>
      <c r="U12" s="170">
        <v>3.1122078895568848</v>
      </c>
      <c r="V12" s="176">
        <v>17</v>
      </c>
      <c r="W12" s="177">
        <v>1250</v>
      </c>
      <c r="X12" s="169">
        <v>45135.338946118951</v>
      </c>
      <c r="Y12" s="169">
        <v>4891.7403592728078</v>
      </c>
      <c r="Z12" s="169">
        <v>139.02775573730469</v>
      </c>
      <c r="AA12" s="169">
        <v>14.995587348937988</v>
      </c>
      <c r="AB12" s="169">
        <v>17.534656524658203</v>
      </c>
      <c r="AC12" s="212">
        <v>37</v>
      </c>
      <c r="AD12" s="212">
        <v>29.142866134643555</v>
      </c>
      <c r="AE12" s="254">
        <v>20</v>
      </c>
      <c r="AF12" s="254">
        <v>10</v>
      </c>
      <c r="AG12" s="217">
        <v>5000000</v>
      </c>
      <c r="AH12" s="218">
        <v>300000</v>
      </c>
      <c r="AI12" s="219">
        <v>5000000</v>
      </c>
      <c r="AJ12" s="225">
        <f t="shared" si="0"/>
        <v>300000</v>
      </c>
      <c r="AK12" s="220">
        <v>2750000</v>
      </c>
      <c r="AL12" s="226">
        <f t="shared" si="1"/>
        <v>300000</v>
      </c>
      <c r="AM12" s="221">
        <v>14.407</v>
      </c>
      <c r="BM12" s="197">
        <f t="shared" si="2"/>
        <v>7.8571338653564453</v>
      </c>
      <c r="BN12" s="196">
        <f t="shared" si="3"/>
        <v>180</v>
      </c>
      <c r="BO12" s="197">
        <f t="shared" si="4"/>
        <v>2.5390691757202148</v>
      </c>
      <c r="BP12" s="196">
        <f t="shared" si="5"/>
        <v>12.69195514656287</v>
      </c>
      <c r="BQ12" s="115">
        <f t="shared" si="6"/>
        <v>659.74492511188635</v>
      </c>
      <c r="BR12" s="184">
        <f t="shared" si="7"/>
        <v>1.0041987768</v>
      </c>
      <c r="BS12" s="115">
        <f t="shared" si="8"/>
        <v>6863.8528613899143</v>
      </c>
      <c r="BT12" s="196">
        <v>900</v>
      </c>
      <c r="BU12" s="115">
        <f t="shared" si="101"/>
        <v>1.1850729520000001</v>
      </c>
      <c r="BV12" s="115">
        <f t="shared" si="102"/>
        <v>1.075221893035883</v>
      </c>
      <c r="BW12" s="115">
        <f t="shared" si="103"/>
        <v>484.29372300279829</v>
      </c>
      <c r="BX12" s="115">
        <f t="shared" si="9"/>
        <v>1165.0466206766314</v>
      </c>
      <c r="BY12" s="115"/>
      <c r="BZ12" s="115">
        <f t="shared" si="10"/>
        <v>680.7528976738331</v>
      </c>
      <c r="CA12" s="115">
        <f t="shared" si="11"/>
        <v>11036.681739762644</v>
      </c>
      <c r="CB12" s="115">
        <f t="shared" si="12"/>
        <v>3278.761111060468</v>
      </c>
      <c r="CC12" s="115">
        <f t="shared" si="13"/>
        <v>1165.2646119259298</v>
      </c>
      <c r="CD12" s="129">
        <f t="shared" si="104"/>
        <v>0.23023507054980319</v>
      </c>
      <c r="CE12" s="115">
        <f t="shared" si="14"/>
        <v>8.178103278664981</v>
      </c>
      <c r="CF12" s="115">
        <f t="shared" si="15"/>
        <v>21.344039821302026</v>
      </c>
      <c r="CG12" s="115">
        <f t="shared" si="16"/>
        <v>0.02</v>
      </c>
      <c r="CH12" s="115">
        <f t="shared" si="17"/>
        <v>0.05</v>
      </c>
      <c r="CI12" s="136">
        <v>30</v>
      </c>
      <c r="CJ12" s="115">
        <f t="shared" si="18"/>
        <v>165</v>
      </c>
      <c r="CK12" s="115">
        <f t="shared" si="19"/>
        <v>453</v>
      </c>
      <c r="CL12" s="115">
        <f t="shared" si="20"/>
        <v>646.70944213867188</v>
      </c>
      <c r="CM12" s="115">
        <f t="shared" ca="1" si="21"/>
        <v>2816.5993052117487</v>
      </c>
      <c r="CN12" s="115">
        <f t="shared" ca="1" si="22"/>
        <v>125.80344444444444</v>
      </c>
      <c r="CO12" s="115">
        <f t="shared" ca="1" si="23"/>
        <v>690.58718083896258</v>
      </c>
      <c r="CP12" s="115">
        <f t="shared" ca="1" si="24"/>
        <v>2790.6388281929471</v>
      </c>
      <c r="CQ12" s="115">
        <f t="shared" si="105"/>
        <v>1.072449112508886</v>
      </c>
      <c r="CR12" s="115">
        <f t="shared" ca="1" si="25"/>
        <v>512.66961675429366</v>
      </c>
      <c r="CS12" s="115">
        <f t="shared" ca="1" si="26"/>
        <v>25.365896547939258</v>
      </c>
      <c r="CT12" s="115">
        <f t="shared" si="106"/>
        <v>1.1172103758243408</v>
      </c>
      <c r="CU12" s="115">
        <f t="shared" ca="1" si="107"/>
        <v>1.0153298399458008</v>
      </c>
      <c r="CV12" s="115">
        <f t="shared" si="108"/>
        <v>207.7528976738331</v>
      </c>
      <c r="CW12" s="115">
        <f t="shared" si="27"/>
        <v>473</v>
      </c>
      <c r="CX12" s="115">
        <f t="shared" si="28"/>
        <v>438</v>
      </c>
      <c r="CY12" s="115">
        <f t="shared" ca="1" si="109"/>
        <v>447.63410345206074</v>
      </c>
      <c r="CZ12" s="115">
        <f t="shared" ca="1" si="29"/>
        <v>199.07533868661113</v>
      </c>
      <c r="DA12" s="115">
        <v>0.21890000000000001</v>
      </c>
      <c r="DB12" s="115">
        <v>2.7E-2</v>
      </c>
      <c r="DC12" s="115">
        <v>1.06</v>
      </c>
      <c r="DD12" s="138">
        <f t="shared" si="30"/>
        <v>12.206363525936093</v>
      </c>
      <c r="DE12" s="138">
        <f t="shared" si="110"/>
        <v>12.206363525936093</v>
      </c>
      <c r="DF12" s="115">
        <f t="shared" si="31"/>
        <v>646.70944213867188</v>
      </c>
      <c r="DG12" s="115">
        <v>680.7528976738331</v>
      </c>
      <c r="DH12" s="115">
        <f t="shared" si="111"/>
        <v>1.1172103758243408</v>
      </c>
      <c r="DI12" s="115">
        <f t="shared" si="112"/>
        <v>1.1263422137502883</v>
      </c>
      <c r="DJ12" s="138">
        <f t="shared" si="32"/>
        <v>2.5287307157421601</v>
      </c>
      <c r="DK12" s="138">
        <f t="shared" si="33"/>
        <v>2.9554715170421115</v>
      </c>
      <c r="DL12" s="115">
        <f t="shared" si="113"/>
        <v>646.70944213867188</v>
      </c>
      <c r="DM12" s="115">
        <f t="shared" si="163"/>
        <v>680.7528976738331</v>
      </c>
      <c r="DN12" s="115">
        <f t="shared" si="34"/>
        <v>12.807336556986169</v>
      </c>
      <c r="DO12" s="115">
        <f t="shared" si="114"/>
        <v>1.1172103758243408</v>
      </c>
      <c r="DP12" s="115">
        <f t="shared" si="115"/>
        <v>1.1263422137502883</v>
      </c>
      <c r="DQ12" s="115">
        <v>298.14999999999998</v>
      </c>
      <c r="DR12" s="138">
        <f t="shared" si="116"/>
        <v>1.6841346566842783</v>
      </c>
      <c r="DS12" s="138">
        <f t="shared" si="117"/>
        <v>1.9683440303500463</v>
      </c>
      <c r="DT12" s="115">
        <f t="shared" si="35"/>
        <v>646.70944213867188</v>
      </c>
      <c r="DU12" s="139">
        <f t="shared" si="118"/>
        <v>6.4228985135636343</v>
      </c>
      <c r="DV12" s="115">
        <f t="shared" si="119"/>
        <v>1.1172103758243408</v>
      </c>
      <c r="DW12" s="115">
        <v>298.14999999999998</v>
      </c>
      <c r="DX12" s="138">
        <f t="shared" si="36"/>
        <v>0.84459605905788149</v>
      </c>
      <c r="DY12" s="138">
        <f t="shared" si="37"/>
        <v>0.98712748669206518</v>
      </c>
      <c r="DZ12" s="138">
        <f t="shared" si="38"/>
        <v>3.2787611110604682</v>
      </c>
      <c r="EA12" s="138">
        <f t="shared" si="39"/>
        <v>4.1728288783727292</v>
      </c>
      <c r="EB12" s="115">
        <f t="shared" si="120"/>
        <v>21.344039821302026</v>
      </c>
      <c r="EC12" s="115">
        <v>30</v>
      </c>
      <c r="ED12" s="198">
        <f t="shared" ca="1" si="40"/>
        <v>125.80344444444444</v>
      </c>
      <c r="EE12" s="198">
        <v>104.83</v>
      </c>
      <c r="EF12" s="198">
        <f t="shared" ca="1" si="41"/>
        <v>0.42491111111111107</v>
      </c>
      <c r="EG12" s="199">
        <v>0.36720000000000003</v>
      </c>
      <c r="EH12" s="138">
        <f t="shared" ca="1" si="121"/>
        <v>8.0400365575267113E-2</v>
      </c>
      <c r="EI12" s="138">
        <f t="shared" ca="1" si="122"/>
        <v>8.0400365575267113E-2</v>
      </c>
      <c r="EJ12" s="115">
        <f t="shared" si="42"/>
        <v>12.807336556986169</v>
      </c>
      <c r="EK12" s="115">
        <v>435</v>
      </c>
      <c r="EL12" s="115">
        <f t="shared" ca="1" si="43"/>
        <v>447.63410345206074</v>
      </c>
      <c r="EM12" s="115">
        <f t="shared" ca="1" si="123"/>
        <v>1.062404463580128</v>
      </c>
      <c r="EN12" s="115">
        <f t="shared" ca="1" si="124"/>
        <v>1.0663137092085386</v>
      </c>
      <c r="EO12" s="115">
        <v>298.14999999999998</v>
      </c>
      <c r="EP12" s="138">
        <f t="shared" ca="1" si="125"/>
        <v>0.32960615434655766</v>
      </c>
      <c r="EQ12" s="138">
        <f t="shared" ca="1" si="126"/>
        <v>0.38678427981898844</v>
      </c>
      <c r="ER12" s="115">
        <f t="shared" si="44"/>
        <v>0.8645021915435791</v>
      </c>
      <c r="ES12" s="115">
        <f t="shared" si="45"/>
        <v>453</v>
      </c>
      <c r="ET12" s="115">
        <f t="shared" ca="1" si="46"/>
        <v>2816.5993052117487</v>
      </c>
      <c r="EU12" s="115">
        <f t="shared" ca="1" si="47"/>
        <v>6.5855309782608691</v>
      </c>
      <c r="EV12" s="138">
        <f t="shared" ca="1" si="48"/>
        <v>0.74154743718434324</v>
      </c>
      <c r="EW12" s="138">
        <f t="shared" ca="1" si="49"/>
        <v>1.1099593176792568</v>
      </c>
      <c r="EX12" s="115">
        <v>21.47</v>
      </c>
      <c r="EY12" s="115">
        <f t="shared" ca="1" si="50"/>
        <v>122.0505773141649</v>
      </c>
      <c r="EZ12" s="115">
        <f t="shared" ca="1" si="51"/>
        <v>0.4129588555441962</v>
      </c>
      <c r="FA12" s="138">
        <f t="shared" ca="1" si="127"/>
        <v>7.681052523774054E-2</v>
      </c>
      <c r="FB12" s="138">
        <f t="shared" ca="1" si="128"/>
        <v>7.681052523774054E-2</v>
      </c>
      <c r="FC12" s="115">
        <f t="shared" si="52"/>
        <v>21.47</v>
      </c>
      <c r="FD12" s="115">
        <v>37</v>
      </c>
      <c r="FE12" s="115">
        <f t="shared" ca="1" si="53"/>
        <v>154.93355555555553</v>
      </c>
      <c r="FF12" s="115">
        <f t="shared" ca="1" si="54"/>
        <v>0.52252222222222222</v>
      </c>
      <c r="FG12" s="138">
        <f t="shared" ca="1" si="55"/>
        <v>8.1462225449999703E-2</v>
      </c>
      <c r="FH12" s="138">
        <f t="shared" ca="1" si="129"/>
        <v>8.1462225449999703E-2</v>
      </c>
      <c r="FI12" s="115">
        <f t="shared" si="56"/>
        <v>38.927771606445319</v>
      </c>
      <c r="FJ12" s="115">
        <f t="shared" ca="1" si="57"/>
        <v>62.842643676122037</v>
      </c>
      <c r="FK12" s="115">
        <f t="shared" ca="1" si="58"/>
        <v>0.2156829124768575</v>
      </c>
      <c r="FL12" s="138">
        <f t="shared" ca="1" si="59"/>
        <v>0.12408084416953125</v>
      </c>
      <c r="FM12" s="138">
        <f t="shared" ca="1" si="60"/>
        <v>0.8814875623073164</v>
      </c>
      <c r="FN12" s="115">
        <f t="shared" si="130"/>
        <v>38.927771606445319</v>
      </c>
      <c r="FO12" s="115">
        <f t="shared" ca="1" si="61"/>
        <v>73.468930295308439</v>
      </c>
      <c r="FP12" s="115">
        <f t="shared" ca="1" si="62"/>
        <v>0.25108882153828938</v>
      </c>
      <c r="FQ12" s="138">
        <f t="shared" ca="1" si="63"/>
        <v>0.12680636557895247</v>
      </c>
      <c r="FR12" s="138">
        <f t="shared" ca="1" si="64"/>
        <v>0.90085004520535816</v>
      </c>
      <c r="FS12" s="139">
        <f t="shared" si="131"/>
        <v>6.3988716991334638</v>
      </c>
      <c r="FT12" s="249">
        <f t="shared" si="132"/>
        <v>5.0780631305212518</v>
      </c>
      <c r="FU12" s="139">
        <f t="shared" ca="1" si="133"/>
        <v>0.69338143072864455</v>
      </c>
      <c r="FV12" s="249">
        <f t="shared" ca="1" si="134"/>
        <v>0.55200079842706828</v>
      </c>
      <c r="FW12" s="139">
        <f t="shared" ca="1" si="135"/>
        <v>0.73962125838150528</v>
      </c>
      <c r="FX12" s="249">
        <f t="shared" ca="1" si="136"/>
        <v>1.1246701003650392</v>
      </c>
      <c r="FY12" s="249">
        <f t="shared" si="65"/>
        <v>0.15000000000000002</v>
      </c>
      <c r="FZ12" s="139">
        <f t="shared" si="66"/>
        <v>1050000</v>
      </c>
      <c r="GA12" s="139">
        <f t="shared" si="137"/>
        <v>3.3757716049382713E-2</v>
      </c>
      <c r="GB12" s="139">
        <f t="shared" si="138"/>
        <v>121.52777777777777</v>
      </c>
      <c r="GC12" s="139">
        <f t="shared" si="67"/>
        <v>1050000</v>
      </c>
      <c r="GD12" s="139">
        <f t="shared" si="139"/>
        <v>6.7515432098765427E-2</v>
      </c>
      <c r="GE12" s="139">
        <f t="shared" si="140"/>
        <v>243.05555555555554</v>
      </c>
      <c r="GF12" s="139">
        <f t="shared" si="141"/>
        <v>4.5814043209876545E-2</v>
      </c>
      <c r="GG12" s="139">
        <f t="shared" si="68"/>
        <v>712500</v>
      </c>
      <c r="GH12" s="139">
        <f t="shared" si="142"/>
        <v>164.93055555555554</v>
      </c>
      <c r="GI12" s="137">
        <f t="shared" si="69"/>
        <v>52.819759073521837</v>
      </c>
      <c r="GJ12" s="137">
        <f t="shared" si="143"/>
        <v>0.19015113266467709</v>
      </c>
      <c r="GK12" s="251">
        <f t="shared" si="70"/>
        <v>40.029275604193181</v>
      </c>
      <c r="GL12" s="137">
        <f t="shared" si="164"/>
        <v>0.1441053921750943</v>
      </c>
      <c r="GM12" s="137">
        <f t="shared" ca="1" si="71"/>
        <v>7.4148245154340966</v>
      </c>
      <c r="GN12" s="137">
        <f t="shared" ca="1" si="144"/>
        <v>2.6693368255562535E-2</v>
      </c>
      <c r="GO12" s="137">
        <f t="shared" ca="1" si="145"/>
        <v>9.3858538170051117E-2</v>
      </c>
      <c r="GP12" s="137">
        <f t="shared" ca="1" si="72"/>
        <v>10.404788550721264</v>
      </c>
      <c r="GQ12" s="137">
        <f t="shared" ca="1" si="146"/>
        <v>3.7457238782596255E-2</v>
      </c>
      <c r="GR12" s="137">
        <f t="shared" ca="1" si="147"/>
        <v>0.13170618418634408</v>
      </c>
      <c r="GS12" s="140">
        <f t="shared" si="73"/>
        <v>9.2188544569415817E-2</v>
      </c>
      <c r="GT12" s="140">
        <f t="shared" si="74"/>
        <v>7.3159655521419675E-2</v>
      </c>
      <c r="GU12" s="140">
        <f t="shared" si="148"/>
        <v>331.87876044989696</v>
      </c>
      <c r="GV12" s="140">
        <f t="shared" si="149"/>
        <v>263.37475987711082</v>
      </c>
      <c r="GW12" s="141">
        <f t="shared" ca="1" si="75"/>
        <v>6.6530378174900484E-3</v>
      </c>
      <c r="GX12" s="141">
        <f t="shared" ca="1" si="76"/>
        <v>5.2964818849572217E-3</v>
      </c>
      <c r="GY12" s="141">
        <f t="shared" ca="1" si="150"/>
        <v>23.950936142964174</v>
      </c>
      <c r="GZ12" s="141">
        <f t="shared" ca="1" si="165"/>
        <v>19.067334785845997</v>
      </c>
      <c r="HA12" s="141">
        <f t="shared" ca="1" si="77"/>
        <v>1.4539425281200927E-2</v>
      </c>
      <c r="HB12" s="141">
        <f t="shared" ca="1" si="78"/>
        <v>1.6577052756458918E-2</v>
      </c>
      <c r="HC12" s="141">
        <f t="shared" ca="1" si="151"/>
        <v>52.341931012323336</v>
      </c>
      <c r="HD12" s="141">
        <f t="shared" ca="1" si="152"/>
        <v>59.677389923252107</v>
      </c>
      <c r="HE12" s="137">
        <f t="shared" si="153"/>
        <v>9.6776328101939324</v>
      </c>
      <c r="HF12" s="250">
        <f t="shared" si="154"/>
        <v>9.250892008893981</v>
      </c>
      <c r="HG12" s="137">
        <v>3.2787611110604682</v>
      </c>
      <c r="HH12" s="251">
        <v>4.9486530656731391</v>
      </c>
      <c r="HI12" s="137">
        <f t="shared" ca="1" si="155"/>
        <v>1.2973503768652899</v>
      </c>
      <c r="HJ12" s="251">
        <f t="shared" ca="1" si="156"/>
        <v>1.5815597505310579</v>
      </c>
      <c r="HK12" s="137">
        <f t="shared" ca="1" si="157"/>
        <v>0.66114707160907615</v>
      </c>
      <c r="HL12" s="251">
        <f t="shared" ca="1" si="158"/>
        <v>1.0295589521039896</v>
      </c>
      <c r="HM12" s="137">
        <f t="shared" ca="1" si="159"/>
        <v>0.74154743718434324</v>
      </c>
      <c r="HN12" s="251">
        <f t="shared" ca="1" si="160"/>
        <v>1.1099593176792568</v>
      </c>
      <c r="HO12" s="137">
        <f t="shared" ca="1" si="161"/>
        <v>0.12408084416953125</v>
      </c>
      <c r="HP12" s="251">
        <f t="shared" ca="1" si="162"/>
        <v>0.8814875623073164</v>
      </c>
      <c r="JN12" s="143">
        <f t="shared" si="79"/>
        <v>19.230235070549803</v>
      </c>
      <c r="JO12" s="143">
        <f t="shared" si="80"/>
        <v>3278.761111060468</v>
      </c>
      <c r="JP12" s="143">
        <f t="shared" si="81"/>
        <v>4172.8288783727294</v>
      </c>
      <c r="JQ12" s="143">
        <f t="shared" si="82"/>
        <v>0.8645021915435791</v>
      </c>
      <c r="JR12" s="143">
        <f t="shared" ca="1" si="83"/>
        <v>1.293999836748668</v>
      </c>
      <c r="JS12" s="143">
        <f t="shared" si="84"/>
        <v>38.927771606445319</v>
      </c>
      <c r="JT12" s="143">
        <f t="shared" ca="1" si="85"/>
        <v>276.54829985310118</v>
      </c>
      <c r="JU12" s="143">
        <f t="shared" si="166"/>
        <v>0.28472745141002709</v>
      </c>
      <c r="JV12" s="143">
        <f t="shared" si="86"/>
        <v>0.36236825174644982</v>
      </c>
      <c r="JW12" s="143">
        <f t="shared" ca="1" si="87"/>
        <v>0.20166506435596945</v>
      </c>
      <c r="JX12" s="143">
        <f t="shared" ca="1" si="88"/>
        <v>0.3018552907177674</v>
      </c>
      <c r="JY12" s="143">
        <f t="shared" si="89"/>
        <v>0.56477012417097239</v>
      </c>
      <c r="JZ12" s="143">
        <f t="shared" si="90"/>
        <v>0.45660161348459588</v>
      </c>
      <c r="KA12" s="143">
        <f t="shared" si="91"/>
        <v>0.26861080321700675</v>
      </c>
      <c r="KB12" s="143">
        <f t="shared" si="92"/>
        <v>0.34185684127023569</v>
      </c>
      <c r="KC12" s="143">
        <f t="shared" ca="1" si="93"/>
        <v>0.48810126214991545</v>
      </c>
      <c r="KD12" s="143">
        <f t="shared" ca="1" si="94"/>
        <v>0.65097695598176619</v>
      </c>
      <c r="KE12" s="143">
        <f t="shared" ca="1" si="95"/>
        <v>0.79416204564178317</v>
      </c>
      <c r="KF12" s="143">
        <f t="shared" ca="1" si="96"/>
        <v>0.16732691389328563</v>
      </c>
      <c r="KG12" s="142">
        <f t="shared" si="97"/>
        <v>0.1441053921750943</v>
      </c>
      <c r="KH12" s="142">
        <f t="shared" ca="1" si="98"/>
        <v>0.13170618418634408</v>
      </c>
      <c r="KI12" s="142">
        <f t="shared" ca="1" si="99"/>
        <v>408.17162760518448</v>
      </c>
      <c r="KJ12" s="142">
        <f t="shared" ca="1" si="100"/>
        <v>342.11948458620896</v>
      </c>
    </row>
    <row r="13" spans="1:341" x14ac:dyDescent="0.3">
      <c r="A13" s="195">
        <v>41288</v>
      </c>
      <c r="B13" s="196">
        <v>9</v>
      </c>
      <c r="C13" s="177">
        <v>24</v>
      </c>
      <c r="D13" s="177">
        <v>4.2</v>
      </c>
      <c r="E13" s="177">
        <v>50016</v>
      </c>
      <c r="F13" s="177">
        <v>300</v>
      </c>
      <c r="G13" s="177">
        <v>11.7</v>
      </c>
      <c r="H13" s="177">
        <v>0.85</v>
      </c>
      <c r="I13" s="177">
        <v>1.4</v>
      </c>
      <c r="J13" s="177">
        <v>1.33</v>
      </c>
      <c r="K13" s="177">
        <v>0.91</v>
      </c>
      <c r="L13" s="166">
        <v>31161.282697722316</v>
      </c>
      <c r="M13" s="169">
        <v>19</v>
      </c>
      <c r="N13" s="167">
        <v>78486.993332110345</v>
      </c>
      <c r="O13" s="176">
        <v>17</v>
      </c>
      <c r="P13" s="177">
        <v>2</v>
      </c>
      <c r="Q13" s="177">
        <v>5</v>
      </c>
      <c r="R13" s="168">
        <v>410.66647338867187</v>
      </c>
      <c r="S13" s="169">
        <v>84.801154646236682</v>
      </c>
      <c r="T13" s="166">
        <v>180</v>
      </c>
      <c r="U13" s="170">
        <v>3.3033151626586914</v>
      </c>
      <c r="V13" s="176">
        <v>17</v>
      </c>
      <c r="W13" s="177">
        <v>1250</v>
      </c>
      <c r="X13" s="169">
        <v>85995.48178049922</v>
      </c>
      <c r="Y13" s="169">
        <v>9762.0577556267381</v>
      </c>
      <c r="Z13" s="169">
        <v>279.113037109375</v>
      </c>
      <c r="AA13" s="169">
        <v>12.275797843933105</v>
      </c>
      <c r="AB13" s="169">
        <v>15.8408203125</v>
      </c>
      <c r="AC13" s="212">
        <v>37</v>
      </c>
      <c r="AD13" s="212">
        <v>29.293651580810547</v>
      </c>
      <c r="AE13" s="254">
        <v>20</v>
      </c>
      <c r="AF13" s="254">
        <v>10</v>
      </c>
      <c r="AG13" s="217">
        <v>5000000</v>
      </c>
      <c r="AH13" s="218">
        <v>300000</v>
      </c>
      <c r="AI13" s="219">
        <v>5000000</v>
      </c>
      <c r="AJ13" s="225">
        <f t="shared" si="0"/>
        <v>300000</v>
      </c>
      <c r="AK13" s="220">
        <v>2750000</v>
      </c>
      <c r="AL13" s="226">
        <f t="shared" si="1"/>
        <v>300000</v>
      </c>
      <c r="AM13" s="221">
        <v>14.407</v>
      </c>
      <c r="BM13" s="197">
        <f t="shared" si="2"/>
        <v>7.7063484191894531</v>
      </c>
      <c r="BN13" s="196">
        <f t="shared" si="3"/>
        <v>180</v>
      </c>
      <c r="BO13" s="197">
        <f t="shared" si="4"/>
        <v>3.5650224685668945</v>
      </c>
      <c r="BP13" s="196">
        <f t="shared" si="5"/>
        <v>12.709314807375</v>
      </c>
      <c r="BQ13" s="115">
        <f t="shared" si="6"/>
        <v>659.74492511188635</v>
      </c>
      <c r="BR13" s="184">
        <f t="shared" si="7"/>
        <v>1.0041987768</v>
      </c>
      <c r="BS13" s="115">
        <f t="shared" si="8"/>
        <v>6863.8528613899143</v>
      </c>
      <c r="BT13" s="196">
        <v>900</v>
      </c>
      <c r="BU13" s="115">
        <f t="shared" si="101"/>
        <v>1.1850729520000001</v>
      </c>
      <c r="BV13" s="115">
        <f t="shared" si="102"/>
        <v>1.081110907749006</v>
      </c>
      <c r="BW13" s="115">
        <f t="shared" si="103"/>
        <v>507.97022350189786</v>
      </c>
      <c r="BX13" s="115">
        <f t="shared" si="9"/>
        <v>1222.0042593693079</v>
      </c>
      <c r="BY13" s="115"/>
      <c r="BZ13" s="115">
        <f t="shared" si="10"/>
        <v>714.03403586741001</v>
      </c>
      <c r="CA13" s="115">
        <f t="shared" si="11"/>
        <v>11592.084624817495</v>
      </c>
      <c r="CB13" s="115">
        <f t="shared" si="12"/>
        <v>3270.2913888379312</v>
      </c>
      <c r="CC13" s="115">
        <f t="shared" si="13"/>
        <v>1298.3867790717632</v>
      </c>
      <c r="CD13" s="129">
        <f t="shared" si="104"/>
        <v>0.25653758693181777</v>
      </c>
      <c r="CE13" s="115">
        <f t="shared" si="14"/>
        <v>16.418413947610293</v>
      </c>
      <c r="CF13" s="115">
        <f t="shared" si="15"/>
        <v>23.555876290621303</v>
      </c>
      <c r="CG13" s="115">
        <f t="shared" si="16"/>
        <v>0.02</v>
      </c>
      <c r="CH13" s="115">
        <f t="shared" si="17"/>
        <v>0.05</v>
      </c>
      <c r="CI13" s="136">
        <v>30</v>
      </c>
      <c r="CJ13" s="115">
        <f t="shared" si="18"/>
        <v>165</v>
      </c>
      <c r="CK13" s="115">
        <f t="shared" si="19"/>
        <v>453</v>
      </c>
      <c r="CL13" s="115">
        <f t="shared" si="20"/>
        <v>683.66647338867187</v>
      </c>
      <c r="CM13" s="115">
        <f t="shared" ca="1" si="21"/>
        <v>2816.5993052117487</v>
      </c>
      <c r="CN13" s="115">
        <f t="shared" ca="1" si="22"/>
        <v>125.80344444444444</v>
      </c>
      <c r="CO13" s="115">
        <f t="shared" ca="1" si="23"/>
        <v>690.58718083896258</v>
      </c>
      <c r="CP13" s="115">
        <f t="shared" ca="1" si="24"/>
        <v>2790.6388281929471</v>
      </c>
      <c r="CQ13" s="115">
        <f t="shared" si="105"/>
        <v>1.072449112508886</v>
      </c>
      <c r="CR13" s="115">
        <f t="shared" ca="1" si="25"/>
        <v>544.15044834938715</v>
      </c>
      <c r="CS13" s="115">
        <f t="shared" ca="1" si="26"/>
        <v>26.886732095265682</v>
      </c>
      <c r="CT13" s="115">
        <f t="shared" si="106"/>
        <v>1.1271264497298925</v>
      </c>
      <c r="CU13" s="115">
        <f t="shared" ca="1" si="107"/>
        <v>1.0219045826122226</v>
      </c>
      <c r="CV13" s="115">
        <f t="shared" si="108"/>
        <v>241.03403586741001</v>
      </c>
      <c r="CW13" s="115">
        <f t="shared" si="27"/>
        <v>473</v>
      </c>
      <c r="CX13" s="115">
        <f t="shared" si="28"/>
        <v>438</v>
      </c>
      <c r="CY13" s="115">
        <f t="shared" ca="1" si="109"/>
        <v>446.1132679047343</v>
      </c>
      <c r="CZ13" s="115">
        <f t="shared" ca="1" si="29"/>
        <v>237.55320548393757</v>
      </c>
      <c r="DA13" s="115">
        <v>0.21890000000000001</v>
      </c>
      <c r="DB13" s="115">
        <v>2.7E-2</v>
      </c>
      <c r="DC13" s="115">
        <v>1.06</v>
      </c>
      <c r="DD13" s="138">
        <f t="shared" si="30"/>
        <v>13.600842984860705</v>
      </c>
      <c r="DE13" s="138">
        <f t="shared" si="110"/>
        <v>13.600842984860705</v>
      </c>
      <c r="DF13" s="115">
        <f t="shared" si="31"/>
        <v>683.66647338867187</v>
      </c>
      <c r="DG13" s="115">
        <v>714.03403586741001</v>
      </c>
      <c r="DH13" s="115">
        <f t="shared" si="111"/>
        <v>1.1271264497298925</v>
      </c>
      <c r="DI13" s="115">
        <f t="shared" si="112"/>
        <v>1.1353173490477937</v>
      </c>
      <c r="DJ13" s="138">
        <f t="shared" si="32"/>
        <v>2.9971751469094947</v>
      </c>
      <c r="DK13" s="138">
        <f t="shared" si="33"/>
        <v>3.3995744332016322</v>
      </c>
      <c r="DL13" s="115">
        <f t="shared" si="113"/>
        <v>683.66647338867187</v>
      </c>
      <c r="DM13" s="115">
        <f t="shared" si="163"/>
        <v>714.03403586741001</v>
      </c>
      <c r="DN13" s="115">
        <f t="shared" si="34"/>
        <v>12.824854032896591</v>
      </c>
      <c r="DO13" s="115">
        <f t="shared" si="114"/>
        <v>1.1271264497298925</v>
      </c>
      <c r="DP13" s="115">
        <f t="shared" si="115"/>
        <v>1.1353173490477937</v>
      </c>
      <c r="DQ13" s="115">
        <v>298.14999999999998</v>
      </c>
      <c r="DR13" s="138">
        <f t="shared" si="116"/>
        <v>1.9961186478417239</v>
      </c>
      <c r="DS13" s="138">
        <f t="shared" si="117"/>
        <v>2.2641165725122869</v>
      </c>
      <c r="DT13" s="115">
        <f t="shared" si="35"/>
        <v>683.66647338867187</v>
      </c>
      <c r="DU13" s="139">
        <f t="shared" si="118"/>
        <v>6.4316835540352262</v>
      </c>
      <c r="DV13" s="115">
        <f t="shared" si="119"/>
        <v>1.1271264497298925</v>
      </c>
      <c r="DW13" s="115">
        <v>298.14999999999998</v>
      </c>
      <c r="DX13" s="138">
        <f t="shared" si="36"/>
        <v>1.0010564990677713</v>
      </c>
      <c r="DY13" s="138">
        <f t="shared" si="37"/>
        <v>1.1354578606893451</v>
      </c>
      <c r="DZ13" s="138">
        <f t="shared" si="38"/>
        <v>3.2702913888379315</v>
      </c>
      <c r="EA13" s="138">
        <f t="shared" si="39"/>
        <v>4.7282317634275808</v>
      </c>
      <c r="EB13" s="115">
        <f t="shared" si="120"/>
        <v>23.555876290621303</v>
      </c>
      <c r="EC13" s="115">
        <v>30</v>
      </c>
      <c r="ED13" s="198">
        <f t="shared" ca="1" si="40"/>
        <v>125.80344444444444</v>
      </c>
      <c r="EE13" s="198">
        <v>104.83</v>
      </c>
      <c r="EF13" s="198">
        <f t="shared" ca="1" si="41"/>
        <v>0.42491111111111107</v>
      </c>
      <c r="EG13" s="199">
        <v>0.36720000000000003</v>
      </c>
      <c r="EH13" s="138">
        <f t="shared" ca="1" si="121"/>
        <v>8.873208076202832E-2</v>
      </c>
      <c r="EI13" s="138">
        <f t="shared" ca="1" si="122"/>
        <v>8.873208076202832E-2</v>
      </c>
      <c r="EJ13" s="115">
        <f t="shared" si="42"/>
        <v>12.824854032896591</v>
      </c>
      <c r="EK13" s="115">
        <v>435</v>
      </c>
      <c r="EL13" s="115">
        <f t="shared" ca="1" si="43"/>
        <v>446.1132679047343</v>
      </c>
      <c r="EM13" s="115">
        <f t="shared" ca="1" si="123"/>
        <v>1.0625160223989631</v>
      </c>
      <c r="EN13" s="115">
        <f t="shared" ca="1" si="124"/>
        <v>1.0659501057360738</v>
      </c>
      <c r="EO13" s="115">
        <v>298.14999999999998</v>
      </c>
      <c r="EP13" s="138">
        <f t="shared" ca="1" si="125"/>
        <v>0.3300916373307245</v>
      </c>
      <c r="EQ13" s="138">
        <f t="shared" ca="1" si="126"/>
        <v>0.38026187847037723</v>
      </c>
      <c r="ER13" s="115">
        <f t="shared" si="44"/>
        <v>0.91758754518296992</v>
      </c>
      <c r="ES13" s="115">
        <f t="shared" si="45"/>
        <v>453</v>
      </c>
      <c r="ET13" s="115">
        <f t="shared" ca="1" si="46"/>
        <v>2816.5993052117487</v>
      </c>
      <c r="EU13" s="115">
        <f t="shared" ca="1" si="47"/>
        <v>6.5855309782608691</v>
      </c>
      <c r="EV13" s="138">
        <f t="shared" ca="1" si="48"/>
        <v>0.78708266928482828</v>
      </c>
      <c r="EW13" s="138">
        <f t="shared" ca="1" si="49"/>
        <v>1.3009770440623478</v>
      </c>
      <c r="EX13" s="115">
        <v>21.47</v>
      </c>
      <c r="EY13" s="115">
        <f t="shared" ca="1" si="50"/>
        <v>122.68163116031222</v>
      </c>
      <c r="EZ13" s="115">
        <f t="shared" ca="1" si="51"/>
        <v>0.41506147482130262</v>
      </c>
      <c r="FA13" s="138">
        <f t="shared" ca="1" si="127"/>
        <v>7.6899795537058183E-2</v>
      </c>
      <c r="FB13" s="138">
        <f t="shared" ca="1" si="128"/>
        <v>7.6899795537058183E-2</v>
      </c>
      <c r="FC13" s="115">
        <f t="shared" si="52"/>
        <v>21.47</v>
      </c>
      <c r="FD13" s="115">
        <v>37</v>
      </c>
      <c r="FE13" s="115">
        <f t="shared" ca="1" si="53"/>
        <v>154.93355555555553</v>
      </c>
      <c r="FF13" s="115">
        <f t="shared" ca="1" si="54"/>
        <v>0.52252222222222222</v>
      </c>
      <c r="FG13" s="138">
        <f t="shared" ca="1" si="55"/>
        <v>8.1462225449999703E-2</v>
      </c>
      <c r="FH13" s="138">
        <f t="shared" ca="1" si="129"/>
        <v>8.1462225449999703E-2</v>
      </c>
      <c r="FI13" s="115">
        <f t="shared" si="56"/>
        <v>78.151650390625008</v>
      </c>
      <c r="FJ13" s="115">
        <f t="shared" ca="1" si="57"/>
        <v>51.46002239884271</v>
      </c>
      <c r="FK13" s="115">
        <f t="shared" ca="1" si="58"/>
        <v>0.17775695882373385</v>
      </c>
      <c r="FL13" s="138">
        <f t="shared" ca="1" si="59"/>
        <v>0.24324428634472059</v>
      </c>
      <c r="FM13" s="138">
        <f t="shared" ca="1" si="60"/>
        <v>0.74671110326517542</v>
      </c>
      <c r="FN13" s="115">
        <f t="shared" si="130"/>
        <v>78.151650390625008</v>
      </c>
      <c r="FO13" s="115">
        <f t="shared" ca="1" si="61"/>
        <v>66.380037543402779</v>
      </c>
      <c r="FP13" s="115">
        <f t="shared" ca="1" si="62"/>
        <v>0.22746921657986111</v>
      </c>
      <c r="FQ13" s="138">
        <f t="shared" ca="1" si="63"/>
        <v>0.25092702298788927</v>
      </c>
      <c r="FR13" s="138">
        <f t="shared" ca="1" si="64"/>
        <v>0.77029556167578839</v>
      </c>
      <c r="FS13" s="139">
        <f t="shared" si="131"/>
        <v>7.3333764491132793</v>
      </c>
      <c r="FT13" s="249">
        <f t="shared" si="132"/>
        <v>5.4730367882314921</v>
      </c>
      <c r="FU13" s="139">
        <f t="shared" ca="1" si="133"/>
        <v>0.96767642198819948</v>
      </c>
      <c r="FV13" s="249">
        <f t="shared" ca="1" si="134"/>
        <v>0.67160973074159025</v>
      </c>
      <c r="FW13" s="139">
        <f t="shared" ca="1" si="135"/>
        <v>0.79020297601505529</v>
      </c>
      <c r="FX13" s="249">
        <f t="shared" ca="1" si="136"/>
        <v>1.3199990725600195</v>
      </c>
      <c r="FY13" s="249">
        <f t="shared" si="65"/>
        <v>0.15000000000000002</v>
      </c>
      <c r="FZ13" s="139">
        <f t="shared" si="66"/>
        <v>1050000</v>
      </c>
      <c r="GA13" s="139">
        <f t="shared" si="137"/>
        <v>3.3757716049382713E-2</v>
      </c>
      <c r="GB13" s="139">
        <f t="shared" si="138"/>
        <v>121.52777777777777</v>
      </c>
      <c r="GC13" s="139">
        <f t="shared" si="67"/>
        <v>1050000</v>
      </c>
      <c r="GD13" s="139">
        <f t="shared" si="139"/>
        <v>6.7515432098765427E-2</v>
      </c>
      <c r="GE13" s="139">
        <f t="shared" si="140"/>
        <v>243.05555555555554</v>
      </c>
      <c r="GF13" s="139">
        <f t="shared" si="141"/>
        <v>4.5814043209876545E-2</v>
      </c>
      <c r="GG13" s="139">
        <f t="shared" si="68"/>
        <v>712500</v>
      </c>
      <c r="GH13" s="139">
        <f t="shared" si="142"/>
        <v>164.93055555555554</v>
      </c>
      <c r="GI13" s="137">
        <f t="shared" si="69"/>
        <v>57.036128103870794</v>
      </c>
      <c r="GJ13" s="137">
        <f t="shared" si="143"/>
        <v>0.20533006117393324</v>
      </c>
      <c r="GK13" s="251">
        <f t="shared" si="70"/>
        <v>38.22304005295257</v>
      </c>
      <c r="GL13" s="137">
        <f t="shared" si="164"/>
        <v>0.13760294419062816</v>
      </c>
      <c r="GM13" s="137">
        <f t="shared" ca="1" si="71"/>
        <v>9.973970495306034</v>
      </c>
      <c r="GN13" s="137">
        <f t="shared" ca="1" si="144"/>
        <v>3.5906293783101437E-2</v>
      </c>
      <c r="GO13" s="137">
        <f t="shared" ca="1" si="145"/>
        <v>0.12625279107982221</v>
      </c>
      <c r="GP13" s="137">
        <f t="shared" ca="1" si="72"/>
        <v>11.274793632710534</v>
      </c>
      <c r="GQ13" s="137">
        <f t="shared" ca="1" si="146"/>
        <v>4.0589257077757596E-2</v>
      </c>
      <c r="GR13" s="137">
        <f t="shared" ca="1" si="147"/>
        <v>0.14271890674317017</v>
      </c>
      <c r="GS13" s="140">
        <f t="shared" si="73"/>
        <v>0.10565195450237502</v>
      </c>
      <c r="GT13" s="140">
        <f t="shared" si="74"/>
        <v>7.8850041008051111E-2</v>
      </c>
      <c r="GU13" s="140">
        <f t="shared" si="148"/>
        <v>380.34703620855009</v>
      </c>
      <c r="GV13" s="140">
        <f t="shared" si="149"/>
        <v>283.86014762898401</v>
      </c>
      <c r="GW13" s="141">
        <f t="shared" ca="1" si="75"/>
        <v>9.2849152649149367E-3</v>
      </c>
      <c r="GX13" s="141">
        <f t="shared" ca="1" si="76"/>
        <v>6.4441370062688639E-3</v>
      </c>
      <c r="GY13" s="141">
        <f t="shared" ca="1" si="150"/>
        <v>33.425694953693771</v>
      </c>
      <c r="GZ13" s="141">
        <f t="shared" ca="1" si="165"/>
        <v>23.198893222567911</v>
      </c>
      <c r="HA13" s="141">
        <f t="shared" ca="1" si="77"/>
        <v>1.808818457462965E-2</v>
      </c>
      <c r="HB13" s="141">
        <f t="shared" ca="1" si="78"/>
        <v>1.9682416817388981E-2</v>
      </c>
      <c r="HC13" s="141">
        <f t="shared" ca="1" si="151"/>
        <v>65.117464468666739</v>
      </c>
      <c r="HD13" s="141">
        <f t="shared" ca="1" si="152"/>
        <v>70.856700542600336</v>
      </c>
      <c r="HE13" s="137">
        <f t="shared" si="153"/>
        <v>10.60366783795121</v>
      </c>
      <c r="HF13" s="250">
        <f t="shared" si="154"/>
        <v>10.201268551659073</v>
      </c>
      <c r="HG13" s="137">
        <v>3.2702913888379315</v>
      </c>
      <c r="HH13" s="251">
        <v>5.4212317421982847</v>
      </c>
      <c r="HI13" s="137">
        <f t="shared" ca="1" si="155"/>
        <v>1.6158567693713466</v>
      </c>
      <c r="HJ13" s="251">
        <f t="shared" ca="1" si="156"/>
        <v>1.8838546940419096</v>
      </c>
      <c r="HK13" s="137">
        <f t="shared" ca="1" si="157"/>
        <v>0.69835058852279996</v>
      </c>
      <c r="HL13" s="251">
        <f t="shared" ca="1" si="158"/>
        <v>1.2122449633003196</v>
      </c>
      <c r="HM13" s="137">
        <f t="shared" ca="1" si="159"/>
        <v>0.78708266928482828</v>
      </c>
      <c r="HN13" s="251">
        <f t="shared" ca="1" si="160"/>
        <v>1.3009770440623478</v>
      </c>
      <c r="HO13" s="137">
        <f t="shared" ca="1" si="161"/>
        <v>0.24324428634472059</v>
      </c>
      <c r="HP13" s="251">
        <f t="shared" ca="1" si="162"/>
        <v>0.74671110326517542</v>
      </c>
      <c r="JN13" s="143">
        <f t="shared" si="79"/>
        <v>19.256537586931817</v>
      </c>
      <c r="JO13" s="143">
        <f t="shared" si="80"/>
        <v>3270.2913888379312</v>
      </c>
      <c r="JP13" s="143">
        <f t="shared" si="81"/>
        <v>4728.2317634275805</v>
      </c>
      <c r="JQ13" s="143">
        <f t="shared" si="82"/>
        <v>0.91758754518296992</v>
      </c>
      <c r="JR13" s="143">
        <f t="shared" ca="1" si="83"/>
        <v>1.5166898964822337</v>
      </c>
      <c r="JS13" s="143">
        <f t="shared" si="84"/>
        <v>78.151650390625008</v>
      </c>
      <c r="JT13" s="143">
        <f t="shared" ca="1" si="85"/>
        <v>239.90986987655697</v>
      </c>
      <c r="JU13" s="143">
        <f t="shared" si="166"/>
        <v>0.25487456005681619</v>
      </c>
      <c r="JV13" s="143">
        <f t="shared" si="86"/>
        <v>0.36850110502798111</v>
      </c>
      <c r="JW13" s="143">
        <f t="shared" ca="1" si="87"/>
        <v>0.19213334786717629</v>
      </c>
      <c r="JX13" s="143">
        <f t="shared" ca="1" si="88"/>
        <v>0.31757918796657719</v>
      </c>
      <c r="JY13" s="143">
        <f t="shared" si="89"/>
        <v>0.59154905389545898</v>
      </c>
      <c r="JZ13" s="143">
        <f t="shared" si="90"/>
        <v>0.82398561126524839</v>
      </c>
      <c r="KA13" s="143">
        <f t="shared" si="91"/>
        <v>0.24044769816680775</v>
      </c>
      <c r="KB13" s="143">
        <f t="shared" si="92"/>
        <v>0.34764255191318977</v>
      </c>
      <c r="KC13" s="143">
        <f t="shared" ca="1" si="93"/>
        <v>0.41917122838759002</v>
      </c>
      <c r="KD13" s="143">
        <f t="shared" ca="1" si="94"/>
        <v>0.64349175503519551</v>
      </c>
      <c r="KE13" s="143">
        <f t="shared" ca="1" si="95"/>
        <v>0.57396178254886265</v>
      </c>
      <c r="KF13" s="143">
        <f t="shared" ca="1" si="96"/>
        <v>0.30904541014191195</v>
      </c>
      <c r="KG13" s="142">
        <f t="shared" si="97"/>
        <v>0.13760294419062816</v>
      </c>
      <c r="KH13" s="142">
        <f t="shared" ca="1" si="98"/>
        <v>0.14271890674317017</v>
      </c>
      <c r="KI13" s="142">
        <f t="shared" ca="1" si="99"/>
        <v>478.89019563091063</v>
      </c>
      <c r="KJ13" s="142">
        <f t="shared" ca="1" si="100"/>
        <v>377.91574139415223</v>
      </c>
    </row>
    <row r="14" spans="1:341" x14ac:dyDescent="0.3">
      <c r="A14" s="195">
        <v>41289</v>
      </c>
      <c r="B14" s="196">
        <v>10</v>
      </c>
      <c r="C14" s="177">
        <v>24</v>
      </c>
      <c r="D14" s="177">
        <v>4.2</v>
      </c>
      <c r="E14" s="177">
        <v>50016</v>
      </c>
      <c r="F14" s="177">
        <v>300</v>
      </c>
      <c r="G14" s="177">
        <v>11.7</v>
      </c>
      <c r="H14" s="177">
        <v>0.85</v>
      </c>
      <c r="I14" s="177">
        <v>1.4</v>
      </c>
      <c r="J14" s="177">
        <v>1.33</v>
      </c>
      <c r="K14" s="177">
        <v>0.91</v>
      </c>
      <c r="L14" s="166">
        <v>27920.710222125053</v>
      </c>
      <c r="M14" s="169">
        <v>19</v>
      </c>
      <c r="N14" s="167">
        <v>78284.25888800621</v>
      </c>
      <c r="O14" s="176">
        <v>17</v>
      </c>
      <c r="P14" s="177">
        <v>2</v>
      </c>
      <c r="Q14" s="177">
        <v>5</v>
      </c>
      <c r="R14" s="168">
        <v>403.49813842773437</v>
      </c>
      <c r="S14" s="169">
        <v>80.884065882652067</v>
      </c>
      <c r="T14" s="166">
        <v>180</v>
      </c>
      <c r="U14" s="170">
        <v>3.2402894496917725</v>
      </c>
      <c r="V14" s="176">
        <v>17</v>
      </c>
      <c r="W14" s="177">
        <v>1250</v>
      </c>
      <c r="X14" s="169">
        <v>92029.298903629184</v>
      </c>
      <c r="Y14" s="169">
        <v>10074.73493941687</v>
      </c>
      <c r="Z14" s="169">
        <v>320.26629638671875</v>
      </c>
      <c r="AA14" s="169">
        <v>11.082705497741699</v>
      </c>
      <c r="AB14" s="169">
        <v>14.347799301147461</v>
      </c>
      <c r="AC14" s="212">
        <v>37</v>
      </c>
      <c r="AD14" s="212">
        <v>29.437896728515625</v>
      </c>
      <c r="AE14" s="254">
        <v>20</v>
      </c>
      <c r="AF14" s="254">
        <v>10</v>
      </c>
      <c r="AG14" s="217">
        <v>5000000</v>
      </c>
      <c r="AH14" s="218">
        <v>300000</v>
      </c>
      <c r="AI14" s="219">
        <v>5000000</v>
      </c>
      <c r="AJ14" s="225">
        <f t="shared" si="0"/>
        <v>300000</v>
      </c>
      <c r="AK14" s="220">
        <v>2750000</v>
      </c>
      <c r="AL14" s="226">
        <f t="shared" si="1"/>
        <v>300000</v>
      </c>
      <c r="AM14" s="221">
        <v>14.407</v>
      </c>
      <c r="BM14" s="197">
        <f t="shared" si="2"/>
        <v>7.562103271484375</v>
      </c>
      <c r="BN14" s="196">
        <f t="shared" si="3"/>
        <v>180</v>
      </c>
      <c r="BO14" s="197">
        <f t="shared" si="4"/>
        <v>3.2650938034057617</v>
      </c>
      <c r="BP14" s="196">
        <f t="shared" si="5"/>
        <v>12.691707159133658</v>
      </c>
      <c r="BQ14" s="115">
        <f t="shared" si="6"/>
        <v>659.74492511188635</v>
      </c>
      <c r="BR14" s="184">
        <f t="shared" si="7"/>
        <v>1.0041987768</v>
      </c>
      <c r="BS14" s="115">
        <f t="shared" si="8"/>
        <v>6863.8528613899143</v>
      </c>
      <c r="BT14" s="196">
        <v>900</v>
      </c>
      <c r="BU14" s="115">
        <f t="shared" si="101"/>
        <v>1.1850729520000001</v>
      </c>
      <c r="BV14" s="115">
        <f t="shared" si="102"/>
        <v>1.075138386589374</v>
      </c>
      <c r="BW14" s="115">
        <f t="shared" si="103"/>
        <v>483.95502858609393</v>
      </c>
      <c r="BX14" s="115">
        <f t="shared" si="9"/>
        <v>1164.2318366584186</v>
      </c>
      <c r="BY14" s="115"/>
      <c r="BZ14" s="115">
        <f t="shared" si="10"/>
        <v>680.27680807232468</v>
      </c>
      <c r="CA14" s="115">
        <f t="shared" si="11"/>
        <v>11028.747659993927</v>
      </c>
      <c r="CB14" s="115">
        <f t="shared" si="12"/>
        <v>3261.8441203335919</v>
      </c>
      <c r="CC14" s="115">
        <f t="shared" si="13"/>
        <v>1163.3629259218771</v>
      </c>
      <c r="CD14" s="129">
        <f t="shared" si="104"/>
        <v>0.22985933202069522</v>
      </c>
      <c r="CE14" s="115">
        <f t="shared" si="14"/>
        <v>18.839193905101101</v>
      </c>
      <c r="CF14" s="115">
        <f t="shared" si="15"/>
        <v>22.467796078514464</v>
      </c>
      <c r="CG14" s="115">
        <f t="shared" si="16"/>
        <v>0.02</v>
      </c>
      <c r="CH14" s="115">
        <f t="shared" si="17"/>
        <v>0.05</v>
      </c>
      <c r="CI14" s="136">
        <v>30</v>
      </c>
      <c r="CJ14" s="115">
        <f t="shared" si="18"/>
        <v>165</v>
      </c>
      <c r="CK14" s="115">
        <f t="shared" si="19"/>
        <v>453</v>
      </c>
      <c r="CL14" s="115">
        <f t="shared" si="20"/>
        <v>676.49813842773437</v>
      </c>
      <c r="CM14" s="115">
        <f t="shared" ca="1" si="21"/>
        <v>2816.5993052117487</v>
      </c>
      <c r="CN14" s="115">
        <f t="shared" ca="1" si="22"/>
        <v>125.80344444444444</v>
      </c>
      <c r="CO14" s="115">
        <f t="shared" ca="1" si="23"/>
        <v>690.58718083896258</v>
      </c>
      <c r="CP14" s="115">
        <f t="shared" ca="1" si="24"/>
        <v>2790.6388281929471</v>
      </c>
      <c r="CQ14" s="115">
        <f t="shared" si="105"/>
        <v>1.072449112508886</v>
      </c>
      <c r="CR14" s="115">
        <f t="shared" ca="1" si="25"/>
        <v>533.76831153235821</v>
      </c>
      <c r="CS14" s="115">
        <f t="shared" ca="1" si="26"/>
        <v>26.410335002061981</v>
      </c>
      <c r="CT14" s="115">
        <f t="shared" si="106"/>
        <v>1.1251976291206238</v>
      </c>
      <c r="CU14" s="115">
        <f t="shared" ca="1" si="107"/>
        <v>1.0205536122002237</v>
      </c>
      <c r="CV14" s="115">
        <f t="shared" si="108"/>
        <v>207.27680807232468</v>
      </c>
      <c r="CW14" s="115">
        <f t="shared" si="27"/>
        <v>473</v>
      </c>
      <c r="CX14" s="115">
        <f t="shared" si="28"/>
        <v>438</v>
      </c>
      <c r="CY14" s="115">
        <f t="shared" ca="1" si="109"/>
        <v>446.58966499793803</v>
      </c>
      <c r="CZ14" s="115">
        <f t="shared" ca="1" si="29"/>
        <v>229.90847342979635</v>
      </c>
      <c r="DA14" s="115">
        <v>0.21890000000000001</v>
      </c>
      <c r="DB14" s="115">
        <v>2.7E-2</v>
      </c>
      <c r="DC14" s="115">
        <v>1.06</v>
      </c>
      <c r="DD14" s="138">
        <f t="shared" si="30"/>
        <v>12.186443011367917</v>
      </c>
      <c r="DE14" s="138">
        <f t="shared" si="110"/>
        <v>12.186443011367917</v>
      </c>
      <c r="DF14" s="115">
        <f t="shared" si="31"/>
        <v>676.49813842773437</v>
      </c>
      <c r="DG14" s="115">
        <v>680.27680807232468</v>
      </c>
      <c r="DH14" s="115">
        <f t="shared" si="111"/>
        <v>1.1251976291206238</v>
      </c>
      <c r="DI14" s="115">
        <f t="shared" si="112"/>
        <v>1.1262141003234984</v>
      </c>
      <c r="DJ14" s="138">
        <f t="shared" si="32"/>
        <v>2.9007955625241437</v>
      </c>
      <c r="DK14" s="138">
        <f t="shared" si="33"/>
        <v>2.949284311747153</v>
      </c>
      <c r="DL14" s="115">
        <f t="shared" si="113"/>
        <v>676.49813842773437</v>
      </c>
      <c r="DM14" s="115">
        <f t="shared" si="163"/>
        <v>680.27680807232468</v>
      </c>
      <c r="DN14" s="115">
        <f t="shared" si="34"/>
        <v>12.807086315125783</v>
      </c>
      <c r="DO14" s="115">
        <f t="shared" si="114"/>
        <v>1.1251976291206238</v>
      </c>
      <c r="DP14" s="115">
        <f t="shared" si="115"/>
        <v>1.1262141003234984</v>
      </c>
      <c r="DQ14" s="115">
        <v>298.14999999999998</v>
      </c>
      <c r="DR14" s="138">
        <f t="shared" si="116"/>
        <v>1.9319298446410795</v>
      </c>
      <c r="DS14" s="138">
        <f t="shared" si="117"/>
        <v>1.9642233516236038</v>
      </c>
      <c r="DT14" s="115">
        <f t="shared" si="35"/>
        <v>676.49813842773437</v>
      </c>
      <c r="DU14" s="139">
        <f t="shared" si="118"/>
        <v>6.4227730168949115</v>
      </c>
      <c r="DV14" s="115">
        <f t="shared" si="119"/>
        <v>1.1251976291206238</v>
      </c>
      <c r="DW14" s="115">
        <v>298.14999999999998</v>
      </c>
      <c r="DX14" s="138">
        <f t="shared" si="36"/>
        <v>0.96886571788306408</v>
      </c>
      <c r="DY14" s="138">
        <f t="shared" si="37"/>
        <v>0.98506096012354905</v>
      </c>
      <c r="DZ14" s="138">
        <f t="shared" si="38"/>
        <v>3.2618441203335919</v>
      </c>
      <c r="EA14" s="138">
        <f t="shared" si="39"/>
        <v>4.1648947986040135</v>
      </c>
      <c r="EB14" s="115">
        <f t="shared" si="120"/>
        <v>22.467796078514464</v>
      </c>
      <c r="EC14" s="115">
        <v>30</v>
      </c>
      <c r="ED14" s="198">
        <f t="shared" ca="1" si="40"/>
        <v>125.80344444444444</v>
      </c>
      <c r="EE14" s="198">
        <v>104.83</v>
      </c>
      <c r="EF14" s="198">
        <f t="shared" ca="1" si="41"/>
        <v>0.42491111111111107</v>
      </c>
      <c r="EG14" s="199">
        <v>0.36720000000000003</v>
      </c>
      <c r="EH14" s="138">
        <f t="shared" ca="1" si="121"/>
        <v>8.4633416799581335E-2</v>
      </c>
      <c r="EI14" s="138">
        <f t="shared" ca="1" si="122"/>
        <v>8.4633416799581335E-2</v>
      </c>
      <c r="EJ14" s="115">
        <f t="shared" si="42"/>
        <v>12.807086315125783</v>
      </c>
      <c r="EK14" s="115">
        <v>435</v>
      </c>
      <c r="EL14" s="115">
        <f t="shared" ca="1" si="43"/>
        <v>446.58966499793803</v>
      </c>
      <c r="EM14" s="115">
        <f t="shared" ca="1" si="123"/>
        <v>1.0624811585970286</v>
      </c>
      <c r="EN14" s="115">
        <f t="shared" ca="1" si="124"/>
        <v>1.066063950086495</v>
      </c>
      <c r="EO14" s="115">
        <v>298.14999999999998</v>
      </c>
      <c r="EP14" s="138">
        <f t="shared" ca="1" si="125"/>
        <v>0.32962350800499535</v>
      </c>
      <c r="EQ14" s="138">
        <f t="shared" ca="1" si="126"/>
        <v>0.38193523880880287</v>
      </c>
      <c r="ER14" s="115">
        <f t="shared" si="44"/>
        <v>0.90008040269215905</v>
      </c>
      <c r="ES14" s="115">
        <f t="shared" si="45"/>
        <v>453</v>
      </c>
      <c r="ET14" s="115">
        <f t="shared" ca="1" si="46"/>
        <v>2816.5993052117487</v>
      </c>
      <c r="EU14" s="115">
        <f t="shared" ca="1" si="47"/>
        <v>6.5855309782608691</v>
      </c>
      <c r="EV14" s="138">
        <f t="shared" ca="1" si="48"/>
        <v>0.77206549897170063</v>
      </c>
      <c r="EW14" s="138">
        <f t="shared" ca="1" si="49"/>
        <v>1.1153111546395875</v>
      </c>
      <c r="EX14" s="115">
        <v>21.47</v>
      </c>
      <c r="EY14" s="115">
        <f t="shared" ca="1" si="50"/>
        <v>123.28531313069661</v>
      </c>
      <c r="EZ14" s="115">
        <f t="shared" ca="1" si="51"/>
        <v>0.41707289326985675</v>
      </c>
      <c r="FA14" s="138">
        <f t="shared" ca="1" si="127"/>
        <v>7.6985193749141159E-2</v>
      </c>
      <c r="FB14" s="138">
        <f t="shared" ca="1" si="128"/>
        <v>7.6985193749141159E-2</v>
      </c>
      <c r="FC14" s="115">
        <f t="shared" si="52"/>
        <v>21.47</v>
      </c>
      <c r="FD14" s="115">
        <v>37</v>
      </c>
      <c r="FE14" s="115">
        <f t="shared" ca="1" si="53"/>
        <v>154.93355555555553</v>
      </c>
      <c r="FF14" s="115">
        <f t="shared" ca="1" si="54"/>
        <v>0.52252222222222222</v>
      </c>
      <c r="FG14" s="138">
        <f t="shared" ca="1" si="55"/>
        <v>8.1462225449999703E-2</v>
      </c>
      <c r="FH14" s="138">
        <f t="shared" ca="1" si="129"/>
        <v>8.1462225449999703E-2</v>
      </c>
      <c r="FI14" s="115">
        <f t="shared" si="56"/>
        <v>89.674562988281252</v>
      </c>
      <c r="FJ14" s="115">
        <f t="shared" ca="1" si="57"/>
        <v>46.466798364215435</v>
      </c>
      <c r="FK14" s="115">
        <f t="shared" ca="1" si="58"/>
        <v>0.16111994888517592</v>
      </c>
      <c r="FL14" s="138">
        <f t="shared" ca="1" si="59"/>
        <v>0.27615869974143131</v>
      </c>
      <c r="FM14" s="138">
        <f t="shared" ca="1" si="60"/>
        <v>0.6722112743134091</v>
      </c>
      <c r="FN14" s="115">
        <f t="shared" si="130"/>
        <v>89.674562988281252</v>
      </c>
      <c r="FO14" s="115">
        <f t="shared" ca="1" si="61"/>
        <v>60.131578719668923</v>
      </c>
      <c r="FP14" s="115">
        <f t="shared" ca="1" si="62"/>
        <v>0.20664986803266738</v>
      </c>
      <c r="FQ14" s="138">
        <f t="shared" ca="1" si="63"/>
        <v>0.28423254557917038</v>
      </c>
      <c r="FR14" s="138">
        <f t="shared" ca="1" si="64"/>
        <v>0.69186421374381002</v>
      </c>
      <c r="FS14" s="139">
        <f t="shared" si="131"/>
        <v>6.0238033285101817</v>
      </c>
      <c r="FT14" s="249">
        <f t="shared" si="132"/>
        <v>5.0722639010167505</v>
      </c>
      <c r="FU14" s="139">
        <f t="shared" ca="1" si="133"/>
        <v>0.91487425446396475</v>
      </c>
      <c r="FV14" s="249">
        <f t="shared" ca="1" si="134"/>
        <v>0.55161037497479493</v>
      </c>
      <c r="FW14" s="139">
        <f t="shared" ca="1" si="135"/>
        <v>0.77566231310858114</v>
      </c>
      <c r="FX14" s="249">
        <f t="shared" ca="1" si="136"/>
        <v>1.1304870623691299</v>
      </c>
      <c r="FY14" s="249">
        <f t="shared" si="65"/>
        <v>0.15000000000000002</v>
      </c>
      <c r="FZ14" s="139">
        <f t="shared" si="66"/>
        <v>1050000</v>
      </c>
      <c r="GA14" s="139">
        <f t="shared" si="137"/>
        <v>3.3757716049382713E-2</v>
      </c>
      <c r="GB14" s="139">
        <f t="shared" si="138"/>
        <v>121.52777777777777</v>
      </c>
      <c r="GC14" s="139">
        <f t="shared" si="67"/>
        <v>1050000</v>
      </c>
      <c r="GD14" s="139">
        <f t="shared" si="139"/>
        <v>6.7515432098765427E-2</v>
      </c>
      <c r="GE14" s="139">
        <f t="shared" si="140"/>
        <v>243.05555555555554</v>
      </c>
      <c r="GF14" s="139">
        <f t="shared" si="141"/>
        <v>4.5814043209876545E-2</v>
      </c>
      <c r="GG14" s="139">
        <f t="shared" si="68"/>
        <v>712500</v>
      </c>
      <c r="GH14" s="139">
        <f t="shared" si="142"/>
        <v>164.93055555555554</v>
      </c>
      <c r="GI14" s="137">
        <f t="shared" si="69"/>
        <v>51.3623682384126</v>
      </c>
      <c r="GJ14" s="137">
        <f t="shared" si="143"/>
        <v>0.18490452565828389</v>
      </c>
      <c r="GK14" s="251">
        <f t="shared" si="70"/>
        <v>40.058025352942778</v>
      </c>
      <c r="GL14" s="137">
        <f t="shared" si="164"/>
        <v>0.14420889127059286</v>
      </c>
      <c r="GM14" s="137">
        <f t="shared" ca="1" si="71"/>
        <v>9.3564307891902381</v>
      </c>
      <c r="GN14" s="137">
        <f t="shared" ca="1" si="144"/>
        <v>3.3683150841084586E-2</v>
      </c>
      <c r="GO14" s="137">
        <f t="shared" ca="1" si="145"/>
        <v>0.11843583277455903</v>
      </c>
      <c r="GP14" s="137">
        <f t="shared" ca="1" si="72"/>
        <v>10.24499850116438</v>
      </c>
      <c r="GQ14" s="137">
        <f t="shared" ca="1" si="146"/>
        <v>3.6881994604191476E-2</v>
      </c>
      <c r="GR14" s="137">
        <f t="shared" ca="1" si="147"/>
        <v>0.12968352533119365</v>
      </c>
      <c r="GS14" s="140">
        <f t="shared" si="73"/>
        <v>8.6784934553846199E-2</v>
      </c>
      <c r="GT14" s="140">
        <f t="shared" si="74"/>
        <v>7.307610602194832E-2</v>
      </c>
      <c r="GU14" s="140">
        <f t="shared" si="148"/>
        <v>312.42576439384629</v>
      </c>
      <c r="GV14" s="140">
        <f t="shared" si="149"/>
        <v>263.07398167901397</v>
      </c>
      <c r="GW14" s="141">
        <f t="shared" ca="1" si="75"/>
        <v>8.7782751937855175E-3</v>
      </c>
      <c r="GX14" s="141">
        <f t="shared" ca="1" si="76"/>
        <v>5.2927357477264049E-3</v>
      </c>
      <c r="GY14" s="141">
        <f t="shared" ca="1" si="150"/>
        <v>31.601790697627862</v>
      </c>
      <c r="GZ14" s="141">
        <f t="shared" ca="1" si="165"/>
        <v>19.053848691815059</v>
      </c>
      <c r="HA14" s="141">
        <f t="shared" ca="1" si="77"/>
        <v>1.734747338794734E-2</v>
      </c>
      <c r="HB14" s="141">
        <f t="shared" ca="1" si="78"/>
        <v>1.6652369989322249E-2</v>
      </c>
      <c r="HC14" s="141">
        <f t="shared" ca="1" si="151"/>
        <v>62.450904196610423</v>
      </c>
      <c r="HD14" s="141">
        <f t="shared" ca="1" si="152"/>
        <v>59.9485319615601</v>
      </c>
      <c r="HE14" s="137">
        <f t="shared" si="153"/>
        <v>9.2856474488437737</v>
      </c>
      <c r="HF14" s="250">
        <f t="shared" si="154"/>
        <v>9.237158699620764</v>
      </c>
      <c r="HG14" s="137">
        <v>3.2618441203335919</v>
      </c>
      <c r="HH14" s="251">
        <v>4.2510060931232969</v>
      </c>
      <c r="HI14" s="137">
        <f t="shared" ca="1" si="155"/>
        <v>1.5499946058322767</v>
      </c>
      <c r="HJ14" s="251">
        <f t="shared" ca="1" si="156"/>
        <v>1.582288112814801</v>
      </c>
      <c r="HK14" s="137">
        <f t="shared" ca="1" si="157"/>
        <v>0.68743208217211926</v>
      </c>
      <c r="HL14" s="251">
        <f t="shared" ca="1" si="158"/>
        <v>1.0306777378400063</v>
      </c>
      <c r="HM14" s="137">
        <f t="shared" ca="1" si="159"/>
        <v>0.77206549897170063</v>
      </c>
      <c r="HN14" s="251">
        <f t="shared" ca="1" si="160"/>
        <v>1.1153111546395875</v>
      </c>
      <c r="HO14" s="137">
        <f t="shared" ca="1" si="161"/>
        <v>0.27615869974143131</v>
      </c>
      <c r="HP14" s="251">
        <f t="shared" ca="1" si="162"/>
        <v>0.6722112743134091</v>
      </c>
      <c r="JN14" s="143">
        <f t="shared" si="79"/>
        <v>19.229859332020695</v>
      </c>
      <c r="JO14" s="143">
        <f t="shared" si="80"/>
        <v>3261.8441203335919</v>
      </c>
      <c r="JP14" s="143">
        <f t="shared" si="81"/>
        <v>4164.894798604013</v>
      </c>
      <c r="JQ14" s="143">
        <f t="shared" si="82"/>
        <v>0.90008040269215905</v>
      </c>
      <c r="JR14" s="143">
        <f t="shared" ca="1" si="83"/>
        <v>1.3002390529457561</v>
      </c>
      <c r="JS14" s="143">
        <f t="shared" si="84"/>
        <v>89.674562988281252</v>
      </c>
      <c r="JT14" s="143">
        <f t="shared" ca="1" si="85"/>
        <v>218.28119960113986</v>
      </c>
      <c r="JU14" s="143">
        <f t="shared" si="166"/>
        <v>0.28372140782411126</v>
      </c>
      <c r="JV14" s="143">
        <f t="shared" si="86"/>
        <v>0.36227047403430129</v>
      </c>
      <c r="JW14" s="143">
        <f t="shared" ca="1" si="87"/>
        <v>0.2103053104009639</v>
      </c>
      <c r="JX14" s="143">
        <f t="shared" ca="1" si="88"/>
        <v>0.3038030567128519</v>
      </c>
      <c r="JY14" s="143">
        <f t="shared" si="89"/>
        <v>0.5704696454719681</v>
      </c>
      <c r="JZ14" s="143">
        <f t="shared" si="90"/>
        <v>0.72792990911363253</v>
      </c>
      <c r="KA14" s="143">
        <f t="shared" si="91"/>
        <v>0.26766170549444462</v>
      </c>
      <c r="KB14" s="143">
        <f t="shared" si="92"/>
        <v>0.34176459814556731</v>
      </c>
      <c r="KC14" s="143">
        <f t="shared" ca="1" si="93"/>
        <v>0.42902662646602818</v>
      </c>
      <c r="KD14" s="143">
        <f t="shared" ca="1" si="94"/>
        <v>0.65138436514351927</v>
      </c>
      <c r="KE14" s="143">
        <f t="shared" ca="1" si="95"/>
        <v>0.60271187239280677</v>
      </c>
      <c r="KF14" s="143">
        <f t="shared" ca="1" si="96"/>
        <v>0.35768817556184268</v>
      </c>
      <c r="KG14" s="142">
        <f t="shared" si="97"/>
        <v>0.14420889127059286</v>
      </c>
      <c r="KH14" s="142">
        <f t="shared" ca="1" si="98"/>
        <v>0.12968352533119365</v>
      </c>
      <c r="KI14" s="142">
        <f t="shared" ca="1" si="99"/>
        <v>406.47845928808454</v>
      </c>
      <c r="KJ14" s="142">
        <f t="shared" ca="1" si="100"/>
        <v>342.07636233238912</v>
      </c>
    </row>
    <row r="15" spans="1:341" x14ac:dyDescent="0.3">
      <c r="A15" s="195">
        <v>41290</v>
      </c>
      <c r="B15" s="196">
        <v>11</v>
      </c>
      <c r="C15" s="177">
        <v>24</v>
      </c>
      <c r="D15" s="177">
        <v>4.2</v>
      </c>
      <c r="E15" s="177">
        <v>50016</v>
      </c>
      <c r="F15" s="177">
        <v>300</v>
      </c>
      <c r="G15" s="177">
        <v>11.7</v>
      </c>
      <c r="H15" s="177">
        <v>0.85</v>
      </c>
      <c r="I15" s="177">
        <v>1.4</v>
      </c>
      <c r="J15" s="177">
        <v>1.33</v>
      </c>
      <c r="K15" s="177">
        <v>0.91</v>
      </c>
      <c r="L15" s="166">
        <v>28257.674872256815</v>
      </c>
      <c r="M15" s="169">
        <v>19</v>
      </c>
      <c r="N15" s="167">
        <v>79704.449443779886</v>
      </c>
      <c r="O15" s="176">
        <v>17</v>
      </c>
      <c r="P15" s="177">
        <v>2</v>
      </c>
      <c r="Q15" s="177">
        <v>5</v>
      </c>
      <c r="R15" s="168">
        <v>400.0545654296875</v>
      </c>
      <c r="S15" s="169">
        <v>78.510348733485444</v>
      </c>
      <c r="T15" s="166">
        <v>180</v>
      </c>
      <c r="U15" s="170">
        <v>3.1114490032196045</v>
      </c>
      <c r="V15" s="176">
        <v>17</v>
      </c>
      <c r="W15" s="177">
        <v>1250</v>
      </c>
      <c r="X15" s="169">
        <v>89326.085243940353</v>
      </c>
      <c r="Y15" s="169">
        <v>10583.85187461786</v>
      </c>
      <c r="Z15" s="169">
        <v>292.52822875976562</v>
      </c>
      <c r="AA15" s="169">
        <v>11.334616661071777</v>
      </c>
      <c r="AB15" s="169">
        <v>14.910124778747559</v>
      </c>
      <c r="AC15" s="212">
        <v>37</v>
      </c>
      <c r="AD15" s="212">
        <v>29.614946365356445</v>
      </c>
      <c r="AE15" s="254">
        <v>20</v>
      </c>
      <c r="AF15" s="254">
        <v>10</v>
      </c>
      <c r="AG15" s="217">
        <v>5000000</v>
      </c>
      <c r="AH15" s="218">
        <v>300000</v>
      </c>
      <c r="AI15" s="219">
        <v>5000000</v>
      </c>
      <c r="AJ15" s="225">
        <f t="shared" si="0"/>
        <v>300000</v>
      </c>
      <c r="AK15" s="220">
        <v>2750000</v>
      </c>
      <c r="AL15" s="226">
        <f t="shared" si="1"/>
        <v>300000</v>
      </c>
      <c r="AM15" s="221">
        <v>14.407</v>
      </c>
      <c r="BM15" s="197">
        <f t="shared" si="2"/>
        <v>7.3850536346435547</v>
      </c>
      <c r="BN15" s="196">
        <f t="shared" si="3"/>
        <v>180</v>
      </c>
      <c r="BO15" s="197">
        <f t="shared" si="4"/>
        <v>3.5755081176757812</v>
      </c>
      <c r="BP15" s="196">
        <f t="shared" si="5"/>
        <v>12.693538056320488</v>
      </c>
      <c r="BQ15" s="115">
        <f t="shared" si="6"/>
        <v>659.74492511188635</v>
      </c>
      <c r="BR15" s="184">
        <f t="shared" si="7"/>
        <v>1.0041987768</v>
      </c>
      <c r="BS15" s="115">
        <f t="shared" si="8"/>
        <v>6863.8528613899143</v>
      </c>
      <c r="BT15" s="196">
        <v>900</v>
      </c>
      <c r="BU15" s="115">
        <f t="shared" si="101"/>
        <v>1.1850729520000001</v>
      </c>
      <c r="BV15" s="115">
        <f t="shared" si="102"/>
        <v>1.0757553433802087</v>
      </c>
      <c r="BW15" s="115">
        <f t="shared" si="103"/>
        <v>486.45530582661559</v>
      </c>
      <c r="BX15" s="115">
        <f t="shared" si="9"/>
        <v>1170.2466566147109</v>
      </c>
      <c r="BY15" s="115"/>
      <c r="BZ15" s="115">
        <f t="shared" si="10"/>
        <v>683.79135078809531</v>
      </c>
      <c r="CA15" s="115">
        <f t="shared" si="11"/>
        <v>11087.325162792438</v>
      </c>
      <c r="CB15" s="115">
        <f t="shared" si="12"/>
        <v>3321.0187268241621</v>
      </c>
      <c r="CC15" s="115">
        <f t="shared" si="13"/>
        <v>1177.4031196773674</v>
      </c>
      <c r="CD15" s="129">
        <f t="shared" si="104"/>
        <v>0.23263341866740589</v>
      </c>
      <c r="CE15" s="115">
        <f t="shared" si="14"/>
        <v>17.207542868221509</v>
      </c>
      <c r="CF15" s="115">
        <f t="shared" si="15"/>
        <v>21.808430203745957</v>
      </c>
      <c r="CG15" s="115">
        <f t="shared" si="16"/>
        <v>0.02</v>
      </c>
      <c r="CH15" s="115">
        <f t="shared" si="17"/>
        <v>0.05</v>
      </c>
      <c r="CI15" s="136">
        <v>30</v>
      </c>
      <c r="CJ15" s="115">
        <f t="shared" si="18"/>
        <v>165</v>
      </c>
      <c r="CK15" s="115">
        <f t="shared" si="19"/>
        <v>453</v>
      </c>
      <c r="CL15" s="115">
        <f t="shared" si="20"/>
        <v>673.0545654296875</v>
      </c>
      <c r="CM15" s="115">
        <f t="shared" ca="1" si="21"/>
        <v>2816.5993052117487</v>
      </c>
      <c r="CN15" s="115">
        <f t="shared" ca="1" si="22"/>
        <v>125.80344444444444</v>
      </c>
      <c r="CO15" s="115">
        <f t="shared" ca="1" si="23"/>
        <v>690.58718083896258</v>
      </c>
      <c r="CP15" s="115">
        <f t="shared" ca="1" si="24"/>
        <v>2790.6388281929471</v>
      </c>
      <c r="CQ15" s="115">
        <f t="shared" si="105"/>
        <v>1.072449112508886</v>
      </c>
      <c r="CR15" s="115">
        <f t="shared" ca="1" si="25"/>
        <v>512.54460647814892</v>
      </c>
      <c r="CS15" s="115">
        <f t="shared" ca="1" si="26"/>
        <v>25.356548875297968</v>
      </c>
      <c r="CT15" s="115">
        <f t="shared" si="106"/>
        <v>1.1242718656095503</v>
      </c>
      <c r="CU15" s="115">
        <f t="shared" ca="1" si="107"/>
        <v>1.0197690245179014</v>
      </c>
      <c r="CV15" s="115">
        <f t="shared" si="108"/>
        <v>210.79135078809531</v>
      </c>
      <c r="CW15" s="115">
        <f t="shared" si="27"/>
        <v>473</v>
      </c>
      <c r="CX15" s="115">
        <f t="shared" si="28"/>
        <v>438</v>
      </c>
      <c r="CY15" s="115">
        <f t="shared" ca="1" si="109"/>
        <v>447.64345112470204</v>
      </c>
      <c r="CZ15" s="115">
        <f t="shared" ca="1" si="29"/>
        <v>225.41111430498546</v>
      </c>
      <c r="DA15" s="115">
        <v>0.21890000000000001</v>
      </c>
      <c r="DB15" s="115">
        <v>2.7E-2</v>
      </c>
      <c r="DC15" s="115">
        <v>1.06</v>
      </c>
      <c r="DD15" s="138">
        <f t="shared" si="30"/>
        <v>12.333516652153111</v>
      </c>
      <c r="DE15" s="138">
        <f t="shared" si="110"/>
        <v>12.333516652153111</v>
      </c>
      <c r="DF15" s="115">
        <f t="shared" si="31"/>
        <v>673.0545654296875</v>
      </c>
      <c r="DG15" s="115">
        <v>683.79135078809531</v>
      </c>
      <c r="DH15" s="115">
        <f t="shared" si="111"/>
        <v>1.1242718656095503</v>
      </c>
      <c r="DI15" s="115">
        <f t="shared" si="112"/>
        <v>1.1271600702791789</v>
      </c>
      <c r="DJ15" s="138">
        <f t="shared" si="32"/>
        <v>2.8572676155209362</v>
      </c>
      <c r="DK15" s="138">
        <f t="shared" si="33"/>
        <v>2.9950705269008546</v>
      </c>
      <c r="DL15" s="115">
        <f t="shared" si="113"/>
        <v>673.0545654296875</v>
      </c>
      <c r="DM15" s="115">
        <f t="shared" si="163"/>
        <v>683.79135078809531</v>
      </c>
      <c r="DN15" s="115">
        <f t="shared" si="34"/>
        <v>12.808933856832493</v>
      </c>
      <c r="DO15" s="115">
        <f t="shared" si="114"/>
        <v>1.1242718656095503</v>
      </c>
      <c r="DP15" s="115">
        <f t="shared" si="115"/>
        <v>1.1271600702791789</v>
      </c>
      <c r="DQ15" s="115">
        <v>298.14999999999998</v>
      </c>
      <c r="DR15" s="138">
        <f t="shared" si="116"/>
        <v>1.9029402319369435</v>
      </c>
      <c r="DS15" s="138">
        <f t="shared" si="117"/>
        <v>1.9947169709159691</v>
      </c>
      <c r="DT15" s="115">
        <f t="shared" si="35"/>
        <v>673.0545654296875</v>
      </c>
      <c r="DU15" s="139">
        <f t="shared" si="118"/>
        <v>6.423699561834912</v>
      </c>
      <c r="DV15" s="115">
        <f t="shared" si="119"/>
        <v>1.1242718656095503</v>
      </c>
      <c r="DW15" s="115">
        <v>298.14999999999998</v>
      </c>
      <c r="DX15" s="138">
        <f t="shared" si="36"/>
        <v>0.95432738358399238</v>
      </c>
      <c r="DY15" s="138">
        <f t="shared" si="37"/>
        <v>1.0003535559848851</v>
      </c>
      <c r="DZ15" s="138">
        <f t="shared" si="38"/>
        <v>3.3210187268241622</v>
      </c>
      <c r="EA15" s="138">
        <f t="shared" si="39"/>
        <v>4.2234723014025244</v>
      </c>
      <c r="EB15" s="115">
        <f t="shared" si="120"/>
        <v>21.808430203745957</v>
      </c>
      <c r="EC15" s="115">
        <v>30</v>
      </c>
      <c r="ED15" s="198">
        <f t="shared" ca="1" si="40"/>
        <v>125.80344444444444</v>
      </c>
      <c r="EE15" s="198">
        <v>104.83</v>
      </c>
      <c r="EF15" s="198">
        <f t="shared" ca="1" si="41"/>
        <v>0.42491111111111107</v>
      </c>
      <c r="EG15" s="199">
        <v>0.36720000000000003</v>
      </c>
      <c r="EH15" s="138">
        <f t="shared" ca="1" si="121"/>
        <v>8.2149666871119575E-2</v>
      </c>
      <c r="EI15" s="138">
        <f t="shared" ca="1" si="122"/>
        <v>8.2149666871119575E-2</v>
      </c>
      <c r="EJ15" s="115">
        <f t="shared" si="42"/>
        <v>12.808933856832493</v>
      </c>
      <c r="EK15" s="115">
        <v>435</v>
      </c>
      <c r="EL15" s="115">
        <f t="shared" ca="1" si="43"/>
        <v>447.64345112470204</v>
      </c>
      <c r="EM15" s="115">
        <f t="shared" ca="1" si="123"/>
        <v>1.0624037755450726</v>
      </c>
      <c r="EN15" s="115">
        <f t="shared" ca="1" si="124"/>
        <v>1.0663159455942506</v>
      </c>
      <c r="EO15" s="115">
        <v>298.14999999999998</v>
      </c>
      <c r="EP15" s="138">
        <f t="shared" ca="1" si="125"/>
        <v>0.32964704853759935</v>
      </c>
      <c r="EQ15" s="138">
        <f t="shared" ca="1" si="126"/>
        <v>0.38687596658829776</v>
      </c>
      <c r="ER15" s="115">
        <f t="shared" si="44"/>
        <v>0.86429138978322351</v>
      </c>
      <c r="ES15" s="115">
        <f t="shared" si="45"/>
        <v>453</v>
      </c>
      <c r="ET15" s="115">
        <f t="shared" ca="1" si="46"/>
        <v>2816.5993052117487</v>
      </c>
      <c r="EU15" s="115">
        <f t="shared" ca="1" si="47"/>
        <v>6.5855309782608691</v>
      </c>
      <c r="EV15" s="138">
        <f t="shared" ca="1" si="48"/>
        <v>0.74136661693116779</v>
      </c>
      <c r="EW15" s="138">
        <f t="shared" ca="1" si="49"/>
        <v>1.1334524390760954</v>
      </c>
      <c r="EX15" s="115">
        <v>21.47</v>
      </c>
      <c r="EY15" s="115">
        <f t="shared" ca="1" si="50"/>
        <v>124.02628553305732</v>
      </c>
      <c r="EZ15" s="115">
        <f t="shared" ca="1" si="51"/>
        <v>0.41954175209469263</v>
      </c>
      <c r="FA15" s="138">
        <f t="shared" ca="1" si="127"/>
        <v>7.7090013375150743E-2</v>
      </c>
      <c r="FB15" s="138">
        <f t="shared" ca="1" si="128"/>
        <v>7.7090013375150743E-2</v>
      </c>
      <c r="FC15" s="115">
        <f t="shared" si="52"/>
        <v>21.47</v>
      </c>
      <c r="FD15" s="115">
        <v>37</v>
      </c>
      <c r="FE15" s="115">
        <f t="shared" ca="1" si="53"/>
        <v>154.93355555555553</v>
      </c>
      <c r="FF15" s="115">
        <f t="shared" ca="1" si="54"/>
        <v>0.52252222222222222</v>
      </c>
      <c r="FG15" s="138">
        <f t="shared" ca="1" si="55"/>
        <v>8.1462225449999703E-2</v>
      </c>
      <c r="FH15" s="138">
        <f t="shared" ca="1" si="129"/>
        <v>8.1462225449999703E-2</v>
      </c>
      <c r="FI15" s="115">
        <f t="shared" si="56"/>
        <v>81.907904052734381</v>
      </c>
      <c r="FJ15" s="115">
        <f t="shared" ca="1" si="57"/>
        <v>47.521074572881069</v>
      </c>
      <c r="FK15" s="115">
        <f t="shared" ca="1" si="58"/>
        <v>0.16463271010716757</v>
      </c>
      <c r="FL15" s="138">
        <f t="shared" ca="1" si="59"/>
        <v>0.2528097332117839</v>
      </c>
      <c r="FM15" s="138">
        <f t="shared" ca="1" si="60"/>
        <v>0.63080497536876179</v>
      </c>
      <c r="FN15" s="115">
        <f t="shared" si="130"/>
        <v>81.907904052734381</v>
      </c>
      <c r="FO15" s="115">
        <f t="shared" ca="1" si="61"/>
        <v>62.484973324033952</v>
      </c>
      <c r="FP15" s="115">
        <f t="shared" ca="1" si="62"/>
        <v>0.21449118441475762</v>
      </c>
      <c r="FQ15" s="138">
        <f t="shared" ca="1" si="63"/>
        <v>0.26088541322563669</v>
      </c>
      <c r="FR15" s="138">
        <f t="shared" ca="1" si="64"/>
        <v>0.6509552245996999</v>
      </c>
      <c r="FS15" s="139">
        <f t="shared" si="131"/>
        <v>6.1552303098080134</v>
      </c>
      <c r="FT15" s="249">
        <f t="shared" si="132"/>
        <v>5.1149738238497333</v>
      </c>
      <c r="FU15" s="139">
        <f t="shared" ca="1" si="133"/>
        <v>0.91407623333929577</v>
      </c>
      <c r="FV15" s="249">
        <f t="shared" ca="1" si="134"/>
        <v>0.55653823212269571</v>
      </c>
      <c r="FW15" s="139">
        <f t="shared" ca="1" si="135"/>
        <v>0.74507008487017157</v>
      </c>
      <c r="FX15" s="249">
        <f t="shared" ca="1" si="136"/>
        <v>1.1492304762321846</v>
      </c>
      <c r="FY15" s="249">
        <f t="shared" si="65"/>
        <v>0.15000000000000002</v>
      </c>
      <c r="FZ15" s="139">
        <f t="shared" si="66"/>
        <v>1050000</v>
      </c>
      <c r="GA15" s="139">
        <f t="shared" si="137"/>
        <v>3.3757716049382713E-2</v>
      </c>
      <c r="GB15" s="139">
        <f t="shared" si="138"/>
        <v>121.52777777777777</v>
      </c>
      <c r="GC15" s="139">
        <f t="shared" si="67"/>
        <v>1050000</v>
      </c>
      <c r="GD15" s="139">
        <f t="shared" si="139"/>
        <v>6.7515432098765427E-2</v>
      </c>
      <c r="GE15" s="139">
        <f t="shared" si="140"/>
        <v>243.05555555555554</v>
      </c>
      <c r="GF15" s="139">
        <f t="shared" si="141"/>
        <v>4.5814043209876545E-2</v>
      </c>
      <c r="GG15" s="139">
        <f t="shared" si="68"/>
        <v>712500</v>
      </c>
      <c r="GH15" s="139">
        <f t="shared" si="142"/>
        <v>164.93055555555554</v>
      </c>
      <c r="GI15" s="137">
        <f t="shared" si="69"/>
        <v>51.274036651693471</v>
      </c>
      <c r="GJ15" s="137">
        <f t="shared" si="143"/>
        <v>0.18458653194609503</v>
      </c>
      <c r="GK15" s="251">
        <f t="shared" si="70"/>
        <v>39.84794911997038</v>
      </c>
      <c r="GL15" s="137">
        <f t="shared" si="164"/>
        <v>0.14345261683189223</v>
      </c>
      <c r="GM15" s="137">
        <f t="shared" ca="1" si="71"/>
        <v>9.2961147513971376</v>
      </c>
      <c r="GN15" s="137">
        <f t="shared" ca="1" si="144"/>
        <v>3.3466013105029432E-2</v>
      </c>
      <c r="GO15" s="137">
        <f t="shared" ca="1" si="145"/>
        <v>0.1176723386252793</v>
      </c>
      <c r="GP15" s="137">
        <f t="shared" ca="1" si="72"/>
        <v>10.304375289336193</v>
      </c>
      <c r="GQ15" s="137">
        <f t="shared" ca="1" si="146"/>
        <v>3.7095751041609996E-2</v>
      </c>
      <c r="GR15" s="137">
        <f t="shared" ca="1" si="147"/>
        <v>0.13043513024476089</v>
      </c>
      <c r="GS15" s="140">
        <f t="shared" si="73"/>
        <v>8.867840307340405E-2</v>
      </c>
      <c r="GT15" s="140">
        <f t="shared" si="74"/>
        <v>7.3691427880203109E-2</v>
      </c>
      <c r="GU15" s="140">
        <f t="shared" si="148"/>
        <v>319.24225106425456</v>
      </c>
      <c r="GV15" s="140">
        <f t="shared" si="149"/>
        <v>265.28914036873118</v>
      </c>
      <c r="GW15" s="141">
        <f t="shared" ca="1" si="75"/>
        <v>8.7706181316170098E-3</v>
      </c>
      <c r="GX15" s="141">
        <f t="shared" ca="1" si="76"/>
        <v>5.3400188425876561E-3</v>
      </c>
      <c r="GY15" s="141">
        <f t="shared" ca="1" si="150"/>
        <v>31.574225273821234</v>
      </c>
      <c r="GZ15" s="141">
        <f t="shared" ca="1" si="165"/>
        <v>19.224067833315562</v>
      </c>
      <c r="HA15" s="141">
        <f t="shared" ca="1" si="77"/>
        <v>1.706185344647659E-2</v>
      </c>
      <c r="HB15" s="141">
        <f t="shared" ca="1" si="78"/>
        <v>1.6864373432212358E-2</v>
      </c>
      <c r="HC15" s="141">
        <f t="shared" ca="1" si="151"/>
        <v>61.422672407315723</v>
      </c>
      <c r="HD15" s="141">
        <f t="shared" ca="1" si="152"/>
        <v>60.711744355964491</v>
      </c>
      <c r="HE15" s="137">
        <f t="shared" si="153"/>
        <v>9.4762490366321757</v>
      </c>
      <c r="HF15" s="250">
        <f t="shared" si="154"/>
        <v>9.3384461252522577</v>
      </c>
      <c r="HG15" s="137">
        <v>3.3210187268241622</v>
      </c>
      <c r="HH15" s="251">
        <v>4.4681859041650478</v>
      </c>
      <c r="HI15" s="137">
        <f t="shared" ca="1" si="155"/>
        <v>1.5160642653486458</v>
      </c>
      <c r="HJ15" s="251">
        <f t="shared" ca="1" si="156"/>
        <v>1.6078410043276714</v>
      </c>
      <c r="HK15" s="137">
        <f t="shared" ca="1" si="157"/>
        <v>0.65921695006004821</v>
      </c>
      <c r="HL15" s="251">
        <f t="shared" ca="1" si="158"/>
        <v>1.0513027722049757</v>
      </c>
      <c r="HM15" s="137">
        <f t="shared" ca="1" si="159"/>
        <v>0.74136661693116779</v>
      </c>
      <c r="HN15" s="251">
        <f t="shared" ca="1" si="160"/>
        <v>1.1334524390760954</v>
      </c>
      <c r="HO15" s="137">
        <f t="shared" ca="1" si="161"/>
        <v>0.2528097332117839</v>
      </c>
      <c r="HP15" s="251">
        <f t="shared" ca="1" si="162"/>
        <v>0.63080497536876179</v>
      </c>
      <c r="JN15" s="143">
        <f t="shared" si="79"/>
        <v>19.232633418667405</v>
      </c>
      <c r="JO15" s="143">
        <f t="shared" si="80"/>
        <v>3321.0187268241621</v>
      </c>
      <c r="JP15" s="143">
        <f t="shared" si="81"/>
        <v>4223.472301402524</v>
      </c>
      <c r="JQ15" s="143">
        <f t="shared" si="82"/>
        <v>0.86429138978322351</v>
      </c>
      <c r="JR15" s="143">
        <f t="shared" ca="1" si="83"/>
        <v>1.3213883137568048</v>
      </c>
      <c r="JS15" s="143">
        <f t="shared" si="84"/>
        <v>81.907904052734381</v>
      </c>
      <c r="JT15" s="143">
        <f t="shared" ca="1" si="85"/>
        <v>204.374700064292</v>
      </c>
      <c r="JU15" s="143">
        <f t="shared" si="166"/>
        <v>0.28542385352997129</v>
      </c>
      <c r="JV15" s="143">
        <f t="shared" si="86"/>
        <v>0.36298492682580746</v>
      </c>
      <c r="JW15" s="143">
        <f t="shared" ca="1" si="87"/>
        <v>0.19953929768093454</v>
      </c>
      <c r="JX15" s="143">
        <f t="shared" ca="1" si="88"/>
        <v>0.30506944672555292</v>
      </c>
      <c r="JY15" s="143">
        <f t="shared" si="89"/>
        <v>0.61743390925392194</v>
      </c>
      <c r="JZ15" s="143">
        <f t="shared" si="90"/>
        <v>0.90005799497975281</v>
      </c>
      <c r="KA15" s="143">
        <f t="shared" si="91"/>
        <v>0.26926778634902954</v>
      </c>
      <c r="KB15" s="143">
        <f t="shared" si="92"/>
        <v>0.34243861021302596</v>
      </c>
      <c r="KC15" s="143">
        <f t="shared" ca="1" si="93"/>
        <v>0.41900451677779954</v>
      </c>
      <c r="KD15" s="143">
        <f t="shared" ca="1" si="94"/>
        <v>0.65385990864475085</v>
      </c>
      <c r="KE15" s="143">
        <f t="shared" ca="1" si="95"/>
        <v>0.55653413731496859</v>
      </c>
      <c r="KF15" s="143">
        <f t="shared" ca="1" si="96"/>
        <v>0.34100501349557805</v>
      </c>
      <c r="KG15" s="142">
        <f t="shared" si="97"/>
        <v>0.14345261683189223</v>
      </c>
      <c r="KH15" s="142">
        <f t="shared" ca="1" si="98"/>
        <v>0.13043513024476089</v>
      </c>
      <c r="KI15" s="142">
        <f t="shared" ca="1" si="99"/>
        <v>412.2391487453915</v>
      </c>
      <c r="KJ15" s="142">
        <f t="shared" ca="1" si="100"/>
        <v>345.22495255801124</v>
      </c>
    </row>
    <row r="16" spans="1:341" x14ac:dyDescent="0.3">
      <c r="A16" s="195">
        <v>41291</v>
      </c>
      <c r="B16" s="196">
        <v>12</v>
      </c>
      <c r="C16" s="177">
        <v>24</v>
      </c>
      <c r="D16" s="177">
        <v>4.2</v>
      </c>
      <c r="E16" s="177">
        <v>50016</v>
      </c>
      <c r="F16" s="177">
        <v>300</v>
      </c>
      <c r="G16" s="177">
        <v>11.7</v>
      </c>
      <c r="H16" s="177">
        <v>0.85</v>
      </c>
      <c r="I16" s="177">
        <v>1.4</v>
      </c>
      <c r="J16" s="177">
        <v>1.33</v>
      </c>
      <c r="K16" s="177">
        <v>0.91</v>
      </c>
      <c r="L16" s="166">
        <v>27991.936917051673</v>
      </c>
      <c r="M16" s="169">
        <v>19</v>
      </c>
      <c r="N16" s="167">
        <v>79189.958333060145</v>
      </c>
      <c r="O16" s="176">
        <v>17</v>
      </c>
      <c r="P16" s="177">
        <v>2</v>
      </c>
      <c r="Q16" s="177">
        <v>5</v>
      </c>
      <c r="R16" s="168">
        <v>399.123291015625</v>
      </c>
      <c r="S16" s="169">
        <v>80.999189077410847</v>
      </c>
      <c r="T16" s="166">
        <v>180</v>
      </c>
      <c r="U16" s="170">
        <v>3.2243609428405762</v>
      </c>
      <c r="V16" s="176">
        <v>17</v>
      </c>
      <c r="W16" s="177">
        <v>1250</v>
      </c>
      <c r="X16" s="169">
        <v>90489.243863418698</v>
      </c>
      <c r="Y16" s="169">
        <v>10818.354586550966</v>
      </c>
      <c r="Z16" s="169">
        <v>312.4951171875</v>
      </c>
      <c r="AA16" s="169">
        <v>11.161495208740234</v>
      </c>
      <c r="AB16" s="169">
        <v>14.555149078369141</v>
      </c>
      <c r="AC16" s="212">
        <v>37</v>
      </c>
      <c r="AD16" s="212">
        <v>29.032192230224609</v>
      </c>
      <c r="AE16" s="254">
        <v>20</v>
      </c>
      <c r="AF16" s="254">
        <v>10</v>
      </c>
      <c r="AG16" s="217">
        <v>5000000</v>
      </c>
      <c r="AH16" s="218">
        <v>300000</v>
      </c>
      <c r="AI16" s="219">
        <v>5000000</v>
      </c>
      <c r="AJ16" s="225">
        <f t="shared" si="0"/>
        <v>300000</v>
      </c>
      <c r="AK16" s="220">
        <v>2750000</v>
      </c>
      <c r="AL16" s="226">
        <f t="shared" si="1"/>
        <v>300000</v>
      </c>
      <c r="AM16" s="221">
        <v>14.407</v>
      </c>
      <c r="BM16" s="197">
        <f t="shared" si="2"/>
        <v>7.9678077697753906</v>
      </c>
      <c r="BN16" s="196">
        <f t="shared" si="3"/>
        <v>180</v>
      </c>
      <c r="BO16" s="197">
        <f t="shared" si="4"/>
        <v>3.3936538696289062</v>
      </c>
      <c r="BP16" s="196">
        <f t="shared" si="5"/>
        <v>12.692094169329883</v>
      </c>
      <c r="BQ16" s="115">
        <f t="shared" si="6"/>
        <v>659.74492511188635</v>
      </c>
      <c r="BR16" s="184">
        <f t="shared" si="7"/>
        <v>1.0041987768</v>
      </c>
      <c r="BS16" s="115">
        <f t="shared" si="8"/>
        <v>6863.8528613899143</v>
      </c>
      <c r="BT16" s="196">
        <v>900</v>
      </c>
      <c r="BU16" s="115">
        <f t="shared" si="101"/>
        <v>1.1850729520000001</v>
      </c>
      <c r="BV16" s="115">
        <f t="shared" si="102"/>
        <v>1.0752687150386397</v>
      </c>
      <c r="BW16" s="115">
        <f t="shared" si="103"/>
        <v>484.48359068830109</v>
      </c>
      <c r="BX16" s="115">
        <f t="shared" si="9"/>
        <v>1165.5033780015028</v>
      </c>
      <c r="BY16" s="115"/>
      <c r="BZ16" s="115">
        <f t="shared" si="10"/>
        <v>681.01978731320173</v>
      </c>
      <c r="CA16" s="115">
        <f t="shared" si="11"/>
        <v>11041.129617329099</v>
      </c>
      <c r="CB16" s="115">
        <f t="shared" si="12"/>
        <v>3299.5815972108394</v>
      </c>
      <c r="CC16" s="115">
        <f t="shared" si="13"/>
        <v>1166.330704877153</v>
      </c>
      <c r="CD16" s="129">
        <f t="shared" si="104"/>
        <v>0.23044571110588416</v>
      </c>
      <c r="CE16" s="115">
        <f t="shared" si="14"/>
        <v>18.382065716911764</v>
      </c>
      <c r="CF16" s="115">
        <f t="shared" si="15"/>
        <v>22.499774743725236</v>
      </c>
      <c r="CG16" s="115">
        <f t="shared" si="16"/>
        <v>0.02</v>
      </c>
      <c r="CH16" s="115">
        <f t="shared" si="17"/>
        <v>0.05</v>
      </c>
      <c r="CI16" s="136">
        <v>30</v>
      </c>
      <c r="CJ16" s="115">
        <f t="shared" si="18"/>
        <v>165</v>
      </c>
      <c r="CK16" s="115">
        <f t="shared" si="19"/>
        <v>453</v>
      </c>
      <c r="CL16" s="115">
        <f t="shared" si="20"/>
        <v>672.123291015625</v>
      </c>
      <c r="CM16" s="115">
        <f t="shared" ca="1" si="21"/>
        <v>2816.5993052117487</v>
      </c>
      <c r="CN16" s="115">
        <f t="shared" ca="1" si="22"/>
        <v>125.80344444444444</v>
      </c>
      <c r="CO16" s="115">
        <f t="shared" ca="1" si="23"/>
        <v>690.58718083896258</v>
      </c>
      <c r="CP16" s="115">
        <f t="shared" ca="1" si="24"/>
        <v>2790.6388281929471</v>
      </c>
      <c r="CQ16" s="115">
        <f t="shared" si="105"/>
        <v>1.072449112508886</v>
      </c>
      <c r="CR16" s="115">
        <f t="shared" ca="1" si="25"/>
        <v>531.14443106143187</v>
      </c>
      <c r="CS16" s="115">
        <f t="shared" ca="1" si="26"/>
        <v>26.279706606561042</v>
      </c>
      <c r="CT16" s="115">
        <f t="shared" si="106"/>
        <v>1.1240216003652885</v>
      </c>
      <c r="CU16" s="115">
        <f t="shared" ca="1" si="107"/>
        <v>1.0197676153932966</v>
      </c>
      <c r="CV16" s="115">
        <f t="shared" si="108"/>
        <v>208.01978731320173</v>
      </c>
      <c r="CW16" s="115">
        <f t="shared" si="27"/>
        <v>473</v>
      </c>
      <c r="CX16" s="115">
        <f t="shared" si="28"/>
        <v>438</v>
      </c>
      <c r="CY16" s="115">
        <f t="shared" ca="1" si="109"/>
        <v>446.72029339343896</v>
      </c>
      <c r="CZ16" s="115">
        <f t="shared" ca="1" si="29"/>
        <v>225.40299762218604</v>
      </c>
      <c r="DA16" s="115">
        <v>0.21890000000000001</v>
      </c>
      <c r="DB16" s="115">
        <v>2.7E-2</v>
      </c>
      <c r="DC16" s="115">
        <v>1.06</v>
      </c>
      <c r="DD16" s="138">
        <f t="shared" si="30"/>
        <v>12.217531047872217</v>
      </c>
      <c r="DE16" s="138">
        <f t="shared" si="110"/>
        <v>12.217531047872217</v>
      </c>
      <c r="DF16" s="115">
        <f t="shared" si="31"/>
        <v>672.123291015625</v>
      </c>
      <c r="DG16" s="115">
        <v>681.01978731320173</v>
      </c>
      <c r="DH16" s="115">
        <f t="shared" si="111"/>
        <v>1.1240216003652885</v>
      </c>
      <c r="DI16" s="115">
        <f t="shared" si="112"/>
        <v>1.1264140366865134</v>
      </c>
      <c r="DJ16" s="138">
        <f t="shared" si="32"/>
        <v>2.845100065637344</v>
      </c>
      <c r="DK16" s="138">
        <f t="shared" si="33"/>
        <v>2.9589420592748517</v>
      </c>
      <c r="DL16" s="115">
        <f t="shared" si="113"/>
        <v>672.123291015625</v>
      </c>
      <c r="DM16" s="115">
        <f t="shared" si="163"/>
        <v>681.01978731320173</v>
      </c>
      <c r="DN16" s="115">
        <f t="shared" si="34"/>
        <v>12.807476843596518</v>
      </c>
      <c r="DO16" s="115">
        <f t="shared" si="114"/>
        <v>1.1240216003652885</v>
      </c>
      <c r="DP16" s="115">
        <f t="shared" si="115"/>
        <v>1.1264140366865134</v>
      </c>
      <c r="DQ16" s="115">
        <v>298.14999999999998</v>
      </c>
      <c r="DR16" s="138">
        <f t="shared" si="116"/>
        <v>1.8948366437144715</v>
      </c>
      <c r="DS16" s="138">
        <f t="shared" si="117"/>
        <v>1.9706554114770516</v>
      </c>
      <c r="DT16" s="115">
        <f t="shared" si="35"/>
        <v>672.123291015625</v>
      </c>
      <c r="DU16" s="139">
        <f t="shared" si="118"/>
        <v>6.4229688675093648</v>
      </c>
      <c r="DV16" s="115">
        <f t="shared" si="119"/>
        <v>1.1240216003652885</v>
      </c>
      <c r="DW16" s="115">
        <v>298.14999999999998</v>
      </c>
      <c r="DX16" s="138">
        <f t="shared" si="36"/>
        <v>0.95026342192287283</v>
      </c>
      <c r="DY16" s="138">
        <f t="shared" si="37"/>
        <v>0.98828664779780051</v>
      </c>
      <c r="DZ16" s="138">
        <f t="shared" si="38"/>
        <v>3.2995815972108393</v>
      </c>
      <c r="EA16" s="138">
        <f t="shared" si="39"/>
        <v>4.177276755939185</v>
      </c>
      <c r="EB16" s="115">
        <f t="shared" si="120"/>
        <v>22.499774743725236</v>
      </c>
      <c r="EC16" s="115">
        <v>30</v>
      </c>
      <c r="ED16" s="198">
        <f t="shared" ca="1" si="40"/>
        <v>125.80344444444444</v>
      </c>
      <c r="EE16" s="198">
        <v>104.83</v>
      </c>
      <c r="EF16" s="198">
        <f t="shared" ca="1" si="41"/>
        <v>0.42491111111111107</v>
      </c>
      <c r="EG16" s="199">
        <v>0.36720000000000003</v>
      </c>
      <c r="EH16" s="138">
        <f t="shared" ca="1" si="121"/>
        <v>8.4753876487394936E-2</v>
      </c>
      <c r="EI16" s="138">
        <f t="shared" ca="1" si="122"/>
        <v>8.4753876487394936E-2</v>
      </c>
      <c r="EJ16" s="115">
        <f t="shared" si="42"/>
        <v>12.807476843596518</v>
      </c>
      <c r="EK16" s="115">
        <v>435</v>
      </c>
      <c r="EL16" s="115">
        <f t="shared" ca="1" si="43"/>
        <v>446.72029339343896</v>
      </c>
      <c r="EM16" s="115">
        <f t="shared" ca="1" si="123"/>
        <v>1.0624715859151923</v>
      </c>
      <c r="EN16" s="115">
        <f t="shared" ca="1" si="124"/>
        <v>1.0660951747894729</v>
      </c>
      <c r="EO16" s="115">
        <v>298.14999999999998</v>
      </c>
      <c r="EP16" s="138">
        <f t="shared" ca="1" si="125"/>
        <v>0.32963058935223816</v>
      </c>
      <c r="EQ16" s="138">
        <f t="shared" ca="1" si="126"/>
        <v>0.38255108774221042</v>
      </c>
      <c r="ER16" s="115">
        <f t="shared" si="44"/>
        <v>0.89565581745571565</v>
      </c>
      <c r="ES16" s="115">
        <f t="shared" si="45"/>
        <v>453</v>
      </c>
      <c r="ET16" s="115">
        <f t="shared" ca="1" si="46"/>
        <v>2816.5993052117487</v>
      </c>
      <c r="EU16" s="115">
        <f t="shared" ca="1" si="47"/>
        <v>6.5855309782608691</v>
      </c>
      <c r="EV16" s="138">
        <f t="shared" ca="1" si="48"/>
        <v>0.76827020513117272</v>
      </c>
      <c r="EW16" s="138">
        <f t="shared" ca="1" si="49"/>
        <v>1.1181731849014578</v>
      </c>
      <c r="EX16" s="115">
        <v>21.47</v>
      </c>
      <c r="EY16" s="115">
        <f t="shared" ca="1" si="50"/>
        <v>121.58739472707113</v>
      </c>
      <c r="EZ16" s="115">
        <f t="shared" ca="1" si="51"/>
        <v>0.41141556943257646</v>
      </c>
      <c r="FA16" s="138">
        <f t="shared" ca="1" si="127"/>
        <v>7.6745002385069622E-2</v>
      </c>
      <c r="FB16" s="138">
        <f t="shared" ca="1" si="128"/>
        <v>7.6745002385069622E-2</v>
      </c>
      <c r="FC16" s="115">
        <f t="shared" si="52"/>
        <v>21.47</v>
      </c>
      <c r="FD16" s="115">
        <v>37</v>
      </c>
      <c r="FE16" s="115">
        <f t="shared" ca="1" si="53"/>
        <v>154.93355555555553</v>
      </c>
      <c r="FF16" s="115">
        <f t="shared" ca="1" si="54"/>
        <v>0.52252222222222222</v>
      </c>
      <c r="FG16" s="138">
        <f t="shared" ca="1" si="55"/>
        <v>8.1462225449999703E-2</v>
      </c>
      <c r="FH16" s="138">
        <f t="shared" ca="1" si="129"/>
        <v>8.1462225449999703E-2</v>
      </c>
      <c r="FI16" s="115">
        <f t="shared" si="56"/>
        <v>87.498632812500006</v>
      </c>
      <c r="FJ16" s="115">
        <f t="shared" ca="1" si="57"/>
        <v>46.796542059156636</v>
      </c>
      <c r="FK16" s="115">
        <f t="shared" ca="1" si="58"/>
        <v>0.16221862763298883</v>
      </c>
      <c r="FL16" s="138">
        <f t="shared" ca="1" si="59"/>
        <v>0.26964788184435245</v>
      </c>
      <c r="FM16" s="138">
        <f t="shared" ca="1" si="60"/>
        <v>0.6413317736311035</v>
      </c>
      <c r="FN16" s="115">
        <f t="shared" si="130"/>
        <v>87.498632812500006</v>
      </c>
      <c r="FO16" s="115">
        <f t="shared" ca="1" si="61"/>
        <v>60.999360576205788</v>
      </c>
      <c r="FP16" s="115">
        <f t="shared" ca="1" si="62"/>
        <v>0.20954124548170303</v>
      </c>
      <c r="FQ16" s="138">
        <f t="shared" ca="1" si="63"/>
        <v>0.27783600438025274</v>
      </c>
      <c r="FR16" s="138">
        <f t="shared" ca="1" si="64"/>
        <v>0.66080644227207186</v>
      </c>
      <c r="FS16" s="139">
        <f t="shared" si="131"/>
        <v>6.0728493850240355</v>
      </c>
      <c r="FT16" s="249">
        <f t="shared" si="132"/>
        <v>5.0813122326581803</v>
      </c>
      <c r="FU16" s="139">
        <f t="shared" ca="1" si="133"/>
        <v>0.8816897257184555</v>
      </c>
      <c r="FV16" s="249">
        <f t="shared" ca="1" si="134"/>
        <v>0.5546850153207783</v>
      </c>
      <c r="FW16" s="139">
        <f t="shared" ca="1" si="135"/>
        <v>0.77174110460214296</v>
      </c>
      <c r="FX16" s="249">
        <f t="shared" ca="1" si="136"/>
        <v>1.132930630477496</v>
      </c>
      <c r="FY16" s="249">
        <f t="shared" si="65"/>
        <v>0.15000000000000002</v>
      </c>
      <c r="FZ16" s="139">
        <f t="shared" si="66"/>
        <v>1050000</v>
      </c>
      <c r="GA16" s="139">
        <f t="shared" si="137"/>
        <v>3.3757716049382713E-2</v>
      </c>
      <c r="GB16" s="139">
        <f t="shared" si="138"/>
        <v>121.52777777777777</v>
      </c>
      <c r="GC16" s="139">
        <f t="shared" si="67"/>
        <v>1050000</v>
      </c>
      <c r="GD16" s="139">
        <f t="shared" si="139"/>
        <v>6.7515432098765427E-2</v>
      </c>
      <c r="GE16" s="139">
        <f t="shared" si="140"/>
        <v>243.05555555555554</v>
      </c>
      <c r="GF16" s="139">
        <f t="shared" si="141"/>
        <v>4.5814043209876545E-2</v>
      </c>
      <c r="GG16" s="139">
        <f t="shared" si="68"/>
        <v>712500</v>
      </c>
      <c r="GH16" s="139">
        <f t="shared" si="142"/>
        <v>164.93055555555554</v>
      </c>
      <c r="GI16" s="137">
        <f t="shared" si="69"/>
        <v>51.153858220423125</v>
      </c>
      <c r="GJ16" s="137">
        <f t="shared" si="143"/>
        <v>0.18415388959352177</v>
      </c>
      <c r="GK16" s="251">
        <f t="shared" si="70"/>
        <v>40.013199357801511</v>
      </c>
      <c r="GL16" s="137">
        <f t="shared" si="164"/>
        <v>0.1440475176880843</v>
      </c>
      <c r="GM16" s="137">
        <f t="shared" ca="1" si="71"/>
        <v>9.3309267537750049</v>
      </c>
      <c r="GN16" s="137">
        <f t="shared" ca="1" si="144"/>
        <v>3.3591336313589751E-2</v>
      </c>
      <c r="GO16" s="137">
        <f t="shared" ca="1" si="145"/>
        <v>0.11811299688322698</v>
      </c>
      <c r="GP16" s="137">
        <f t="shared" ca="1" si="72"/>
        <v>10.236482500578905</v>
      </c>
      <c r="GQ16" s="137">
        <f t="shared" ca="1" si="146"/>
        <v>3.6851337002083762E-2</v>
      </c>
      <c r="GR16" s="137">
        <f t="shared" ca="1" si="147"/>
        <v>0.12957572785542815</v>
      </c>
      <c r="GS16" s="140">
        <f t="shared" si="73"/>
        <v>8.7491541090041272E-2</v>
      </c>
      <c r="GT16" s="140">
        <f t="shared" si="74"/>
        <v>7.3206465335906398E-2</v>
      </c>
      <c r="GU16" s="140">
        <f t="shared" si="148"/>
        <v>314.96954792414857</v>
      </c>
      <c r="GV16" s="140">
        <f t="shared" si="149"/>
        <v>263.54327520926302</v>
      </c>
      <c r="GW16" s="141">
        <f t="shared" ca="1" si="75"/>
        <v>8.4598675830315738E-3</v>
      </c>
      <c r="GX16" s="141">
        <f t="shared" ca="1" si="76"/>
        <v>5.3222371124738172E-3</v>
      </c>
      <c r="GY16" s="141">
        <f t="shared" ca="1" si="150"/>
        <v>30.455523298913665</v>
      </c>
      <c r="GZ16" s="141">
        <f t="shared" ca="1" si="165"/>
        <v>19.160053604905741</v>
      </c>
      <c r="HA16" s="141">
        <f t="shared" ca="1" si="77"/>
        <v>1.6956727572484565E-2</v>
      </c>
      <c r="HB16" s="141">
        <f t="shared" ca="1" si="78"/>
        <v>1.670527235639143E-2</v>
      </c>
      <c r="HC16" s="141">
        <f t="shared" ca="1" si="151"/>
        <v>61.044219260944431</v>
      </c>
      <c r="HD16" s="141">
        <f t="shared" ca="1" si="152"/>
        <v>60.138980483009149</v>
      </c>
      <c r="HE16" s="137">
        <f t="shared" si="153"/>
        <v>9.3724309822348744</v>
      </c>
      <c r="HF16" s="250">
        <f t="shared" si="154"/>
        <v>9.2585889885973653</v>
      </c>
      <c r="HG16" s="137">
        <v>3.2995815972108393</v>
      </c>
      <c r="HH16" s="251">
        <v>4.3800232898766556</v>
      </c>
      <c r="HI16" s="137">
        <f t="shared" ca="1" si="155"/>
        <v>1.512285555972261</v>
      </c>
      <c r="HJ16" s="251">
        <f t="shared" ca="1" si="156"/>
        <v>1.5881043237348411</v>
      </c>
      <c r="HK16" s="137">
        <f t="shared" ca="1" si="157"/>
        <v>0.68351632864377776</v>
      </c>
      <c r="HL16" s="251">
        <f t="shared" ca="1" si="158"/>
        <v>1.0334193084140628</v>
      </c>
      <c r="HM16" s="137">
        <f t="shared" ca="1" si="159"/>
        <v>0.76827020513117272</v>
      </c>
      <c r="HN16" s="251">
        <f t="shared" ca="1" si="160"/>
        <v>1.1181731849014578</v>
      </c>
      <c r="HO16" s="137">
        <f t="shared" ca="1" si="161"/>
        <v>0.26964788184435245</v>
      </c>
      <c r="HP16" s="251">
        <f t="shared" ca="1" si="162"/>
        <v>0.6413317736311035</v>
      </c>
      <c r="JN16" s="143">
        <f t="shared" si="79"/>
        <v>19.230445711105883</v>
      </c>
      <c r="JO16" s="143">
        <f t="shared" si="80"/>
        <v>3299.5815972108394</v>
      </c>
      <c r="JP16" s="143">
        <f t="shared" si="81"/>
        <v>4177.276755939185</v>
      </c>
      <c r="JQ16" s="143">
        <f t="shared" si="82"/>
        <v>0.89565581745571565</v>
      </c>
      <c r="JR16" s="143">
        <f t="shared" ca="1" si="83"/>
        <v>1.3035756317127809</v>
      </c>
      <c r="JS16" s="143">
        <f t="shared" si="84"/>
        <v>87.498632812500006</v>
      </c>
      <c r="JT16" s="143">
        <f t="shared" ca="1" si="85"/>
        <v>208.10715436781612</v>
      </c>
      <c r="JU16" s="143">
        <f t="shared" si="166"/>
        <v>0.28627359155781462</v>
      </c>
      <c r="JV16" s="143">
        <f t="shared" si="86"/>
        <v>0.36242292685367827</v>
      </c>
      <c r="JW16" s="143">
        <f t="shared" ca="1" si="87"/>
        <v>0.20874016577710386</v>
      </c>
      <c r="JX16" s="143">
        <f t="shared" ca="1" si="88"/>
        <v>0.3038093296146907</v>
      </c>
      <c r="JY16" s="143">
        <f t="shared" si="89"/>
        <v>0.62300176635061966</v>
      </c>
      <c r="JZ16" s="143">
        <f t="shared" si="90"/>
        <v>0.7090779672136005</v>
      </c>
      <c r="KA16" s="143">
        <f t="shared" si="91"/>
        <v>0.27006942599793832</v>
      </c>
      <c r="KB16" s="143">
        <f t="shared" si="92"/>
        <v>0.34190842156007384</v>
      </c>
      <c r="KC16" s="143">
        <f t="shared" ca="1" si="93"/>
        <v>0.4366941507406108</v>
      </c>
      <c r="KD16" s="143">
        <f t="shared" ca="1" si="94"/>
        <v>0.65072507704261395</v>
      </c>
      <c r="KE16" s="143">
        <f t="shared" ca="1" si="95"/>
        <v>0.57355316894638531</v>
      </c>
      <c r="KF16" s="143">
        <f t="shared" ca="1" si="96"/>
        <v>0.35098052748031977</v>
      </c>
      <c r="KG16" s="142">
        <f t="shared" si="97"/>
        <v>0.1440475176880843</v>
      </c>
      <c r="KH16" s="142">
        <f t="shared" ca="1" si="98"/>
        <v>0.12957572785542815</v>
      </c>
      <c r="KI16" s="142">
        <f t="shared" ca="1" si="99"/>
        <v>406.46929048400665</v>
      </c>
      <c r="KJ16" s="142">
        <f t="shared" ca="1" si="100"/>
        <v>342.84230929717791</v>
      </c>
    </row>
    <row r="17" spans="1:296" x14ac:dyDescent="0.3">
      <c r="A17" s="195">
        <v>41292</v>
      </c>
      <c r="B17" s="196">
        <v>13</v>
      </c>
      <c r="C17" s="177">
        <v>24</v>
      </c>
      <c r="D17" s="177">
        <v>4.2</v>
      </c>
      <c r="E17" s="177">
        <v>50016</v>
      </c>
      <c r="F17" s="177">
        <v>300</v>
      </c>
      <c r="G17" s="177">
        <v>11.7</v>
      </c>
      <c r="H17" s="177">
        <v>0.85</v>
      </c>
      <c r="I17" s="177">
        <v>1.4</v>
      </c>
      <c r="J17" s="177">
        <v>1.33</v>
      </c>
      <c r="K17" s="177">
        <v>0.91</v>
      </c>
      <c r="L17" s="166">
        <v>27838.234400719404</v>
      </c>
      <c r="M17" s="169">
        <v>19</v>
      </c>
      <c r="N17" s="167">
        <v>76807.379166297615</v>
      </c>
      <c r="O17" s="176">
        <v>17</v>
      </c>
      <c r="P17" s="177">
        <v>2</v>
      </c>
      <c r="Q17" s="177">
        <v>5</v>
      </c>
      <c r="R17" s="168">
        <v>403.57318115234375</v>
      </c>
      <c r="S17" s="169">
        <v>85.319385394337587</v>
      </c>
      <c r="T17" s="166">
        <v>180</v>
      </c>
      <c r="U17" s="170">
        <v>3.398554801940918</v>
      </c>
      <c r="V17" s="176">
        <v>17</v>
      </c>
      <c r="W17" s="177">
        <v>1250</v>
      </c>
      <c r="X17" s="169">
        <v>78457.867582395673</v>
      </c>
      <c r="Y17" s="169">
        <v>9291.461998026818</v>
      </c>
      <c r="Z17" s="169">
        <v>285.302001953125</v>
      </c>
      <c r="AA17" s="169">
        <v>11.104429244995117</v>
      </c>
      <c r="AB17" s="169">
        <v>14.034296989440918</v>
      </c>
      <c r="AC17" s="212">
        <v>37</v>
      </c>
      <c r="AD17" s="212">
        <v>28.241479873657227</v>
      </c>
      <c r="AE17" s="254">
        <v>20</v>
      </c>
      <c r="AF17" s="254">
        <v>10</v>
      </c>
      <c r="AG17" s="217">
        <v>5000000</v>
      </c>
      <c r="AH17" s="218">
        <v>300000</v>
      </c>
      <c r="AI17" s="219">
        <v>5000000</v>
      </c>
      <c r="AJ17" s="225">
        <f t="shared" si="0"/>
        <v>300000</v>
      </c>
      <c r="AK17" s="220">
        <v>2750000</v>
      </c>
      <c r="AL17" s="226">
        <f t="shared" si="1"/>
        <v>300000</v>
      </c>
      <c r="AM17" s="221">
        <v>14.407</v>
      </c>
      <c r="BK17" s="283"/>
      <c r="BM17" s="197">
        <f t="shared" si="2"/>
        <v>8.7585201263427734</v>
      </c>
      <c r="BN17" s="196">
        <f t="shared" si="3"/>
        <v>180</v>
      </c>
      <c r="BO17" s="197">
        <f t="shared" si="4"/>
        <v>2.9298677444458008</v>
      </c>
      <c r="BP17" s="196">
        <f t="shared" si="5"/>
        <v>12.691259026816713</v>
      </c>
      <c r="BQ17" s="115">
        <f t="shared" si="6"/>
        <v>659.74492511188635</v>
      </c>
      <c r="BR17" s="184">
        <f t="shared" si="7"/>
        <v>1.0041987768</v>
      </c>
      <c r="BS17" s="115">
        <f t="shared" si="8"/>
        <v>6863.8528613899143</v>
      </c>
      <c r="BT17" s="196">
        <v>900</v>
      </c>
      <c r="BU17" s="115">
        <f t="shared" si="101"/>
        <v>1.1850729520000001</v>
      </c>
      <c r="BV17" s="115">
        <f t="shared" si="102"/>
        <v>1.0749875301985108</v>
      </c>
      <c r="BW17" s="115">
        <f t="shared" si="103"/>
        <v>483.34294821026174</v>
      </c>
      <c r="BX17" s="115">
        <f t="shared" si="9"/>
        <v>1162.7593786446655</v>
      </c>
      <c r="BY17" s="115"/>
      <c r="BZ17" s="115">
        <f t="shared" si="10"/>
        <v>679.41643043440376</v>
      </c>
      <c r="CA17" s="115">
        <f t="shared" si="11"/>
        <v>11014.410168932747</v>
      </c>
      <c r="CB17" s="115">
        <f t="shared" si="12"/>
        <v>3200.3074652624005</v>
      </c>
      <c r="CC17" s="115">
        <f t="shared" si="13"/>
        <v>1159.9264333633084</v>
      </c>
      <c r="CD17" s="129">
        <f t="shared" si="104"/>
        <v>0.22918034366168355</v>
      </c>
      <c r="CE17" s="115">
        <f t="shared" si="14"/>
        <v>16.782470703125</v>
      </c>
      <c r="CF17" s="115">
        <f t="shared" si="15"/>
        <v>23.699829276204888</v>
      </c>
      <c r="CG17" s="115">
        <f t="shared" si="16"/>
        <v>0.02</v>
      </c>
      <c r="CH17" s="115">
        <f t="shared" si="17"/>
        <v>0.05</v>
      </c>
      <c r="CI17" s="136">
        <v>30</v>
      </c>
      <c r="CJ17" s="115">
        <f t="shared" si="18"/>
        <v>165</v>
      </c>
      <c r="CK17" s="115">
        <f t="shared" si="19"/>
        <v>453</v>
      </c>
      <c r="CL17" s="115">
        <f t="shared" si="20"/>
        <v>676.57318115234375</v>
      </c>
      <c r="CM17" s="115">
        <f t="shared" ca="1" si="21"/>
        <v>2816.5993052117487</v>
      </c>
      <c r="CN17" s="115">
        <f t="shared" ca="1" si="22"/>
        <v>125.80344444444444</v>
      </c>
      <c r="CO17" s="115">
        <f t="shared" ca="1" si="23"/>
        <v>690.58718083896258</v>
      </c>
      <c r="CP17" s="115">
        <f t="shared" ca="1" si="24"/>
        <v>2790.6388281929471</v>
      </c>
      <c r="CQ17" s="115">
        <f t="shared" si="105"/>
        <v>1.072449112508886</v>
      </c>
      <c r="CR17" s="115">
        <f t="shared" ca="1" si="25"/>
        <v>559.83913981966941</v>
      </c>
      <c r="CS17" s="115">
        <f t="shared" ca="1" si="26"/>
        <v>27.701272241995632</v>
      </c>
      <c r="CT17" s="115">
        <f t="shared" si="106"/>
        <v>1.1252178095894614</v>
      </c>
      <c r="CU17" s="115">
        <f t="shared" ca="1" si="107"/>
        <v>1.0207934140067003</v>
      </c>
      <c r="CV17" s="115">
        <f t="shared" si="108"/>
        <v>206.41643043440376</v>
      </c>
      <c r="CW17" s="115">
        <f t="shared" si="27"/>
        <v>473</v>
      </c>
      <c r="CX17" s="115">
        <f t="shared" si="28"/>
        <v>438</v>
      </c>
      <c r="CY17" s="115">
        <f t="shared" ca="1" si="109"/>
        <v>445.29872775800436</v>
      </c>
      <c r="CZ17" s="115">
        <f t="shared" ca="1" si="29"/>
        <v>231.27445339433939</v>
      </c>
      <c r="DA17" s="115">
        <v>0.21890000000000001</v>
      </c>
      <c r="DB17" s="115">
        <v>2.7E-2</v>
      </c>
      <c r="DC17" s="115">
        <v>1.06</v>
      </c>
      <c r="DD17" s="138">
        <f t="shared" si="30"/>
        <v>12.15044511269773</v>
      </c>
      <c r="DE17" s="138">
        <f t="shared" si="110"/>
        <v>12.15044511269773</v>
      </c>
      <c r="DF17" s="115">
        <f t="shared" si="31"/>
        <v>676.57318115234375</v>
      </c>
      <c r="DG17" s="115">
        <v>679.41643043440376</v>
      </c>
      <c r="DH17" s="115">
        <f t="shared" si="111"/>
        <v>1.1252178095894614</v>
      </c>
      <c r="DI17" s="115">
        <f t="shared" si="112"/>
        <v>1.1259826014993719</v>
      </c>
      <c r="DJ17" s="138">
        <f t="shared" si="32"/>
        <v>2.9016532962106529</v>
      </c>
      <c r="DK17" s="138">
        <f t="shared" si="33"/>
        <v>2.9381149874444636</v>
      </c>
      <c r="DL17" s="115">
        <f t="shared" si="113"/>
        <v>676.57318115234375</v>
      </c>
      <c r="DM17" s="115">
        <f t="shared" si="163"/>
        <v>679.41643043440376</v>
      </c>
      <c r="DN17" s="115">
        <f t="shared" si="34"/>
        <v>12.806634108878683</v>
      </c>
      <c r="DO17" s="115">
        <f t="shared" si="114"/>
        <v>1.1252178095894614</v>
      </c>
      <c r="DP17" s="115">
        <f t="shared" si="115"/>
        <v>1.1259826014993719</v>
      </c>
      <c r="DQ17" s="115">
        <v>298.14999999999998</v>
      </c>
      <c r="DR17" s="138">
        <f t="shared" si="116"/>
        <v>1.9325010952762953</v>
      </c>
      <c r="DS17" s="138">
        <f t="shared" si="117"/>
        <v>1.9567845816380132</v>
      </c>
      <c r="DT17" s="115">
        <f t="shared" si="35"/>
        <v>676.57318115234375</v>
      </c>
      <c r="DU17" s="139">
        <f t="shared" si="118"/>
        <v>6.4225462347830025</v>
      </c>
      <c r="DV17" s="115">
        <f t="shared" si="119"/>
        <v>1.1252178095894614</v>
      </c>
      <c r="DW17" s="115">
        <v>298.14999999999998</v>
      </c>
      <c r="DX17" s="138">
        <f t="shared" si="36"/>
        <v>0.96915220093435805</v>
      </c>
      <c r="DY17" s="138">
        <f t="shared" si="37"/>
        <v>0.98133040580645092</v>
      </c>
      <c r="DZ17" s="138">
        <f t="shared" si="38"/>
        <v>3.2003074652624006</v>
      </c>
      <c r="EA17" s="138">
        <f t="shared" si="39"/>
        <v>4.150557307542833</v>
      </c>
      <c r="EB17" s="115">
        <f t="shared" si="120"/>
        <v>23.699829276204888</v>
      </c>
      <c r="EC17" s="115">
        <v>30</v>
      </c>
      <c r="ED17" s="198">
        <f t="shared" ca="1" si="40"/>
        <v>125.80344444444444</v>
      </c>
      <c r="EE17" s="198">
        <v>104.83</v>
      </c>
      <c r="EF17" s="198">
        <f t="shared" ca="1" si="41"/>
        <v>0.42491111111111107</v>
      </c>
      <c r="EG17" s="199">
        <v>0.36720000000000003</v>
      </c>
      <c r="EH17" s="138">
        <f t="shared" ca="1" si="121"/>
        <v>8.9274333904520123E-2</v>
      </c>
      <c r="EI17" s="138">
        <f t="shared" ca="1" si="122"/>
        <v>8.9274333904520123E-2</v>
      </c>
      <c r="EJ17" s="115">
        <f t="shared" si="42"/>
        <v>12.806634108878683</v>
      </c>
      <c r="EK17" s="115">
        <v>435</v>
      </c>
      <c r="EL17" s="115">
        <f t="shared" ca="1" si="43"/>
        <v>445.29872775800436</v>
      </c>
      <c r="EM17" s="115">
        <f t="shared" ca="1" si="123"/>
        <v>1.0625754599957871</v>
      </c>
      <c r="EN17" s="115">
        <f t="shared" ca="1" si="124"/>
        <v>1.0657555685256717</v>
      </c>
      <c r="EO17" s="115">
        <v>298.14999999999998</v>
      </c>
      <c r="EP17" s="138">
        <f t="shared" ca="1" si="125"/>
        <v>0.32964112428257997</v>
      </c>
      <c r="EQ17" s="138">
        <f t="shared" ca="1" si="126"/>
        <v>0.37597179652479906</v>
      </c>
      <c r="ER17" s="115">
        <f t="shared" si="44"/>
        <v>0.94404300053914392</v>
      </c>
      <c r="ES17" s="115">
        <f t="shared" si="45"/>
        <v>453</v>
      </c>
      <c r="ET17" s="115">
        <f t="shared" ca="1" si="46"/>
        <v>2816.5993052117487</v>
      </c>
      <c r="EU17" s="115">
        <f t="shared" ca="1" si="47"/>
        <v>6.5855309782608691</v>
      </c>
      <c r="EV17" s="138">
        <f t="shared" ca="1" si="48"/>
        <v>0.80977546903804509</v>
      </c>
      <c r="EW17" s="138">
        <f t="shared" ca="1" si="49"/>
        <v>1.1106623530997273</v>
      </c>
      <c r="EX17" s="115">
        <v>21.47</v>
      </c>
      <c r="EY17" s="115">
        <f t="shared" ca="1" si="50"/>
        <v>118.27817565790812</v>
      </c>
      <c r="EZ17" s="115">
        <f t="shared" ca="1" si="51"/>
        <v>0.40038952490488688</v>
      </c>
      <c r="FA17" s="138">
        <f t="shared" ca="1" si="127"/>
        <v>7.6276872797370832E-2</v>
      </c>
      <c r="FB17" s="138">
        <f t="shared" ca="1" si="128"/>
        <v>7.6276872797370832E-2</v>
      </c>
      <c r="FC17" s="115">
        <f t="shared" si="52"/>
        <v>21.47</v>
      </c>
      <c r="FD17" s="115">
        <v>37</v>
      </c>
      <c r="FE17" s="115">
        <f t="shared" ca="1" si="53"/>
        <v>154.93355555555553</v>
      </c>
      <c r="FF17" s="115">
        <f t="shared" ca="1" si="54"/>
        <v>0.52252222222222222</v>
      </c>
      <c r="FG17" s="138">
        <f t="shared" ca="1" si="55"/>
        <v>8.1462225449999703E-2</v>
      </c>
      <c r="FH17" s="138">
        <f t="shared" ca="1" si="129"/>
        <v>8.1462225449999703E-2</v>
      </c>
      <c r="FI17" s="115">
        <f t="shared" si="56"/>
        <v>79.884560546875008</v>
      </c>
      <c r="FJ17" s="115">
        <f t="shared" ca="1" si="57"/>
        <v>46.557714660220682</v>
      </c>
      <c r="FK17" s="115">
        <f t="shared" ca="1" si="58"/>
        <v>0.16142287447187637</v>
      </c>
      <c r="FL17" s="138">
        <f t="shared" ca="1" si="59"/>
        <v>0.24605759839329563</v>
      </c>
      <c r="FM17" s="138">
        <f t="shared" ca="1" si="60"/>
        <v>0.71842994804543658</v>
      </c>
      <c r="FN17" s="115">
        <f t="shared" si="130"/>
        <v>79.884560546875008</v>
      </c>
      <c r="FO17" s="115">
        <f t="shared" ca="1" si="61"/>
        <v>58.819536711586849</v>
      </c>
      <c r="FP17" s="115">
        <f t="shared" ca="1" si="62"/>
        <v>0.20227825246387057</v>
      </c>
      <c r="FQ17" s="138">
        <f t="shared" ca="1" si="63"/>
        <v>0.25251156015678938</v>
      </c>
      <c r="FR17" s="138">
        <f t="shared" ca="1" si="64"/>
        <v>0.73727398880951323</v>
      </c>
      <c r="FS17" s="139">
        <f t="shared" si="131"/>
        <v>6.0484843512246771</v>
      </c>
      <c r="FT17" s="249">
        <f t="shared" si="132"/>
        <v>5.061772817710434</v>
      </c>
      <c r="FU17" s="139">
        <f t="shared" ca="1" si="133"/>
        <v>0.88235883586019059</v>
      </c>
      <c r="FV17" s="249">
        <f t="shared" ca="1" si="134"/>
        <v>0.55942476591800694</v>
      </c>
      <c r="FW17" s="139">
        <f t="shared" ca="1" si="135"/>
        <v>0.81104407814891</v>
      </c>
      <c r="FX17" s="249">
        <f t="shared" ca="1" si="136"/>
        <v>1.124321041211175</v>
      </c>
      <c r="FY17" s="249">
        <f t="shared" si="65"/>
        <v>0.15000000000000002</v>
      </c>
      <c r="FZ17" s="139">
        <f t="shared" si="66"/>
        <v>1050000</v>
      </c>
      <c r="GA17" s="139">
        <f t="shared" si="137"/>
        <v>3.3757716049382713E-2</v>
      </c>
      <c r="GB17" s="139">
        <f t="shared" si="138"/>
        <v>121.52777777777777</v>
      </c>
      <c r="GC17" s="139">
        <f t="shared" si="67"/>
        <v>1050000</v>
      </c>
      <c r="GD17" s="139">
        <f t="shared" si="139"/>
        <v>6.7515432098765427E-2</v>
      </c>
      <c r="GE17" s="139">
        <f t="shared" si="140"/>
        <v>243.05555555555554</v>
      </c>
      <c r="GF17" s="139">
        <f t="shared" si="141"/>
        <v>4.5814043209876545E-2</v>
      </c>
      <c r="GG17" s="139">
        <f t="shared" si="68"/>
        <v>712500</v>
      </c>
      <c r="GH17" s="139">
        <f t="shared" si="142"/>
        <v>164.93055555555554</v>
      </c>
      <c r="GI17" s="137">
        <f t="shared" si="69"/>
        <v>52.184067175501504</v>
      </c>
      <c r="GJ17" s="137">
        <f t="shared" si="143"/>
        <v>0.18786264183180393</v>
      </c>
      <c r="GK17" s="251">
        <f t="shared" si="70"/>
        <v>40.110217454740798</v>
      </c>
      <c r="GL17" s="137">
        <f t="shared" si="164"/>
        <v>0.14439678283706572</v>
      </c>
      <c r="GM17" s="137">
        <f t="shared" ca="1" si="71"/>
        <v>9.1519971035952956</v>
      </c>
      <c r="GN17" s="137">
        <f t="shared" ca="1" si="144"/>
        <v>3.2947189572942799E-2</v>
      </c>
      <c r="GO17" s="137">
        <f t="shared" ca="1" si="145"/>
        <v>0.11584806460247117</v>
      </c>
      <c r="GP17" s="137">
        <f t="shared" ca="1" si="72"/>
        <v>10.259990021886477</v>
      </c>
      <c r="GQ17" s="137">
        <f t="shared" ca="1" si="146"/>
        <v>3.6935964078791024E-2</v>
      </c>
      <c r="GR17" s="137">
        <f t="shared" ca="1" si="147"/>
        <v>0.12987329141628348</v>
      </c>
      <c r="GS17" s="140">
        <f t="shared" si="73"/>
        <v>8.7140514048093934E-2</v>
      </c>
      <c r="GT17" s="140">
        <f t="shared" si="74"/>
        <v>7.292496098475422E-2</v>
      </c>
      <c r="GU17" s="140">
        <f t="shared" si="148"/>
        <v>313.70585057313815</v>
      </c>
      <c r="GV17" s="140">
        <f t="shared" si="149"/>
        <v>262.52985954511519</v>
      </c>
      <c r="GW17" s="141">
        <f t="shared" ca="1" si="75"/>
        <v>8.4662877363263517E-3</v>
      </c>
      <c r="GX17" s="141">
        <f t="shared" ca="1" si="76"/>
        <v>5.3677153133187628E-3</v>
      </c>
      <c r="GY17" s="141">
        <f t="shared" ca="1" si="150"/>
        <v>30.478635850774868</v>
      </c>
      <c r="GZ17" s="141">
        <f t="shared" ca="1" si="165"/>
        <v>19.323775127947545</v>
      </c>
      <c r="HA17" s="141">
        <f t="shared" ca="1" si="77"/>
        <v>1.7312235722389581E-2</v>
      </c>
      <c r="HB17" s="141">
        <f t="shared" ca="1" si="78"/>
        <v>1.6696590819401173E-2</v>
      </c>
      <c r="HC17" s="141">
        <f t="shared" ca="1" si="151"/>
        <v>62.324048600602488</v>
      </c>
      <c r="HD17" s="141">
        <f t="shared" ca="1" si="152"/>
        <v>60.107726949844221</v>
      </c>
      <c r="HE17" s="137">
        <f t="shared" si="153"/>
        <v>9.2487918164870777</v>
      </c>
      <c r="HF17" s="250">
        <f t="shared" si="154"/>
        <v>9.212330125253267</v>
      </c>
      <c r="HG17" s="137">
        <v>3.2003074652624006</v>
      </c>
      <c r="HH17" s="251">
        <v>4.215349219623258</v>
      </c>
      <c r="HI17" s="137">
        <f t="shared" ca="1" si="155"/>
        <v>1.5565292987514963</v>
      </c>
      <c r="HJ17" s="251">
        <f t="shared" ca="1" si="156"/>
        <v>1.5808127851132141</v>
      </c>
      <c r="HK17" s="137">
        <f t="shared" ca="1" si="157"/>
        <v>0.72050113513352498</v>
      </c>
      <c r="HL17" s="251">
        <f t="shared" ca="1" si="158"/>
        <v>1.0213880191952072</v>
      </c>
      <c r="HM17" s="137">
        <f t="shared" ca="1" si="159"/>
        <v>0.80977546903804509</v>
      </c>
      <c r="HN17" s="251">
        <f t="shared" ca="1" si="160"/>
        <v>1.1106623530997273</v>
      </c>
      <c r="HO17" s="137">
        <f t="shared" ca="1" si="161"/>
        <v>0.24605759839329563</v>
      </c>
      <c r="HP17" s="251">
        <f t="shared" ca="1" si="162"/>
        <v>0.71842994804543658</v>
      </c>
      <c r="JN17" s="143">
        <f t="shared" si="79"/>
        <v>19.229180343661685</v>
      </c>
      <c r="JO17" s="143">
        <f t="shared" si="80"/>
        <v>3200.3074652624005</v>
      </c>
      <c r="JP17" s="143">
        <f t="shared" si="81"/>
        <v>4150.5573075428329</v>
      </c>
      <c r="JQ17" s="143">
        <f t="shared" si="82"/>
        <v>0.94404300053914392</v>
      </c>
      <c r="JR17" s="143">
        <f t="shared" ca="1" si="83"/>
        <v>1.2948194413096885</v>
      </c>
      <c r="JS17" s="143">
        <f t="shared" si="84"/>
        <v>79.884560546875008</v>
      </c>
      <c r="JT17" s="143">
        <f t="shared" ca="1" si="85"/>
        <v>233.24400895594414</v>
      </c>
      <c r="JU17" s="143">
        <f t="shared" si="166"/>
        <v>0.27919355066531842</v>
      </c>
      <c r="JV17" s="143">
        <f t="shared" si="86"/>
        <v>0.36209296903844651</v>
      </c>
      <c r="JW17" s="143">
        <f t="shared" ca="1" si="87"/>
        <v>0.22122955353122714</v>
      </c>
      <c r="JX17" s="143">
        <f t="shared" ca="1" si="88"/>
        <v>0.30343143981884529</v>
      </c>
      <c r="JY17" s="143">
        <f t="shared" si="89"/>
        <v>0.61712420398038459</v>
      </c>
      <c r="JZ17" s="143">
        <f t="shared" si="90"/>
        <v>0.47820744022642875</v>
      </c>
      <c r="KA17" s="143">
        <f t="shared" si="91"/>
        <v>0.26339014213709289</v>
      </c>
      <c r="KB17" s="143">
        <f t="shared" si="92"/>
        <v>0.34159714060230806</v>
      </c>
      <c r="KC17" s="143">
        <f t="shared" ca="1" si="93"/>
        <v>0.44950971898489694</v>
      </c>
      <c r="KD17" s="143">
        <f t="shared" ca="1" si="94"/>
        <v>0.64611573793797328</v>
      </c>
      <c r="KE17" s="143">
        <f t="shared" ca="1" si="95"/>
        <v>0.64684820372310592</v>
      </c>
      <c r="KF17" s="143">
        <f t="shared" ca="1" si="96"/>
        <v>0.30385904216831161</v>
      </c>
      <c r="KG17" s="142">
        <f t="shared" si="97"/>
        <v>0.14439678283706572</v>
      </c>
      <c r="KH17" s="142">
        <f t="shared" ca="1" si="98"/>
        <v>0.12987329141628348</v>
      </c>
      <c r="KI17" s="142">
        <f t="shared" ca="1" si="99"/>
        <v>406.50853502451554</v>
      </c>
      <c r="KJ17" s="142">
        <f t="shared" ca="1" si="100"/>
        <v>341.96136162290696</v>
      </c>
    </row>
    <row r="18" spans="1:296" x14ac:dyDescent="0.3">
      <c r="A18" s="195">
        <v>41297</v>
      </c>
      <c r="B18" s="196">
        <v>14</v>
      </c>
      <c r="C18" s="177">
        <v>24</v>
      </c>
      <c r="D18" s="177">
        <v>4.2</v>
      </c>
      <c r="E18" s="177">
        <v>50016</v>
      </c>
      <c r="F18" s="177">
        <v>300</v>
      </c>
      <c r="G18" s="177">
        <v>11.7</v>
      </c>
      <c r="H18" s="177">
        <v>0.85</v>
      </c>
      <c r="I18" s="177">
        <v>1.4</v>
      </c>
      <c r="J18" s="177">
        <v>1.33</v>
      </c>
      <c r="K18" s="177">
        <v>0.91</v>
      </c>
      <c r="L18" s="166">
        <v>28225.999527208507</v>
      </c>
      <c r="M18" s="169">
        <v>19</v>
      </c>
      <c r="N18" s="167">
        <v>76888.334721803665</v>
      </c>
      <c r="O18" s="176">
        <v>17</v>
      </c>
      <c r="P18" s="177">
        <v>2</v>
      </c>
      <c r="Q18" s="177">
        <v>5</v>
      </c>
      <c r="R18" s="168">
        <v>402.71377563476563</v>
      </c>
      <c r="S18" s="169">
        <v>78.68186957508442</v>
      </c>
      <c r="T18" s="166">
        <v>180</v>
      </c>
      <c r="U18" s="170">
        <v>3.1314897537231445</v>
      </c>
      <c r="V18" s="176">
        <v>17</v>
      </c>
      <c r="W18" s="177">
        <v>1250</v>
      </c>
      <c r="X18" s="169">
        <v>89425.632741823792</v>
      </c>
      <c r="Y18" s="169">
        <v>8774.1169631369412</v>
      </c>
      <c r="Z18" s="169">
        <v>261.73129272460937</v>
      </c>
      <c r="AA18" s="169">
        <v>10.854798316955566</v>
      </c>
      <c r="AB18" s="169">
        <v>14.170742034912109</v>
      </c>
      <c r="AC18" s="212">
        <v>37</v>
      </c>
      <c r="AD18" s="212">
        <v>28.895717620849609</v>
      </c>
      <c r="AE18" s="254">
        <v>20</v>
      </c>
      <c r="AF18" s="254">
        <v>10</v>
      </c>
      <c r="AG18" s="217">
        <v>5000000</v>
      </c>
      <c r="AH18" s="218">
        <v>300000</v>
      </c>
      <c r="AI18" s="219">
        <v>5000000</v>
      </c>
      <c r="AJ18" s="225">
        <f t="shared" si="0"/>
        <v>300000</v>
      </c>
      <c r="AK18" s="220">
        <v>2750000</v>
      </c>
      <c r="AL18" s="226">
        <f t="shared" si="1"/>
        <v>300000</v>
      </c>
      <c r="AM18" s="221">
        <v>14.407</v>
      </c>
      <c r="BM18" s="197">
        <f t="shared" si="2"/>
        <v>8.1042823791503906</v>
      </c>
      <c r="BN18" s="196">
        <f t="shared" si="3"/>
        <v>180</v>
      </c>
      <c r="BO18" s="197">
        <f t="shared" si="4"/>
        <v>3.315943717956543</v>
      </c>
      <c r="BP18" s="196">
        <f t="shared" si="5"/>
        <v>12.693365948355698</v>
      </c>
      <c r="BQ18" s="115">
        <f t="shared" si="6"/>
        <v>659.74492511188635</v>
      </c>
      <c r="BR18" s="184">
        <f t="shared" si="7"/>
        <v>1.0041987768</v>
      </c>
      <c r="BS18" s="115">
        <f t="shared" si="8"/>
        <v>6863.8528613899143</v>
      </c>
      <c r="BT18" s="196">
        <v>900</v>
      </c>
      <c r="BU18" s="115">
        <f t="shared" si="101"/>
        <v>1.1850729520000001</v>
      </c>
      <c r="BV18" s="115">
        <f t="shared" si="102"/>
        <v>1.0756973063235531</v>
      </c>
      <c r="BW18" s="115">
        <f t="shared" si="103"/>
        <v>486.22030552414935</v>
      </c>
      <c r="BX18" s="115">
        <f t="shared" si="9"/>
        <v>1169.6813255041843</v>
      </c>
      <c r="BY18" s="115"/>
      <c r="BZ18" s="115">
        <f t="shared" si="10"/>
        <v>683.46101998003496</v>
      </c>
      <c r="CA18" s="115">
        <f t="shared" si="11"/>
        <v>11081.818761416253</v>
      </c>
      <c r="CB18" s="115">
        <f t="shared" si="12"/>
        <v>3203.6806134084859</v>
      </c>
      <c r="CC18" s="115">
        <f t="shared" si="13"/>
        <v>1176.0833136336878</v>
      </c>
      <c r="CD18" s="129">
        <f t="shared" si="104"/>
        <v>0.23237264902378268</v>
      </c>
      <c r="CE18" s="115">
        <f t="shared" si="14"/>
        <v>15.395958395565257</v>
      </c>
      <c r="CF18" s="115">
        <f t="shared" si="15"/>
        <v>21.856074881967896</v>
      </c>
      <c r="CG18" s="115">
        <f t="shared" si="16"/>
        <v>0.02</v>
      </c>
      <c r="CH18" s="115">
        <f t="shared" si="17"/>
        <v>0.05</v>
      </c>
      <c r="CI18" s="136">
        <v>30</v>
      </c>
      <c r="CJ18" s="115">
        <f t="shared" si="18"/>
        <v>165</v>
      </c>
      <c r="CK18" s="115">
        <f t="shared" si="19"/>
        <v>453</v>
      </c>
      <c r="CL18" s="115">
        <f t="shared" si="20"/>
        <v>675.71377563476562</v>
      </c>
      <c r="CM18" s="115">
        <f t="shared" ca="1" si="21"/>
        <v>2816.5993052117487</v>
      </c>
      <c r="CN18" s="115">
        <f t="shared" ca="1" si="22"/>
        <v>125.80344444444444</v>
      </c>
      <c r="CO18" s="115">
        <f t="shared" ca="1" si="23"/>
        <v>690.58718083896258</v>
      </c>
      <c r="CP18" s="115">
        <f t="shared" ca="1" si="24"/>
        <v>2790.6388281929471</v>
      </c>
      <c r="CQ18" s="115">
        <f t="shared" si="105"/>
        <v>1.072449112508886</v>
      </c>
      <c r="CR18" s="115">
        <f t="shared" ca="1" si="25"/>
        <v>515.84589104676456</v>
      </c>
      <c r="CS18" s="115">
        <f t="shared" ca="1" si="26"/>
        <v>25.520215673697493</v>
      </c>
      <c r="CT18" s="115">
        <f t="shared" si="106"/>
        <v>1.1249867139184155</v>
      </c>
      <c r="CU18" s="115">
        <f t="shared" ca="1" si="107"/>
        <v>1.0202606033564687</v>
      </c>
      <c r="CV18" s="115">
        <f t="shared" si="108"/>
        <v>210.46101998003496</v>
      </c>
      <c r="CW18" s="115">
        <f t="shared" si="27"/>
        <v>473</v>
      </c>
      <c r="CX18" s="115">
        <f t="shared" si="28"/>
        <v>438</v>
      </c>
      <c r="CY18" s="115">
        <f t="shared" ca="1" si="109"/>
        <v>447.47978432630248</v>
      </c>
      <c r="CZ18" s="115">
        <f t="shared" ca="1" si="29"/>
        <v>228.23399130846315</v>
      </c>
      <c r="DA18" s="115">
        <v>0.21890000000000001</v>
      </c>
      <c r="DB18" s="115">
        <v>2.7E-2</v>
      </c>
      <c r="DC18" s="115">
        <v>1.06</v>
      </c>
      <c r="DD18" s="138">
        <f t="shared" si="30"/>
        <v>12.319691438387926</v>
      </c>
      <c r="DE18" s="138">
        <f t="shared" si="110"/>
        <v>12.319691438387926</v>
      </c>
      <c r="DF18" s="115">
        <f t="shared" si="31"/>
        <v>675.71377563476562</v>
      </c>
      <c r="DG18" s="115">
        <v>683.46101998003496</v>
      </c>
      <c r="DH18" s="115">
        <f t="shared" si="111"/>
        <v>1.1249867139184155</v>
      </c>
      <c r="DI18" s="115">
        <f t="shared" si="112"/>
        <v>1.1270711371951352</v>
      </c>
      <c r="DJ18" s="138">
        <f t="shared" si="32"/>
        <v>2.8911439904011704</v>
      </c>
      <c r="DK18" s="138">
        <f t="shared" si="33"/>
        <v>2.9907561131145037</v>
      </c>
      <c r="DL18" s="115">
        <f t="shared" si="113"/>
        <v>675.71377563476562</v>
      </c>
      <c r="DM18" s="115">
        <f t="shared" ref="DM18:DM57" si="167">BZ18</f>
        <v>683.46101998003496</v>
      </c>
      <c r="DN18" s="115">
        <f t="shared" si="34"/>
        <v>12.808760184249842</v>
      </c>
      <c r="DO18" s="115">
        <f t="shared" si="114"/>
        <v>1.1249867139184155</v>
      </c>
      <c r="DP18" s="115">
        <f t="shared" si="115"/>
        <v>1.1270711371951352</v>
      </c>
      <c r="DQ18" s="115">
        <v>298.14999999999998</v>
      </c>
      <c r="DR18" s="138">
        <f t="shared" si="116"/>
        <v>1.92550189760718</v>
      </c>
      <c r="DS18" s="138">
        <f t="shared" si="117"/>
        <v>1.9918435713342597</v>
      </c>
      <c r="DT18" s="115">
        <f t="shared" si="35"/>
        <v>675.71377563476562</v>
      </c>
      <c r="DU18" s="139">
        <f t="shared" si="118"/>
        <v>6.4236124647739423</v>
      </c>
      <c r="DV18" s="115">
        <f t="shared" si="119"/>
        <v>1.1249867139184155</v>
      </c>
      <c r="DW18" s="115">
        <v>298.14999999999998</v>
      </c>
      <c r="DX18" s="138">
        <f t="shared" si="36"/>
        <v>0.96564209279399071</v>
      </c>
      <c r="DY18" s="138">
        <f t="shared" si="37"/>
        <v>0.99891254178024413</v>
      </c>
      <c r="DZ18" s="138">
        <f t="shared" si="38"/>
        <v>3.2036806134084861</v>
      </c>
      <c r="EA18" s="138">
        <f t="shared" si="39"/>
        <v>4.2179659000263383</v>
      </c>
      <c r="EB18" s="115">
        <f t="shared" si="120"/>
        <v>21.856074881967896</v>
      </c>
      <c r="EC18" s="115">
        <v>30</v>
      </c>
      <c r="ED18" s="198">
        <f t="shared" ca="1" si="40"/>
        <v>125.80344444444444</v>
      </c>
      <c r="EE18" s="198">
        <v>104.83</v>
      </c>
      <c r="EF18" s="198">
        <f t="shared" ca="1" si="41"/>
        <v>0.42491111111111107</v>
      </c>
      <c r="EG18" s="199">
        <v>0.36720000000000003</v>
      </c>
      <c r="EH18" s="138">
        <f t="shared" ca="1" si="121"/>
        <v>8.2329138497804641E-2</v>
      </c>
      <c r="EI18" s="138">
        <f t="shared" ca="1" si="122"/>
        <v>8.2329138497804641E-2</v>
      </c>
      <c r="EJ18" s="115">
        <f t="shared" si="42"/>
        <v>12.808760184249842</v>
      </c>
      <c r="EK18" s="115">
        <v>435</v>
      </c>
      <c r="EL18" s="115">
        <f t="shared" ca="1" si="43"/>
        <v>447.47978432630248</v>
      </c>
      <c r="EM18" s="115">
        <f t="shared" ca="1" si="123"/>
        <v>1.062415818080463</v>
      </c>
      <c r="EN18" s="115">
        <f t="shared" ca="1" si="124"/>
        <v>1.0662767917995239</v>
      </c>
      <c r="EO18" s="115">
        <v>298.14999999999998</v>
      </c>
      <c r="EP18" s="138">
        <f t="shared" ca="1" si="125"/>
        <v>0.32964631550696571</v>
      </c>
      <c r="EQ18" s="138">
        <f t="shared" ca="1" si="126"/>
        <v>0.386110291726806</v>
      </c>
      <c r="ER18" s="115">
        <f t="shared" si="44"/>
        <v>0.8698582649230957</v>
      </c>
      <c r="ES18" s="115">
        <f t="shared" si="45"/>
        <v>453</v>
      </c>
      <c r="ET18" s="115">
        <f t="shared" ca="1" si="46"/>
        <v>2816.5993052117487</v>
      </c>
      <c r="EU18" s="115">
        <f t="shared" ca="1" si="47"/>
        <v>6.5855309782608691</v>
      </c>
      <c r="EV18" s="138">
        <f t="shared" ca="1" si="48"/>
        <v>0.74614173726455491</v>
      </c>
      <c r="EW18" s="138">
        <f t="shared" ca="1" si="49"/>
        <v>1.1323804098731549</v>
      </c>
      <c r="EX18" s="115">
        <v>21.47</v>
      </c>
      <c r="EY18" s="115">
        <f t="shared" ca="1" si="50"/>
        <v>121.01623332299127</v>
      </c>
      <c r="EZ18" s="115">
        <f t="shared" ca="1" si="51"/>
        <v>0.40951250682406953</v>
      </c>
      <c r="FA18" s="138">
        <f t="shared" ca="1" si="127"/>
        <v>7.6664204605589523E-2</v>
      </c>
      <c r="FB18" s="138">
        <f t="shared" ca="1" si="128"/>
        <v>7.6664204605589523E-2</v>
      </c>
      <c r="FC18" s="115">
        <f t="shared" si="52"/>
        <v>21.47</v>
      </c>
      <c r="FD18" s="115">
        <v>37</v>
      </c>
      <c r="FE18" s="115">
        <f t="shared" ca="1" si="53"/>
        <v>154.93355555555553</v>
      </c>
      <c r="FF18" s="115">
        <f t="shared" ca="1" si="54"/>
        <v>0.52252222222222222</v>
      </c>
      <c r="FG18" s="138">
        <f t="shared" ca="1" si="55"/>
        <v>8.1462225449999703E-2</v>
      </c>
      <c r="FH18" s="138">
        <f t="shared" ca="1" si="129"/>
        <v>8.1462225449999703E-2</v>
      </c>
      <c r="FI18" s="115">
        <f t="shared" si="56"/>
        <v>73.284761962890627</v>
      </c>
      <c r="FJ18" s="115">
        <f t="shared" ca="1" si="57"/>
        <v>45.51298148960538</v>
      </c>
      <c r="FK18" s="115">
        <f t="shared" ca="1" si="58"/>
        <v>0.15794190986421375</v>
      </c>
      <c r="FL18" s="138">
        <f t="shared" ca="1" si="59"/>
        <v>0.22522467119025683</v>
      </c>
      <c r="FM18" s="138">
        <f t="shared" ca="1" si="60"/>
        <v>0.66217582620696935</v>
      </c>
      <c r="FN18" s="115">
        <f t="shared" si="130"/>
        <v>73.284761962890627</v>
      </c>
      <c r="FO18" s="115">
        <f t="shared" ca="1" si="61"/>
        <v>59.390574387444396</v>
      </c>
      <c r="FP18" s="115">
        <f t="shared" ca="1" si="62"/>
        <v>0.2041809028201633</v>
      </c>
      <c r="FQ18" s="138">
        <f t="shared" ca="1" si="63"/>
        <v>0.23192562081766277</v>
      </c>
      <c r="FR18" s="138">
        <f t="shared" ca="1" si="64"/>
        <v>0.68187707311055812</v>
      </c>
      <c r="FS18" s="139">
        <f t="shared" si="131"/>
        <v>6.2248668345782692</v>
      </c>
      <c r="FT18" s="249">
        <f t="shared" si="132"/>
        <v>5.1109694252470836</v>
      </c>
      <c r="FU18" s="139">
        <f t="shared" ca="1" si="133"/>
        <v>0.93204298333346403</v>
      </c>
      <c r="FV18" s="249">
        <f t="shared" ca="1" si="134"/>
        <v>0.55568200823210323</v>
      </c>
      <c r="FW18" s="139">
        <f t="shared" ca="1" si="135"/>
        <v>0.74804466604755082</v>
      </c>
      <c r="FX18" s="249">
        <f t="shared" ca="1" si="136"/>
        <v>1.1472836359323333</v>
      </c>
      <c r="FY18" s="249">
        <f t="shared" si="65"/>
        <v>0.15000000000000002</v>
      </c>
      <c r="FZ18" s="139">
        <f t="shared" si="66"/>
        <v>1050000</v>
      </c>
      <c r="GA18" s="139">
        <f t="shared" si="137"/>
        <v>3.3757716049382713E-2</v>
      </c>
      <c r="GB18" s="139">
        <f t="shared" si="138"/>
        <v>121.52777777777777</v>
      </c>
      <c r="GC18" s="139">
        <f t="shared" si="67"/>
        <v>1050000</v>
      </c>
      <c r="GD18" s="139">
        <f t="shared" si="139"/>
        <v>6.7515432098765427E-2</v>
      </c>
      <c r="GE18" s="139">
        <f t="shared" si="140"/>
        <v>243.05555555555554</v>
      </c>
      <c r="GF18" s="139">
        <f t="shared" si="141"/>
        <v>4.5814043209876545E-2</v>
      </c>
      <c r="GG18" s="139">
        <f t="shared" si="68"/>
        <v>712500</v>
      </c>
      <c r="GH18" s="139">
        <f t="shared" si="142"/>
        <v>164.93055555555554</v>
      </c>
      <c r="GI18" s="137">
        <f t="shared" si="69"/>
        <v>52.937486471877484</v>
      </c>
      <c r="GJ18" s="137">
        <f t="shared" si="143"/>
        <v>0.19057495129875743</v>
      </c>
      <c r="GK18" s="251">
        <f t="shared" si="70"/>
        <v>39.867483821893117</v>
      </c>
      <c r="GL18" s="137">
        <f t="shared" si="164"/>
        <v>0.14352294175881408</v>
      </c>
      <c r="GM18" s="137">
        <f t="shared" ca="1" si="71"/>
        <v>9.0892744703419002</v>
      </c>
      <c r="GN18" s="137">
        <f t="shared" ca="1" si="144"/>
        <v>3.272138809323058E-2</v>
      </c>
      <c r="GO18" s="137">
        <f t="shared" ca="1" si="145"/>
        <v>0.11505410721951681</v>
      </c>
      <c r="GP18" s="137">
        <f t="shared" ca="1" si="72"/>
        <v>10.32630207673083</v>
      </c>
      <c r="GQ18" s="137">
        <f t="shared" ca="1" si="146"/>
        <v>3.7174687476230692E-2</v>
      </c>
      <c r="GR18" s="137">
        <f t="shared" ca="1" si="147"/>
        <v>0.1307126845155791</v>
      </c>
      <c r="GS18" s="140">
        <f t="shared" si="73"/>
        <v>8.9681656485769132E-2</v>
      </c>
      <c r="GT18" s="140">
        <f t="shared" si="74"/>
        <v>7.3633736509534739E-2</v>
      </c>
      <c r="GU18" s="140">
        <f t="shared" si="148"/>
        <v>322.8539633487689</v>
      </c>
      <c r="GV18" s="140">
        <f t="shared" si="149"/>
        <v>265.08145143432506</v>
      </c>
      <c r="GW18" s="141">
        <f t="shared" ca="1" si="75"/>
        <v>8.9430102117495532E-3</v>
      </c>
      <c r="GX18" s="141">
        <f t="shared" ca="1" si="76"/>
        <v>5.3318033212715402E-3</v>
      </c>
      <c r="GY18" s="141">
        <f t="shared" ca="1" si="150"/>
        <v>32.194836762298394</v>
      </c>
      <c r="GZ18" s="141">
        <f t="shared" ca="1" si="165"/>
        <v>19.194491956577544</v>
      </c>
      <c r="HA18" s="141">
        <f t="shared" ca="1" si="77"/>
        <v>1.7255335671772398E-2</v>
      </c>
      <c r="HB18" s="141">
        <f t="shared" ca="1" si="78"/>
        <v>1.6833773826238452E-2</v>
      </c>
      <c r="HC18" s="141">
        <f t="shared" ca="1" si="151"/>
        <v>62.119208418380637</v>
      </c>
      <c r="HD18" s="141">
        <f t="shared" ca="1" si="152"/>
        <v>60.601585774458428</v>
      </c>
      <c r="HE18" s="137">
        <f t="shared" si="153"/>
        <v>9.4285474479867553</v>
      </c>
      <c r="HF18" s="250">
        <f t="shared" si="154"/>
        <v>9.328935325273422</v>
      </c>
      <c r="HG18" s="137">
        <v>3.2036806134084861</v>
      </c>
      <c r="HH18" s="251">
        <v>4.394539269668174</v>
      </c>
      <c r="HI18" s="137">
        <f t="shared" ca="1" si="155"/>
        <v>1.539391605880374</v>
      </c>
      <c r="HJ18" s="251">
        <f t="shared" ca="1" si="156"/>
        <v>1.6057332796074537</v>
      </c>
      <c r="HK18" s="137">
        <f t="shared" ca="1" si="157"/>
        <v>0.66381259876675025</v>
      </c>
      <c r="HL18" s="251">
        <f t="shared" ca="1" si="158"/>
        <v>1.0500512713753503</v>
      </c>
      <c r="HM18" s="137">
        <f t="shared" ca="1" si="159"/>
        <v>0.74614173726455491</v>
      </c>
      <c r="HN18" s="251">
        <f t="shared" ca="1" si="160"/>
        <v>1.1323804098731549</v>
      </c>
      <c r="HO18" s="137">
        <f t="shared" ca="1" si="161"/>
        <v>0.22522467119025683</v>
      </c>
      <c r="HP18" s="251">
        <f t="shared" ca="1" si="162"/>
        <v>0.66217582620696935</v>
      </c>
      <c r="JN18" s="143">
        <f t="shared" si="79"/>
        <v>19.232372649023784</v>
      </c>
      <c r="JO18" s="143">
        <f t="shared" si="80"/>
        <v>3203.6806134084859</v>
      </c>
      <c r="JP18" s="143">
        <f t="shared" si="81"/>
        <v>4217.9659000263382</v>
      </c>
      <c r="JQ18" s="143">
        <f t="shared" si="82"/>
        <v>0.8698582649230957</v>
      </c>
      <c r="JR18" s="143">
        <f t="shared" ca="1" si="83"/>
        <v>1.3201385331643996</v>
      </c>
      <c r="JS18" s="143">
        <f t="shared" si="84"/>
        <v>73.284761962890627</v>
      </c>
      <c r="JT18" s="143">
        <f t="shared" ca="1" si="85"/>
        <v>215.46217625583759</v>
      </c>
      <c r="JU18" s="143">
        <f t="shared" si="166"/>
        <v>0.27564825525024356</v>
      </c>
      <c r="JV18" s="143">
        <f t="shared" si="86"/>
        <v>0.36291849324214648</v>
      </c>
      <c r="JW18" s="143">
        <f t="shared" ca="1" si="87"/>
        <v>0.20104935221475587</v>
      </c>
      <c r="JX18" s="143">
        <f t="shared" ca="1" si="88"/>
        <v>0.30512211888899593</v>
      </c>
      <c r="JY18" s="143">
        <f t="shared" si="89"/>
        <v>0.51128896901629217</v>
      </c>
      <c r="JZ18" s="143">
        <f t="shared" si="90"/>
        <v>0.66132485296218269</v>
      </c>
      <c r="KA18" s="143">
        <f t="shared" si="91"/>
        <v>0.2600455238209845</v>
      </c>
      <c r="KB18" s="143">
        <f t="shared" si="92"/>
        <v>0.34237593702089292</v>
      </c>
      <c r="KC18" s="143">
        <f t="shared" ca="1" si="93"/>
        <v>0.41596032010186312</v>
      </c>
      <c r="KD18" s="143">
        <f t="shared" ca="1" si="94"/>
        <v>0.65393878591845056</v>
      </c>
      <c r="KE18" s="143">
        <f t="shared" ca="1" si="95"/>
        <v>0.58476446645800229</v>
      </c>
      <c r="KF18" s="143">
        <f t="shared" ca="1" si="96"/>
        <v>0.30185239605541636</v>
      </c>
      <c r="KG18" s="142">
        <f t="shared" si="97"/>
        <v>0.14352294175881408</v>
      </c>
      <c r="KH18" s="142">
        <f t="shared" ca="1" si="98"/>
        <v>0.1307126845155791</v>
      </c>
      <c r="KI18" s="142">
        <f t="shared" ca="1" si="99"/>
        <v>417.16800852944795</v>
      </c>
      <c r="KJ18" s="142">
        <f t="shared" ca="1" si="100"/>
        <v>344.87752916536107</v>
      </c>
    </row>
    <row r="19" spans="1:296" x14ac:dyDescent="0.3">
      <c r="A19" s="195">
        <v>41299</v>
      </c>
      <c r="B19" s="196">
        <v>15</v>
      </c>
      <c r="C19" s="177">
        <v>24</v>
      </c>
      <c r="D19" s="177">
        <v>4.2</v>
      </c>
      <c r="E19" s="177">
        <v>50016</v>
      </c>
      <c r="F19" s="177">
        <v>300</v>
      </c>
      <c r="G19" s="177">
        <v>11.7</v>
      </c>
      <c r="H19" s="177">
        <v>0.85</v>
      </c>
      <c r="I19" s="177">
        <v>1.4</v>
      </c>
      <c r="J19" s="177">
        <v>1.33</v>
      </c>
      <c r="K19" s="177">
        <v>0.91</v>
      </c>
      <c r="L19" s="166">
        <v>25929.700949177146</v>
      </c>
      <c r="M19" s="169">
        <v>19</v>
      </c>
      <c r="N19" s="167">
        <v>69939.189166657627</v>
      </c>
      <c r="O19" s="176">
        <v>17</v>
      </c>
      <c r="P19" s="177">
        <v>2</v>
      </c>
      <c r="Q19" s="177">
        <v>5</v>
      </c>
      <c r="R19" s="168">
        <v>398.70968627929687</v>
      </c>
      <c r="S19" s="169">
        <v>79.98900696382043</v>
      </c>
      <c r="T19" s="166">
        <v>180</v>
      </c>
      <c r="U19" s="170">
        <v>3.1134250164031982</v>
      </c>
      <c r="V19" s="176">
        <v>17</v>
      </c>
      <c r="W19" s="177">
        <v>1250</v>
      </c>
      <c r="X19" s="169">
        <v>79553.014405429363</v>
      </c>
      <c r="Y19" s="169">
        <v>8766.3667188584805</v>
      </c>
      <c r="Z19" s="169">
        <v>268.72296142578125</v>
      </c>
      <c r="AA19" s="169">
        <v>12.513605117797852</v>
      </c>
      <c r="AB19" s="169">
        <v>15.628728866577148</v>
      </c>
      <c r="AC19" s="212">
        <v>37</v>
      </c>
      <c r="AD19" s="212">
        <v>29.014019012451172</v>
      </c>
      <c r="AE19" s="254">
        <v>20</v>
      </c>
      <c r="AF19" s="254">
        <v>10</v>
      </c>
      <c r="AG19" s="217">
        <v>5000000</v>
      </c>
      <c r="AH19" s="218">
        <v>300000</v>
      </c>
      <c r="AI19" s="219">
        <v>5000000</v>
      </c>
      <c r="AJ19" s="225">
        <f t="shared" si="0"/>
        <v>300000</v>
      </c>
      <c r="AK19" s="220">
        <v>2750000</v>
      </c>
      <c r="AL19" s="226">
        <f t="shared" si="1"/>
        <v>300000</v>
      </c>
      <c r="AM19" s="221">
        <v>14.407</v>
      </c>
      <c r="BM19" s="197">
        <f t="shared" si="2"/>
        <v>7.9859809875488281</v>
      </c>
      <c r="BN19" s="196">
        <f t="shared" si="3"/>
        <v>180</v>
      </c>
      <c r="BO19" s="197">
        <f t="shared" si="4"/>
        <v>3.1151237487792969</v>
      </c>
      <c r="BP19" s="196">
        <f t="shared" si="5"/>
        <v>12.680889011665178</v>
      </c>
      <c r="BQ19" s="115">
        <f t="shared" si="6"/>
        <v>659.74492511188635</v>
      </c>
      <c r="BR19" s="184">
        <f t="shared" si="7"/>
        <v>1.0041987768</v>
      </c>
      <c r="BS19" s="115">
        <f t="shared" si="8"/>
        <v>6863.8528613899143</v>
      </c>
      <c r="BT19" s="196">
        <v>900</v>
      </c>
      <c r="BU19" s="115">
        <f t="shared" si="101"/>
        <v>1.1850729520000001</v>
      </c>
      <c r="BV19" s="115">
        <f t="shared" si="102"/>
        <v>1.0715136570889972</v>
      </c>
      <c r="BW19" s="115">
        <f t="shared" si="103"/>
        <v>469.16700633196035</v>
      </c>
      <c r="BX19" s="115">
        <f t="shared" si="9"/>
        <v>1128.6568652405676</v>
      </c>
      <c r="BY19" s="115"/>
      <c r="BZ19" s="115">
        <f t="shared" si="10"/>
        <v>659.48985890860729</v>
      </c>
      <c r="CA19" s="115">
        <f t="shared" si="11"/>
        <v>10682.633160409614</v>
      </c>
      <c r="CB19" s="115">
        <f t="shared" si="12"/>
        <v>2914.1328819440678</v>
      </c>
      <c r="CC19" s="115">
        <f t="shared" si="13"/>
        <v>1080.4042062157143</v>
      </c>
      <c r="CD19" s="129">
        <f t="shared" si="104"/>
        <v>0.21346819949269236</v>
      </c>
      <c r="CE19" s="115">
        <f t="shared" si="14"/>
        <v>15.807233025045957</v>
      </c>
      <c r="CF19" s="115">
        <f t="shared" si="15"/>
        <v>22.219168601061231</v>
      </c>
      <c r="CG19" s="115">
        <f t="shared" si="16"/>
        <v>0.02</v>
      </c>
      <c r="CH19" s="115">
        <f t="shared" si="17"/>
        <v>0.05</v>
      </c>
      <c r="CI19" s="136">
        <v>30</v>
      </c>
      <c r="CJ19" s="115">
        <f t="shared" si="18"/>
        <v>165</v>
      </c>
      <c r="CK19" s="115">
        <f t="shared" si="19"/>
        <v>453</v>
      </c>
      <c r="CL19" s="115">
        <f t="shared" si="20"/>
        <v>671.70968627929687</v>
      </c>
      <c r="CM19" s="115">
        <f t="shared" ca="1" si="21"/>
        <v>2816.5993052117487</v>
      </c>
      <c r="CN19" s="115">
        <f t="shared" ca="1" si="22"/>
        <v>125.80344444444444</v>
      </c>
      <c r="CO19" s="115">
        <f t="shared" ca="1" si="23"/>
        <v>690.58718083896258</v>
      </c>
      <c r="CP19" s="115">
        <f t="shared" ca="1" si="24"/>
        <v>2790.6388281929471</v>
      </c>
      <c r="CQ19" s="115">
        <f t="shared" si="105"/>
        <v>1.072449112508886</v>
      </c>
      <c r="CR19" s="115">
        <f t="shared" ca="1" si="25"/>
        <v>512.87011234327235</v>
      </c>
      <c r="CS19" s="115">
        <f t="shared" ca="1" si="26"/>
        <v>25.397961200933118</v>
      </c>
      <c r="CT19" s="115">
        <f t="shared" si="106"/>
        <v>1.1239104641834052</v>
      </c>
      <c r="CU19" s="115">
        <f t="shared" ca="1" si="107"/>
        <v>1.0195430502087393</v>
      </c>
      <c r="CV19" s="115">
        <f t="shared" si="108"/>
        <v>186.48985890860729</v>
      </c>
      <c r="CW19" s="115">
        <f t="shared" si="27"/>
        <v>473</v>
      </c>
      <c r="CX19" s="115">
        <f t="shared" si="28"/>
        <v>438</v>
      </c>
      <c r="CY19" s="115">
        <f t="shared" ca="1" si="109"/>
        <v>447.60203879906686</v>
      </c>
      <c r="CZ19" s="115">
        <f t="shared" ca="1" si="29"/>
        <v>224.10764748023001</v>
      </c>
      <c r="DA19" s="115">
        <v>0.21890000000000001</v>
      </c>
      <c r="DB19" s="115">
        <v>2.7E-2</v>
      </c>
      <c r="DC19" s="115">
        <v>1.06</v>
      </c>
      <c r="DD19" s="138">
        <f t="shared" si="30"/>
        <v>11.317434993776091</v>
      </c>
      <c r="DE19" s="138">
        <f t="shared" si="110"/>
        <v>11.317434993776091</v>
      </c>
      <c r="DF19" s="115">
        <f t="shared" si="31"/>
        <v>671.70968627929687</v>
      </c>
      <c r="DG19" s="115">
        <v>659.48985890860729</v>
      </c>
      <c r="DH19" s="115">
        <f t="shared" si="111"/>
        <v>1.1239104641834052</v>
      </c>
      <c r="DI19" s="115">
        <f t="shared" si="112"/>
        <v>1.1206309928656182</v>
      </c>
      <c r="DJ19" s="138">
        <f t="shared" si="32"/>
        <v>2.8373389221808583</v>
      </c>
      <c r="DK19" s="138">
        <f t="shared" si="33"/>
        <v>2.6838124120130242</v>
      </c>
      <c r="DL19" s="115">
        <f t="shared" si="113"/>
        <v>671.70968627929687</v>
      </c>
      <c r="DM19" s="115">
        <f t="shared" si="167"/>
        <v>659.48985890860729</v>
      </c>
      <c r="DN19" s="115">
        <f t="shared" si="34"/>
        <v>12.796169820862133</v>
      </c>
      <c r="DO19" s="115">
        <f t="shared" si="114"/>
        <v>1.1239104641834052</v>
      </c>
      <c r="DP19" s="115">
        <f t="shared" si="115"/>
        <v>1.1206309928656182</v>
      </c>
      <c r="DQ19" s="115">
        <v>298.14999999999998</v>
      </c>
      <c r="DR19" s="138">
        <f t="shared" si="116"/>
        <v>1.8896677221724518</v>
      </c>
      <c r="DS19" s="138">
        <f t="shared" si="117"/>
        <v>1.7874190664006742</v>
      </c>
      <c r="DT19" s="115">
        <f t="shared" si="35"/>
        <v>671.70968627929687</v>
      </c>
      <c r="DU19" s="139">
        <f t="shared" si="118"/>
        <v>6.4172983786305586</v>
      </c>
      <c r="DV19" s="115">
        <f t="shared" si="119"/>
        <v>1.1239104641834052</v>
      </c>
      <c r="DW19" s="115">
        <v>298.14999999999998</v>
      </c>
      <c r="DX19" s="138">
        <f t="shared" si="36"/>
        <v>0.94767120000840654</v>
      </c>
      <c r="DY19" s="138">
        <f t="shared" si="37"/>
        <v>0.89639334561235007</v>
      </c>
      <c r="DZ19" s="138">
        <f t="shared" si="38"/>
        <v>2.9141328819440679</v>
      </c>
      <c r="EA19" s="138">
        <f t="shared" si="39"/>
        <v>3.8187802990197</v>
      </c>
      <c r="EB19" s="115">
        <f t="shared" si="120"/>
        <v>22.219168601061231</v>
      </c>
      <c r="EC19" s="115">
        <v>30</v>
      </c>
      <c r="ED19" s="198">
        <f t="shared" ca="1" si="40"/>
        <v>125.80344444444444</v>
      </c>
      <c r="EE19" s="198">
        <v>104.83</v>
      </c>
      <c r="EF19" s="198">
        <f t="shared" ca="1" si="41"/>
        <v>0.42491111111111107</v>
      </c>
      <c r="EG19" s="199">
        <v>0.36720000000000003</v>
      </c>
      <c r="EH19" s="138">
        <f t="shared" ca="1" si="121"/>
        <v>8.3696867756070548E-2</v>
      </c>
      <c r="EI19" s="138">
        <f t="shared" ca="1" si="122"/>
        <v>8.3696867756070548E-2</v>
      </c>
      <c r="EJ19" s="115">
        <f t="shared" si="42"/>
        <v>12.796169820862133</v>
      </c>
      <c r="EK19" s="115">
        <v>435</v>
      </c>
      <c r="EL19" s="115">
        <f t="shared" ca="1" si="43"/>
        <v>447.60203879906686</v>
      </c>
      <c r="EM19" s="115">
        <f t="shared" ca="1" si="123"/>
        <v>1.0624068234792405</v>
      </c>
      <c r="EN19" s="115">
        <f t="shared" ca="1" si="124"/>
        <v>1.0663060380364617</v>
      </c>
      <c r="EO19" s="115">
        <v>298.14999999999998</v>
      </c>
      <c r="EP19" s="138">
        <f t="shared" ca="1" si="125"/>
        <v>0.32931950175143337</v>
      </c>
      <c r="EQ19" s="138">
        <f t="shared" ca="1" si="126"/>
        <v>0.386298168940789</v>
      </c>
      <c r="ER19" s="115">
        <f t="shared" si="44"/>
        <v>0.86484028233422172</v>
      </c>
      <c r="ES19" s="115">
        <f t="shared" si="45"/>
        <v>453</v>
      </c>
      <c r="ET19" s="115">
        <f t="shared" ca="1" si="46"/>
        <v>2816.5993052117487</v>
      </c>
      <c r="EU19" s="115">
        <f t="shared" ca="1" si="47"/>
        <v>6.5855309782608691</v>
      </c>
      <c r="EV19" s="138">
        <f t="shared" ca="1" si="48"/>
        <v>0.7418374426485157</v>
      </c>
      <c r="EW19" s="138">
        <f t="shared" ca="1" si="49"/>
        <v>1.001458873153678</v>
      </c>
      <c r="EX19" s="115">
        <v>21.47</v>
      </c>
      <c r="EY19" s="115">
        <f t="shared" ca="1" si="50"/>
        <v>121.51133779144287</v>
      </c>
      <c r="EZ19" s="115">
        <f t="shared" ca="1" si="51"/>
        <v>0.41116215400695799</v>
      </c>
      <c r="FA19" s="138">
        <f t="shared" ca="1" si="127"/>
        <v>7.6734243199541599E-2</v>
      </c>
      <c r="FB19" s="138">
        <f t="shared" ca="1" si="128"/>
        <v>7.6734243199541599E-2</v>
      </c>
      <c r="FC19" s="115">
        <f t="shared" si="52"/>
        <v>21.47</v>
      </c>
      <c r="FD19" s="115">
        <v>37</v>
      </c>
      <c r="FE19" s="115">
        <f t="shared" ca="1" si="53"/>
        <v>154.93355555555553</v>
      </c>
      <c r="FF19" s="115">
        <f t="shared" ca="1" si="54"/>
        <v>0.52252222222222222</v>
      </c>
      <c r="FG19" s="138">
        <f t="shared" ca="1" si="55"/>
        <v>8.1462225449999703E-2</v>
      </c>
      <c r="FH19" s="138">
        <f t="shared" ca="1" si="129"/>
        <v>8.1462225449999703E-2</v>
      </c>
      <c r="FI19" s="115">
        <f t="shared" si="56"/>
        <v>75.242429199218762</v>
      </c>
      <c r="FJ19" s="115">
        <f t="shared" ca="1" si="57"/>
        <v>52.455272262997106</v>
      </c>
      <c r="FK19" s="115">
        <f t="shared" ca="1" si="58"/>
        <v>0.18107304914262559</v>
      </c>
      <c r="FL19" s="138">
        <f t="shared" ca="1" si="59"/>
        <v>0.23468284175032797</v>
      </c>
      <c r="FM19" s="138">
        <f t="shared" ca="1" si="60"/>
        <v>0.6150489062742952</v>
      </c>
      <c r="FN19" s="115">
        <f t="shared" si="130"/>
        <v>75.242429199218762</v>
      </c>
      <c r="FO19" s="115">
        <f t="shared" ca="1" si="61"/>
        <v>65.492411276499439</v>
      </c>
      <c r="FP19" s="115">
        <f t="shared" ca="1" si="62"/>
        <v>0.224511719195048</v>
      </c>
      <c r="FQ19" s="138">
        <f t="shared" ca="1" si="63"/>
        <v>0.24114613160933127</v>
      </c>
      <c r="FR19" s="138">
        <f t="shared" ca="1" si="64"/>
        <v>0.63198767916908938</v>
      </c>
      <c r="FS19" s="139">
        <f t="shared" si="131"/>
        <v>5.5659631896511641</v>
      </c>
      <c r="FT19" s="249">
        <f t="shared" si="132"/>
        <v>4.814842282743367</v>
      </c>
      <c r="FU19" s="139">
        <f t="shared" ca="1" si="133"/>
        <v>0.90220764552857324</v>
      </c>
      <c r="FV19" s="249">
        <f t="shared" ca="1" si="134"/>
        <v>0.48335889206227778</v>
      </c>
      <c r="FW19" s="139">
        <f t="shared" ca="1" si="135"/>
        <v>0.74357275025706082</v>
      </c>
      <c r="FX19" s="249">
        <f t="shared" ca="1" si="136"/>
        <v>1.0136696637980143</v>
      </c>
      <c r="FY19" s="249">
        <f t="shared" si="65"/>
        <v>0.15000000000000002</v>
      </c>
      <c r="FZ19" s="139">
        <f t="shared" si="66"/>
        <v>1050000</v>
      </c>
      <c r="GA19" s="139">
        <f t="shared" si="137"/>
        <v>3.3757716049382713E-2</v>
      </c>
      <c r="GB19" s="139">
        <f t="shared" si="138"/>
        <v>121.52777777777777</v>
      </c>
      <c r="GC19" s="139">
        <f t="shared" si="67"/>
        <v>1050000</v>
      </c>
      <c r="GD19" s="139">
        <f t="shared" si="139"/>
        <v>6.7515432098765427E-2</v>
      </c>
      <c r="GE19" s="139">
        <f t="shared" si="140"/>
        <v>243.05555555555554</v>
      </c>
      <c r="GF19" s="139">
        <f t="shared" si="141"/>
        <v>4.5814043209876545E-2</v>
      </c>
      <c r="GG19" s="139">
        <f t="shared" si="68"/>
        <v>712500</v>
      </c>
      <c r="GH19" s="139">
        <f t="shared" si="142"/>
        <v>164.93055555555554</v>
      </c>
      <c r="GI19" s="137">
        <f t="shared" si="69"/>
        <v>53.50835616282238</v>
      </c>
      <c r="GJ19" s="137">
        <f t="shared" si="143"/>
        <v>0.19263008218615904</v>
      </c>
      <c r="GK19" s="251">
        <f t="shared" si="70"/>
        <v>41.411734690639094</v>
      </c>
      <c r="GL19" s="137">
        <f t="shared" si="164"/>
        <v>0.14908224488629954</v>
      </c>
      <c r="GM19" s="137">
        <f t="shared" ca="1" si="71"/>
        <v>8.589922116844555</v>
      </c>
      <c r="GN19" s="137">
        <f t="shared" ca="1" si="144"/>
        <v>3.0923719620640153E-2</v>
      </c>
      <c r="GO19" s="137">
        <f t="shared" ca="1" si="145"/>
        <v>0.10873319135246186</v>
      </c>
      <c r="GP19" s="137">
        <f t="shared" ca="1" si="72"/>
        <v>9.5995403448590899</v>
      </c>
      <c r="GQ19" s="137">
        <f t="shared" ca="1" si="146"/>
        <v>3.4558345241492448E-2</v>
      </c>
      <c r="GR19" s="137">
        <f t="shared" ca="1" si="147"/>
        <v>0.121513168922266</v>
      </c>
      <c r="GS19" s="140">
        <f t="shared" si="73"/>
        <v>8.0188831673304317E-2</v>
      </c>
      <c r="GT19" s="140">
        <f t="shared" si="74"/>
        <v>6.9367432767483694E-2</v>
      </c>
      <c r="GU19" s="140">
        <f t="shared" si="148"/>
        <v>288.67979402389557</v>
      </c>
      <c r="GV19" s="140">
        <f t="shared" si="149"/>
        <v>249.7227579629413</v>
      </c>
      <c r="GW19" s="141">
        <f t="shared" ca="1" si="75"/>
        <v>8.6567382957206812E-3</v>
      </c>
      <c r="GX19" s="141">
        <f t="shared" ca="1" si="76"/>
        <v>4.6378585375888631E-3</v>
      </c>
      <c r="GY19" s="141">
        <f t="shared" ca="1" si="150"/>
        <v>31.164257864594454</v>
      </c>
      <c r="GZ19" s="141">
        <f t="shared" ca="1" si="165"/>
        <v>16.696290735319906</v>
      </c>
      <c r="HA19" s="141">
        <f t="shared" ca="1" si="77"/>
        <v>1.6915082288105256E-2</v>
      </c>
      <c r="HB19" s="141">
        <f t="shared" ca="1" si="78"/>
        <v>1.4848745752316312E-2</v>
      </c>
      <c r="HC19" s="141">
        <f t="shared" ca="1" si="151"/>
        <v>60.894296237178921</v>
      </c>
      <c r="HD19" s="141">
        <f t="shared" ca="1" si="152"/>
        <v>53.455484708338723</v>
      </c>
      <c r="HE19" s="137">
        <f t="shared" si="153"/>
        <v>8.4800960715952325</v>
      </c>
      <c r="HF19" s="250">
        <f t="shared" si="154"/>
        <v>8.633622581763067</v>
      </c>
      <c r="HG19" s="137">
        <v>2.9141328819440679</v>
      </c>
      <c r="HH19" s="251">
        <v>3.5405426324258862</v>
      </c>
      <c r="HI19" s="137">
        <f t="shared" ca="1" si="155"/>
        <v>1.5033695532316629</v>
      </c>
      <c r="HJ19" s="251">
        <f t="shared" ca="1" si="156"/>
        <v>1.4011208974598852</v>
      </c>
      <c r="HK19" s="137">
        <f t="shared" ca="1" si="157"/>
        <v>0.65814057489244515</v>
      </c>
      <c r="HL19" s="251">
        <f t="shared" ca="1" si="158"/>
        <v>0.91776200539760744</v>
      </c>
      <c r="HM19" s="137">
        <f t="shared" ca="1" si="159"/>
        <v>0.7418374426485157</v>
      </c>
      <c r="HN19" s="251">
        <f t="shared" ca="1" si="160"/>
        <v>1.001458873153678</v>
      </c>
      <c r="HO19" s="137">
        <f t="shared" ca="1" si="161"/>
        <v>0.23468284175032797</v>
      </c>
      <c r="HP19" s="251">
        <f t="shared" ca="1" si="162"/>
        <v>0.6150489062742952</v>
      </c>
      <c r="JN19" s="143">
        <f t="shared" si="79"/>
        <v>19.213468199492691</v>
      </c>
      <c r="JO19" s="143">
        <f t="shared" si="80"/>
        <v>2914.1328819440678</v>
      </c>
      <c r="JP19" s="143">
        <f t="shared" si="81"/>
        <v>3818.7802990196997</v>
      </c>
      <c r="JQ19" s="143">
        <f t="shared" si="82"/>
        <v>0.86484028233422172</v>
      </c>
      <c r="JR19" s="143">
        <f t="shared" ca="1" si="83"/>
        <v>1.1675091129293396</v>
      </c>
      <c r="JS19" s="143">
        <f t="shared" si="84"/>
        <v>75.242429199218762</v>
      </c>
      <c r="JT19" s="143">
        <f t="shared" ca="1" si="85"/>
        <v>197.19283028639191</v>
      </c>
      <c r="JU19" s="143">
        <f t="shared" si="166"/>
        <v>0.27294001304707871</v>
      </c>
      <c r="JV19" s="143">
        <f t="shared" si="86"/>
        <v>0.35767001261213227</v>
      </c>
      <c r="JW19" s="143">
        <f t="shared" ca="1" si="87"/>
        <v>0.21755969427959854</v>
      </c>
      <c r="JX19" s="143">
        <f t="shared" ca="1" si="88"/>
        <v>0.29369923078975146</v>
      </c>
      <c r="JY19" s="143">
        <f t="shared" si="89"/>
        <v>0.574232831014172</v>
      </c>
      <c r="JZ19" s="143">
        <f t="shared" si="90"/>
        <v>0.6111688918187046</v>
      </c>
      <c r="KA19" s="143">
        <f t="shared" si="91"/>
        <v>0.25749057834630074</v>
      </c>
      <c r="KB19" s="143">
        <f t="shared" si="92"/>
        <v>0.3374245402001248</v>
      </c>
      <c r="KC19" s="143">
        <f t="shared" ca="1" si="93"/>
        <v>0.42179083250715887</v>
      </c>
      <c r="KD19" s="143">
        <f t="shared" ca="1" si="94"/>
        <v>0.65501985379094196</v>
      </c>
      <c r="KE19" s="143">
        <f t="shared" ca="1" si="95"/>
        <v>0.61415293504510537</v>
      </c>
      <c r="KF19" s="143">
        <f t="shared" ca="1" si="96"/>
        <v>0.31635346001471815</v>
      </c>
      <c r="KG19" s="142">
        <f t="shared" si="97"/>
        <v>0.14908224488629954</v>
      </c>
      <c r="KH19" s="142">
        <f t="shared" ca="1" si="98"/>
        <v>0.121513168922266</v>
      </c>
      <c r="KI19" s="142">
        <f t="shared" ca="1" si="99"/>
        <v>380.73834812566895</v>
      </c>
      <c r="KJ19" s="142">
        <f t="shared" ca="1" si="100"/>
        <v>319.87453340659994</v>
      </c>
    </row>
    <row r="20" spans="1:296" x14ac:dyDescent="0.3">
      <c r="A20" s="195">
        <v>41303</v>
      </c>
      <c r="B20" s="196">
        <v>17</v>
      </c>
      <c r="C20" s="177">
        <v>24</v>
      </c>
      <c r="D20" s="177">
        <v>4.2</v>
      </c>
      <c r="E20" s="177">
        <v>50016</v>
      </c>
      <c r="F20" s="177">
        <v>300</v>
      </c>
      <c r="G20" s="177">
        <v>11.7</v>
      </c>
      <c r="H20" s="177">
        <v>0.85</v>
      </c>
      <c r="I20" s="177">
        <v>1.4</v>
      </c>
      <c r="J20" s="177">
        <v>1.33</v>
      </c>
      <c r="K20" s="177">
        <v>0.91</v>
      </c>
      <c r="L20" s="166">
        <v>27485.664090573788</v>
      </c>
      <c r="M20" s="169">
        <v>19</v>
      </c>
      <c r="N20" s="167">
        <v>78350.586943663657</v>
      </c>
      <c r="O20" s="176">
        <v>17</v>
      </c>
      <c r="P20" s="177">
        <v>2</v>
      </c>
      <c r="Q20" s="177">
        <v>5</v>
      </c>
      <c r="R20" s="168">
        <v>399.57373046875</v>
      </c>
      <c r="S20" s="169">
        <v>79.95026147828321</v>
      </c>
      <c r="T20" s="166">
        <v>180</v>
      </c>
      <c r="U20" s="170">
        <v>3.0567886829376221</v>
      </c>
      <c r="V20" s="176">
        <v>17</v>
      </c>
      <c r="W20" s="177">
        <v>1250</v>
      </c>
      <c r="X20" s="169">
        <v>79552.56431004405</v>
      </c>
      <c r="Y20" s="169">
        <v>9600.7969996593893</v>
      </c>
      <c r="Z20" s="169">
        <v>284.76785278320312</v>
      </c>
      <c r="AA20" s="169">
        <v>12.493009567260742</v>
      </c>
      <c r="AB20" s="169">
        <v>15.736114501953125</v>
      </c>
      <c r="AC20" s="212">
        <v>37</v>
      </c>
      <c r="AD20" s="212">
        <v>29.714908599853516</v>
      </c>
      <c r="AE20" s="254">
        <v>20</v>
      </c>
      <c r="AF20" s="254">
        <v>10</v>
      </c>
      <c r="AG20" s="217">
        <v>5000000</v>
      </c>
      <c r="AH20" s="218">
        <v>300000</v>
      </c>
      <c r="AI20" s="219">
        <v>5000000</v>
      </c>
      <c r="AJ20" s="225">
        <f t="shared" si="0"/>
        <v>300000</v>
      </c>
      <c r="AK20" s="220">
        <v>2750000</v>
      </c>
      <c r="AL20" s="226">
        <f t="shared" si="1"/>
        <v>300000</v>
      </c>
      <c r="AM20" s="221">
        <v>14.407</v>
      </c>
      <c r="BM20" s="197">
        <f t="shared" si="2"/>
        <v>7.2850914001464844</v>
      </c>
      <c r="BN20" s="196">
        <f t="shared" si="3"/>
        <v>180</v>
      </c>
      <c r="BO20" s="197">
        <f t="shared" si="4"/>
        <v>3.2431049346923828</v>
      </c>
      <c r="BP20" s="196">
        <f t="shared" si="5"/>
        <v>12.689343336287298</v>
      </c>
      <c r="BQ20" s="115">
        <f t="shared" si="6"/>
        <v>659.74492511188635</v>
      </c>
      <c r="BR20" s="184">
        <f t="shared" si="7"/>
        <v>1.0041987768</v>
      </c>
      <c r="BS20" s="115">
        <f t="shared" si="8"/>
        <v>6863.8528613899143</v>
      </c>
      <c r="BT20" s="196">
        <v>900</v>
      </c>
      <c r="BU20" s="115">
        <f t="shared" si="101"/>
        <v>1.1850729520000001</v>
      </c>
      <c r="BV20" s="115">
        <f t="shared" si="102"/>
        <v>1.07434331857275</v>
      </c>
      <c r="BW20" s="115">
        <f t="shared" si="103"/>
        <v>480.72591979362733</v>
      </c>
      <c r="BX20" s="115">
        <f t="shared" si="9"/>
        <v>1156.4636949134992</v>
      </c>
      <c r="BY20" s="115"/>
      <c r="BZ20" s="115">
        <f t="shared" si="10"/>
        <v>675.73777511987191</v>
      </c>
      <c r="CA20" s="115">
        <f t="shared" si="11"/>
        <v>10953.119798203505</v>
      </c>
      <c r="CB20" s="115">
        <f t="shared" si="12"/>
        <v>3264.6077893193192</v>
      </c>
      <c r="CC20" s="115">
        <f t="shared" si="13"/>
        <v>1145.2360037739079</v>
      </c>
      <c r="CD20" s="129">
        <f t="shared" si="104"/>
        <v>0.22627778225347911</v>
      </c>
      <c r="CE20" s="115">
        <f t="shared" si="14"/>
        <v>16.751050163717832</v>
      </c>
      <c r="CF20" s="115">
        <f t="shared" si="15"/>
        <v>22.20840596618978</v>
      </c>
      <c r="CG20" s="115">
        <f t="shared" si="16"/>
        <v>0.02</v>
      </c>
      <c r="CH20" s="115">
        <f t="shared" si="17"/>
        <v>0.05</v>
      </c>
      <c r="CI20" s="136">
        <v>30</v>
      </c>
      <c r="CJ20" s="115">
        <f t="shared" si="18"/>
        <v>165</v>
      </c>
      <c r="CK20" s="115">
        <f t="shared" si="19"/>
        <v>453</v>
      </c>
      <c r="CL20" s="115">
        <f t="shared" si="20"/>
        <v>672.57373046875</v>
      </c>
      <c r="CM20" s="115">
        <f t="shared" ca="1" si="21"/>
        <v>2816.5993052117487</v>
      </c>
      <c r="CN20" s="115">
        <f t="shared" ca="1" si="22"/>
        <v>125.80344444444444</v>
      </c>
      <c r="CO20" s="115">
        <f t="shared" ca="1" si="23"/>
        <v>690.58718083896258</v>
      </c>
      <c r="CP20" s="115">
        <f t="shared" ca="1" si="24"/>
        <v>2790.6388281929471</v>
      </c>
      <c r="CQ20" s="115">
        <f t="shared" si="105"/>
        <v>1.072449112508886</v>
      </c>
      <c r="CR20" s="115">
        <f t="shared" ca="1" si="25"/>
        <v>503.54048900108</v>
      </c>
      <c r="CS20" s="115">
        <f t="shared" ca="1" si="26"/>
        <v>24.919333061768388</v>
      </c>
      <c r="CT20" s="115">
        <f t="shared" si="106"/>
        <v>1.1241426435834039</v>
      </c>
      <c r="CU20" s="115">
        <f t="shared" ca="1" si="107"/>
        <v>1.0196098007123044</v>
      </c>
      <c r="CV20" s="115">
        <f t="shared" si="108"/>
        <v>202.73777511987191</v>
      </c>
      <c r="CW20" s="115">
        <f t="shared" si="27"/>
        <v>473</v>
      </c>
      <c r="CX20" s="115">
        <f t="shared" si="28"/>
        <v>438</v>
      </c>
      <c r="CY20" s="115">
        <f t="shared" ca="1" si="109"/>
        <v>448.08066693823162</v>
      </c>
      <c r="CZ20" s="115">
        <f t="shared" ca="1" si="29"/>
        <v>224.49306353051838</v>
      </c>
      <c r="DA20" s="115">
        <v>0.21890000000000001</v>
      </c>
      <c r="DB20" s="115">
        <v>2.7E-2</v>
      </c>
      <c r="DC20" s="115">
        <v>1.06</v>
      </c>
      <c r="DD20" s="138">
        <f t="shared" si="30"/>
        <v>11.996560130621413</v>
      </c>
      <c r="DE20" s="138">
        <f t="shared" si="110"/>
        <v>11.996560130621413</v>
      </c>
      <c r="DF20" s="115">
        <f t="shared" si="31"/>
        <v>672.57373046875</v>
      </c>
      <c r="DG20" s="115">
        <v>675.73777511987191</v>
      </c>
      <c r="DH20" s="115">
        <f t="shared" si="111"/>
        <v>1.1241426435834039</v>
      </c>
      <c r="DI20" s="115">
        <f t="shared" si="112"/>
        <v>1.1249931669619886</v>
      </c>
      <c r="DJ20" s="138">
        <f t="shared" si="32"/>
        <v>2.8502080159735415</v>
      </c>
      <c r="DK20" s="138">
        <f t="shared" si="33"/>
        <v>2.8905344015036771</v>
      </c>
      <c r="DL20" s="115">
        <f t="shared" si="113"/>
        <v>672.57373046875</v>
      </c>
      <c r="DM20" s="115">
        <f t="shared" si="167"/>
        <v>675.73777511987191</v>
      </c>
      <c r="DN20" s="115">
        <f t="shared" si="34"/>
        <v>12.804701002980819</v>
      </c>
      <c r="DO20" s="115">
        <f t="shared" si="114"/>
        <v>1.1241426435834039</v>
      </c>
      <c r="DP20" s="115">
        <f t="shared" si="115"/>
        <v>1.1249931669619886</v>
      </c>
      <c r="DQ20" s="115">
        <v>298.14999999999998</v>
      </c>
      <c r="DR20" s="138">
        <f t="shared" si="116"/>
        <v>1.8982385386383787</v>
      </c>
      <c r="DS20" s="138">
        <f t="shared" si="117"/>
        <v>1.9250959114014494</v>
      </c>
      <c r="DT20" s="115">
        <f t="shared" si="35"/>
        <v>672.57373046875</v>
      </c>
      <c r="DU20" s="139">
        <f t="shared" si="118"/>
        <v>6.4215767792726606</v>
      </c>
      <c r="DV20" s="115">
        <f t="shared" si="119"/>
        <v>1.1241426435834039</v>
      </c>
      <c r="DW20" s="115">
        <v>298.14999999999998</v>
      </c>
      <c r="DX20" s="138">
        <f t="shared" si="36"/>
        <v>0.95196947733516268</v>
      </c>
      <c r="DY20" s="138">
        <f t="shared" si="37"/>
        <v>0.96543849010222815</v>
      </c>
      <c r="DZ20" s="138">
        <f t="shared" si="38"/>
        <v>3.2646077893193191</v>
      </c>
      <c r="EA20" s="138">
        <f t="shared" si="39"/>
        <v>4.0892669368135905</v>
      </c>
      <c r="EB20" s="115">
        <f t="shared" si="120"/>
        <v>22.20840596618978</v>
      </c>
      <c r="EC20" s="115">
        <v>30</v>
      </c>
      <c r="ED20" s="198">
        <f t="shared" ca="1" si="40"/>
        <v>125.80344444444444</v>
      </c>
      <c r="EE20" s="198">
        <v>104.83</v>
      </c>
      <c r="EF20" s="198">
        <f t="shared" ca="1" si="41"/>
        <v>0.42491111111111107</v>
      </c>
      <c r="EG20" s="199">
        <v>0.36720000000000003</v>
      </c>
      <c r="EH20" s="138">
        <f t="shared" ca="1" si="121"/>
        <v>8.3656326237901424E-2</v>
      </c>
      <c r="EI20" s="138">
        <f t="shared" ca="1" si="122"/>
        <v>8.3656326237901424E-2</v>
      </c>
      <c r="EJ20" s="115">
        <f t="shared" si="42"/>
        <v>12.804701002980819</v>
      </c>
      <c r="EK20" s="115">
        <v>435</v>
      </c>
      <c r="EL20" s="115">
        <f t="shared" ca="1" si="43"/>
        <v>448.08066693823162</v>
      </c>
      <c r="EM20" s="115">
        <f t="shared" ca="1" si="123"/>
        <v>1.0623715621788214</v>
      </c>
      <c r="EN20" s="115">
        <f t="shared" ca="1" si="124"/>
        <v>1.0664205682277865</v>
      </c>
      <c r="EO20" s="115">
        <v>298.14999999999998</v>
      </c>
      <c r="EP20" s="138">
        <f t="shared" ca="1" si="125"/>
        <v>0.3295281210309321</v>
      </c>
      <c r="EQ20" s="138">
        <f t="shared" ca="1" si="126"/>
        <v>0.38878181587059912</v>
      </c>
      <c r="ER20" s="115">
        <f t="shared" si="44"/>
        <v>0.84910796748267281</v>
      </c>
      <c r="ES20" s="115">
        <f t="shared" si="45"/>
        <v>453</v>
      </c>
      <c r="ET20" s="115">
        <f t="shared" ca="1" si="46"/>
        <v>2816.5993052117487</v>
      </c>
      <c r="EU20" s="115">
        <f t="shared" ca="1" si="47"/>
        <v>6.5855309782608691</v>
      </c>
      <c r="EV20" s="138">
        <f t="shared" ca="1" si="48"/>
        <v>0.72834267320401835</v>
      </c>
      <c r="EW20" s="138">
        <f t="shared" ca="1" si="49"/>
        <v>1.0896618082849274</v>
      </c>
      <c r="EX20" s="115">
        <v>21.47</v>
      </c>
      <c r="EY20" s="115">
        <f t="shared" ca="1" si="50"/>
        <v>124.4446385913425</v>
      </c>
      <c r="EZ20" s="115">
        <f t="shared" ca="1" si="51"/>
        <v>0.42093566992017956</v>
      </c>
      <c r="FA20" s="138">
        <f t="shared" ca="1" si="127"/>
        <v>7.714919454164168E-2</v>
      </c>
      <c r="FB20" s="138">
        <f t="shared" ca="1" si="128"/>
        <v>7.714919454164168E-2</v>
      </c>
      <c r="FC20" s="115">
        <f t="shared" si="52"/>
        <v>21.47</v>
      </c>
      <c r="FD20" s="115">
        <v>37</v>
      </c>
      <c r="FE20" s="115">
        <f t="shared" ca="1" si="53"/>
        <v>154.93355555555553</v>
      </c>
      <c r="FF20" s="115">
        <f t="shared" ca="1" si="54"/>
        <v>0.52252222222222222</v>
      </c>
      <c r="FG20" s="138">
        <f t="shared" ca="1" si="55"/>
        <v>8.1462225449999703E-2</v>
      </c>
      <c r="FH20" s="138">
        <f t="shared" ca="1" si="129"/>
        <v>8.1462225449999703E-2</v>
      </c>
      <c r="FI20" s="115">
        <f t="shared" si="56"/>
        <v>79.734998779296888</v>
      </c>
      <c r="FJ20" s="115">
        <f t="shared" ca="1" si="57"/>
        <v>52.3690775956048</v>
      </c>
      <c r="FK20" s="115">
        <f t="shared" ca="1" si="58"/>
        <v>0.18078585563235813</v>
      </c>
      <c r="FL20" s="138">
        <f t="shared" ca="1" si="59"/>
        <v>0.24864998479288425</v>
      </c>
      <c r="FM20" s="138">
        <f t="shared" ca="1" si="60"/>
        <v>0.67168332217958404</v>
      </c>
      <c r="FN20" s="115">
        <f t="shared" si="130"/>
        <v>79.734998779296888</v>
      </c>
      <c r="FO20" s="115">
        <f t="shared" ca="1" si="61"/>
        <v>65.941832092285168</v>
      </c>
      <c r="FP20" s="115">
        <f t="shared" ca="1" si="62"/>
        <v>0.22600915222167969</v>
      </c>
      <c r="FQ20" s="138">
        <f t="shared" ca="1" si="63"/>
        <v>0.25578057558572803</v>
      </c>
      <c r="FR20" s="138">
        <f t="shared" ca="1" si="64"/>
        <v>0.69094533386572976</v>
      </c>
      <c r="FS20" s="139">
        <f t="shared" si="131"/>
        <v>5.8817443253285528</v>
      </c>
      <c r="FT20" s="249">
        <f t="shared" si="132"/>
        <v>5.0167587923041452</v>
      </c>
      <c r="FU20" s="139">
        <f t="shared" ca="1" si="133"/>
        <v>0.92402407064132941</v>
      </c>
      <c r="FV20" s="249">
        <f t="shared" ca="1" si="134"/>
        <v>0.53030861348382419</v>
      </c>
      <c r="FW20" s="139">
        <f t="shared" ca="1" si="135"/>
        <v>0.73116023308850409</v>
      </c>
      <c r="FX20" s="249">
        <f t="shared" ca="1" si="136"/>
        <v>1.1046107890627148</v>
      </c>
      <c r="FY20" s="249">
        <f t="shared" si="65"/>
        <v>0.15000000000000002</v>
      </c>
      <c r="FZ20" s="139">
        <f t="shared" si="66"/>
        <v>1050000</v>
      </c>
      <c r="GA20" s="139">
        <f t="shared" si="137"/>
        <v>3.3757716049382713E-2</v>
      </c>
      <c r="GB20" s="139">
        <f t="shared" si="138"/>
        <v>121.52777777777777</v>
      </c>
      <c r="GC20" s="139">
        <f t="shared" si="67"/>
        <v>1050000</v>
      </c>
      <c r="GD20" s="139">
        <f t="shared" si="139"/>
        <v>6.7515432098765427E-2</v>
      </c>
      <c r="GE20" s="139">
        <f t="shared" si="140"/>
        <v>243.05555555555554</v>
      </c>
      <c r="GF20" s="139">
        <f t="shared" si="141"/>
        <v>4.5814043209876545E-2</v>
      </c>
      <c r="GG20" s="139">
        <f t="shared" si="68"/>
        <v>712500</v>
      </c>
      <c r="GH20" s="139">
        <f t="shared" si="142"/>
        <v>164.93055555555554</v>
      </c>
      <c r="GI20" s="137">
        <f t="shared" si="69"/>
        <v>50.704164679956229</v>
      </c>
      <c r="GJ20" s="137">
        <f t="shared" si="143"/>
        <v>0.18253499284784097</v>
      </c>
      <c r="GK20" s="251">
        <f t="shared" si="70"/>
        <v>40.336869976336573</v>
      </c>
      <c r="GL20" s="137">
        <f t="shared" si="164"/>
        <v>0.14521273191481052</v>
      </c>
      <c r="GM20" s="137">
        <f t="shared" ca="1" si="71"/>
        <v>9.0738709421765318</v>
      </c>
      <c r="GN20" s="137">
        <f t="shared" ca="1" si="144"/>
        <v>3.2665935391835252E-2</v>
      </c>
      <c r="GO20" s="137">
        <f t="shared" ca="1" si="145"/>
        <v>0.11485912585033493</v>
      </c>
      <c r="GP20" s="137">
        <f t="shared" ca="1" si="72"/>
        <v>10.115287258061709</v>
      </c>
      <c r="GQ20" s="137">
        <f t="shared" ca="1" si="146"/>
        <v>3.6415034129021862E-2</v>
      </c>
      <c r="GR20" s="137">
        <f t="shared" ca="1" si="147"/>
        <v>0.12804161086153962</v>
      </c>
      <c r="GS20" s="140">
        <f t="shared" si="73"/>
        <v>8.4738290495008459E-2</v>
      </c>
      <c r="GT20" s="140">
        <f t="shared" si="74"/>
        <v>7.2276443920725825E-2</v>
      </c>
      <c r="GU20" s="140">
        <f t="shared" si="148"/>
        <v>305.05784578203043</v>
      </c>
      <c r="GV20" s="140">
        <f t="shared" si="149"/>
        <v>260.19519811461299</v>
      </c>
      <c r="GW20" s="141">
        <f t="shared" ca="1" si="75"/>
        <v>8.866068247295935E-3</v>
      </c>
      <c r="GX20" s="141">
        <f t="shared" ca="1" si="76"/>
        <v>5.088344025511329E-3</v>
      </c>
      <c r="GY20" s="141">
        <f t="shared" ca="1" si="150"/>
        <v>31.917845690265366</v>
      </c>
      <c r="GZ20" s="141">
        <f t="shared" ca="1" si="165"/>
        <v>18.318038491840785</v>
      </c>
      <c r="HA20" s="141">
        <f t="shared" ca="1" si="77"/>
        <v>1.7070830718105882E-2</v>
      </c>
      <c r="HB20" s="141">
        <f t="shared" ca="1" si="78"/>
        <v>1.6185895567930993E-2</v>
      </c>
      <c r="HC20" s="141">
        <f t="shared" ca="1" si="151"/>
        <v>61.454990585181179</v>
      </c>
      <c r="HD20" s="141">
        <f t="shared" ca="1" si="152"/>
        <v>58.269224044551571</v>
      </c>
      <c r="HE20" s="137">
        <f t="shared" si="153"/>
        <v>9.1463521146478719</v>
      </c>
      <c r="HF20" s="250">
        <f t="shared" si="154"/>
        <v>9.1060257291177358</v>
      </c>
      <c r="HG20" s="137">
        <v>3.2646077893193191</v>
      </c>
      <c r="HH20" s="251">
        <v>4.1613582443209562</v>
      </c>
      <c r="HI20" s="137">
        <f t="shared" ca="1" si="155"/>
        <v>1.5094567227677795</v>
      </c>
      <c r="HJ20" s="251">
        <f t="shared" ca="1" si="156"/>
        <v>1.5363140955308503</v>
      </c>
      <c r="HK20" s="137">
        <f t="shared" ca="1" si="157"/>
        <v>0.64468634696611693</v>
      </c>
      <c r="HL20" s="251">
        <f t="shared" ca="1" si="158"/>
        <v>1.0060054820470259</v>
      </c>
      <c r="HM20" s="137">
        <f t="shared" ca="1" si="159"/>
        <v>0.72834267320401835</v>
      </c>
      <c r="HN20" s="251">
        <f t="shared" ca="1" si="160"/>
        <v>1.0896618082849274</v>
      </c>
      <c r="HO20" s="137">
        <f t="shared" ca="1" si="161"/>
        <v>0.24864998479288425</v>
      </c>
      <c r="HP20" s="251">
        <f t="shared" ca="1" si="162"/>
        <v>0.67168332217958404</v>
      </c>
      <c r="JN20" s="143">
        <f t="shared" si="79"/>
        <v>19.226277782253479</v>
      </c>
      <c r="JO20" s="143">
        <f t="shared" si="80"/>
        <v>3264.6077893193192</v>
      </c>
      <c r="JP20" s="143">
        <f t="shared" si="81"/>
        <v>4089.2669368135903</v>
      </c>
      <c r="JQ20" s="143">
        <f t="shared" si="82"/>
        <v>0.84910796748267281</v>
      </c>
      <c r="JR20" s="143">
        <f t="shared" ca="1" si="83"/>
        <v>1.2703368308850094</v>
      </c>
      <c r="JS20" s="143">
        <f t="shared" si="84"/>
        <v>79.734998779296888</v>
      </c>
      <c r="JT20" s="143">
        <f t="shared" ca="1" si="85"/>
        <v>215.38979348289055</v>
      </c>
      <c r="JU20" s="143">
        <f t="shared" si="166"/>
        <v>0.28845637574437166</v>
      </c>
      <c r="JV20" s="143">
        <f t="shared" si="86"/>
        <v>0.36132215450312388</v>
      </c>
      <c r="JW20" s="143">
        <f t="shared" ca="1" si="87"/>
        <v>0.20153069240590479</v>
      </c>
      <c r="JX20" s="143">
        <f t="shared" ca="1" si="88"/>
        <v>0.30150684120415228</v>
      </c>
      <c r="JY20" s="143">
        <f t="shared" si="89"/>
        <v>0.62889498124958898</v>
      </c>
      <c r="JZ20" s="143">
        <f t="shared" si="90"/>
        <v>0.76988076306105768</v>
      </c>
      <c r="KA20" s="143">
        <f t="shared" si="91"/>
        <v>0.27212865636261474</v>
      </c>
      <c r="KB20" s="143">
        <f t="shared" si="92"/>
        <v>0.34086995707841872</v>
      </c>
      <c r="KC20" s="143">
        <f t="shared" ca="1" si="93"/>
        <v>0.41096580970589497</v>
      </c>
      <c r="KD20" s="143">
        <f t="shared" ca="1" si="94"/>
        <v>0.65481758253309252</v>
      </c>
      <c r="KE20" s="143">
        <f t="shared" ca="1" si="95"/>
        <v>0.61641448481779826</v>
      </c>
      <c r="KF20" s="143">
        <f t="shared" ca="1" si="96"/>
        <v>0.34139148225252225</v>
      </c>
      <c r="KG20" s="142">
        <f t="shared" si="97"/>
        <v>0.14521273191481052</v>
      </c>
      <c r="KH20" s="142">
        <f t="shared" ca="1" si="98"/>
        <v>0.12804161086153962</v>
      </c>
      <c r="KI20" s="142">
        <f t="shared" ca="1" si="99"/>
        <v>398.43068205747699</v>
      </c>
      <c r="KJ20" s="142">
        <f t="shared" ca="1" si="100"/>
        <v>336.78246065100535</v>
      </c>
    </row>
    <row r="21" spans="1:296" x14ac:dyDescent="0.3">
      <c r="A21" s="195">
        <v>41304</v>
      </c>
      <c r="B21" s="196">
        <v>18</v>
      </c>
      <c r="C21" s="177">
        <v>24</v>
      </c>
      <c r="D21" s="177">
        <v>4.2</v>
      </c>
      <c r="E21" s="177">
        <v>50016</v>
      </c>
      <c r="F21" s="177">
        <v>300</v>
      </c>
      <c r="G21" s="177">
        <v>11.7</v>
      </c>
      <c r="H21" s="177">
        <v>0.85</v>
      </c>
      <c r="I21" s="177">
        <v>1.4</v>
      </c>
      <c r="J21" s="177">
        <v>1.33</v>
      </c>
      <c r="K21" s="177">
        <v>0.91</v>
      </c>
      <c r="L21" s="166">
        <v>27477.426695436239</v>
      </c>
      <c r="M21" s="169">
        <v>19</v>
      </c>
      <c r="N21" s="167">
        <v>79398.541945531964</v>
      </c>
      <c r="O21" s="176">
        <v>17</v>
      </c>
      <c r="P21" s="177">
        <v>2</v>
      </c>
      <c r="Q21" s="177">
        <v>5</v>
      </c>
      <c r="R21" s="168">
        <v>400.81707763671875</v>
      </c>
      <c r="S21" s="169">
        <v>81.499275465263054</v>
      </c>
      <c r="T21" s="166">
        <v>180</v>
      </c>
      <c r="U21" s="170">
        <v>3.2182879447937012</v>
      </c>
      <c r="V21" s="176">
        <v>17</v>
      </c>
      <c r="W21" s="177">
        <v>1250</v>
      </c>
      <c r="X21" s="169">
        <v>81364.982017740607</v>
      </c>
      <c r="Y21" s="169">
        <v>10010.06958729215</v>
      </c>
      <c r="Z21" s="169">
        <v>327.33932495117187</v>
      </c>
      <c r="AA21" s="169">
        <v>11.051562309265137</v>
      </c>
      <c r="AB21" s="169">
        <v>13.999831199645996</v>
      </c>
      <c r="AC21" s="212">
        <v>37</v>
      </c>
      <c r="AD21" s="212">
        <v>28.776279449462891</v>
      </c>
      <c r="AE21" s="254">
        <v>20</v>
      </c>
      <c r="AF21" s="254">
        <v>10</v>
      </c>
      <c r="AG21" s="217">
        <v>5000000</v>
      </c>
      <c r="AH21" s="218">
        <v>300000</v>
      </c>
      <c r="AI21" s="219">
        <v>5000000</v>
      </c>
      <c r="AJ21" s="225">
        <f t="shared" si="0"/>
        <v>300000</v>
      </c>
      <c r="AK21" s="220">
        <v>2750000</v>
      </c>
      <c r="AL21" s="226">
        <f t="shared" si="1"/>
        <v>300000</v>
      </c>
      <c r="AM21" s="221">
        <v>14.407</v>
      </c>
      <c r="BM21" s="197">
        <f t="shared" si="2"/>
        <v>8.2237205505371094</v>
      </c>
      <c r="BN21" s="196">
        <f t="shared" si="3"/>
        <v>180</v>
      </c>
      <c r="BO21" s="197">
        <f t="shared" si="4"/>
        <v>2.9482688903808594</v>
      </c>
      <c r="BP21" s="196">
        <f t="shared" si="5"/>
        <v>12.689298578406676</v>
      </c>
      <c r="BQ21" s="115">
        <f t="shared" si="6"/>
        <v>659.74492511188635</v>
      </c>
      <c r="BR21" s="184">
        <f t="shared" si="7"/>
        <v>1.0041987768</v>
      </c>
      <c r="BS21" s="115">
        <f t="shared" si="8"/>
        <v>6863.8528613899143</v>
      </c>
      <c r="BT21" s="196">
        <v>900</v>
      </c>
      <c r="BU21" s="115">
        <f t="shared" si="101"/>
        <v>1.1850729520000001</v>
      </c>
      <c r="BV21" s="115">
        <f t="shared" si="102"/>
        <v>1.0743282804519858</v>
      </c>
      <c r="BW21" s="115">
        <f t="shared" si="103"/>
        <v>480.66476652267693</v>
      </c>
      <c r="BX21" s="115">
        <f t="shared" si="9"/>
        <v>1156.3165808620879</v>
      </c>
      <c r="BY21" s="115"/>
      <c r="BZ21" s="115">
        <f t="shared" si="10"/>
        <v>675.65181433941098</v>
      </c>
      <c r="CA21" s="115">
        <f t="shared" si="11"/>
        <v>10951.687819992931</v>
      </c>
      <c r="CB21" s="115">
        <f t="shared" si="12"/>
        <v>3308.2725810638317</v>
      </c>
      <c r="CC21" s="115">
        <f t="shared" si="13"/>
        <v>1144.89277897651</v>
      </c>
      <c r="CD21" s="129">
        <f t="shared" si="104"/>
        <v>0.22620996728284104</v>
      </c>
      <c r="CE21" s="115">
        <f t="shared" si="14"/>
        <v>19.255254408892462</v>
      </c>
      <c r="CF21" s="115">
        <f t="shared" si="15"/>
        <v>22.638687629239737</v>
      </c>
      <c r="CG21" s="115">
        <f t="shared" si="16"/>
        <v>0.02</v>
      </c>
      <c r="CH21" s="115">
        <f t="shared" si="17"/>
        <v>0.05</v>
      </c>
      <c r="CI21" s="136">
        <v>30</v>
      </c>
      <c r="CJ21" s="115">
        <f t="shared" si="18"/>
        <v>165</v>
      </c>
      <c r="CK21" s="115">
        <f t="shared" si="19"/>
        <v>453</v>
      </c>
      <c r="CL21" s="115">
        <f t="shared" si="20"/>
        <v>673.81707763671875</v>
      </c>
      <c r="CM21" s="115">
        <f t="shared" ca="1" si="21"/>
        <v>2816.5993052117487</v>
      </c>
      <c r="CN21" s="115">
        <f t="shared" ca="1" si="22"/>
        <v>125.80344444444444</v>
      </c>
      <c r="CO21" s="115">
        <f t="shared" ca="1" si="23"/>
        <v>690.58718083896258</v>
      </c>
      <c r="CP21" s="115">
        <f t="shared" ca="1" si="24"/>
        <v>2790.6388281929471</v>
      </c>
      <c r="CQ21" s="115">
        <f t="shared" si="105"/>
        <v>1.072449112508886</v>
      </c>
      <c r="CR21" s="115">
        <f t="shared" ca="1" si="25"/>
        <v>530.14403465742305</v>
      </c>
      <c r="CS21" s="115">
        <f t="shared" ca="1" si="26"/>
        <v>26.235988279711009</v>
      </c>
      <c r="CT21" s="115">
        <f t="shared" si="106"/>
        <v>1.1244768097848343</v>
      </c>
      <c r="CU21" s="115">
        <f t="shared" ca="1" si="107"/>
        <v>1.0200545913105938</v>
      </c>
      <c r="CV21" s="115">
        <f t="shared" si="108"/>
        <v>202.65181433941098</v>
      </c>
      <c r="CW21" s="115">
        <f t="shared" si="27"/>
        <v>473</v>
      </c>
      <c r="CX21" s="115">
        <f t="shared" si="28"/>
        <v>438</v>
      </c>
      <c r="CY21" s="115">
        <f t="shared" ca="1" si="109"/>
        <v>446.76401172028898</v>
      </c>
      <c r="CZ21" s="115">
        <f t="shared" ca="1" si="29"/>
        <v>227.05306591642977</v>
      </c>
      <c r="DA21" s="115">
        <v>0.21890000000000001</v>
      </c>
      <c r="DB21" s="115">
        <v>2.7E-2</v>
      </c>
      <c r="DC21" s="115">
        <v>1.06</v>
      </c>
      <c r="DD21" s="138">
        <f t="shared" si="30"/>
        <v>11.992964787035691</v>
      </c>
      <c r="DE21" s="138">
        <f t="shared" si="110"/>
        <v>11.992964787035691</v>
      </c>
      <c r="DF21" s="115">
        <f t="shared" si="31"/>
        <v>673.81707763671875</v>
      </c>
      <c r="DG21" s="115">
        <v>675.65181433941098</v>
      </c>
      <c r="DH21" s="115">
        <f t="shared" si="111"/>
        <v>1.1244768097848343</v>
      </c>
      <c r="DI21" s="115">
        <f t="shared" si="112"/>
        <v>1.1249700537281744</v>
      </c>
      <c r="DJ21" s="138">
        <f t="shared" si="32"/>
        <v>2.8660206481219799</v>
      </c>
      <c r="DK21" s="138">
        <f t="shared" si="33"/>
        <v>2.8894259693964663</v>
      </c>
      <c r="DL21" s="115">
        <f t="shared" si="113"/>
        <v>673.81707763671875</v>
      </c>
      <c r="DM21" s="115">
        <f t="shared" si="167"/>
        <v>675.65181433941098</v>
      </c>
      <c r="DN21" s="115">
        <f t="shared" si="34"/>
        <v>12.804655838210373</v>
      </c>
      <c r="DO21" s="115">
        <f t="shared" si="114"/>
        <v>1.1244768097848343</v>
      </c>
      <c r="DP21" s="115">
        <f t="shared" si="115"/>
        <v>1.1249700537281744</v>
      </c>
      <c r="DQ21" s="115">
        <v>298.14999999999998</v>
      </c>
      <c r="DR21" s="138">
        <f t="shared" si="116"/>
        <v>1.9087697516492383</v>
      </c>
      <c r="DS21" s="138">
        <f t="shared" si="117"/>
        <v>1.9243576956180466</v>
      </c>
      <c r="DT21" s="115">
        <f t="shared" si="35"/>
        <v>673.81707763671875</v>
      </c>
      <c r="DU21" s="139">
        <f t="shared" si="118"/>
        <v>6.4215541290724687</v>
      </c>
      <c r="DV21" s="115">
        <f t="shared" si="119"/>
        <v>1.1244768097848343</v>
      </c>
      <c r="DW21" s="115">
        <v>298.14999999999998</v>
      </c>
      <c r="DX21" s="138">
        <f t="shared" si="36"/>
        <v>0.9572508964727412</v>
      </c>
      <c r="DY21" s="138">
        <f t="shared" si="37"/>
        <v>0.96506827377841975</v>
      </c>
      <c r="DZ21" s="138">
        <f t="shared" si="38"/>
        <v>3.3082725810638318</v>
      </c>
      <c r="EA21" s="138">
        <f t="shared" si="39"/>
        <v>4.0878349586030165</v>
      </c>
      <c r="EB21" s="115">
        <f t="shared" si="120"/>
        <v>22.638687629239737</v>
      </c>
      <c r="EC21" s="115">
        <v>30</v>
      </c>
      <c r="ED21" s="198">
        <f t="shared" ca="1" si="40"/>
        <v>125.80344444444444</v>
      </c>
      <c r="EE21" s="198">
        <v>104.83</v>
      </c>
      <c r="EF21" s="198">
        <f t="shared" ca="1" si="41"/>
        <v>0.42491111111111107</v>
      </c>
      <c r="EG21" s="199">
        <v>0.36720000000000003</v>
      </c>
      <c r="EH21" s="138">
        <f t="shared" ca="1" si="121"/>
        <v>8.5277144194538856E-2</v>
      </c>
      <c r="EI21" s="138">
        <f t="shared" ca="1" si="122"/>
        <v>8.5277144194538856E-2</v>
      </c>
      <c r="EJ21" s="115">
        <f t="shared" si="42"/>
        <v>12.804655838210373</v>
      </c>
      <c r="EK21" s="115">
        <v>435</v>
      </c>
      <c r="EL21" s="115">
        <f t="shared" ca="1" si="43"/>
        <v>446.76401172028898</v>
      </c>
      <c r="EM21" s="115">
        <f t="shared" ca="1" si="123"/>
        <v>1.0624683809075643</v>
      </c>
      <c r="EN21" s="115">
        <f t="shared" ca="1" si="124"/>
        <v>1.0661056257983035</v>
      </c>
      <c r="EO21" s="115">
        <v>298.14999999999998</v>
      </c>
      <c r="EP21" s="138">
        <f t="shared" ca="1" si="125"/>
        <v>0.32955699000177879</v>
      </c>
      <c r="EQ21" s="138">
        <f t="shared" ca="1" si="126"/>
        <v>0.38266908009762535</v>
      </c>
      <c r="ER21" s="115">
        <f t="shared" si="44"/>
        <v>0.89396887355380594</v>
      </c>
      <c r="ES21" s="115">
        <f t="shared" si="45"/>
        <v>453</v>
      </c>
      <c r="ET21" s="115">
        <f t="shared" ca="1" si="46"/>
        <v>2816.5993052117487</v>
      </c>
      <c r="EU21" s="115">
        <f t="shared" ca="1" si="47"/>
        <v>6.5855309782608691</v>
      </c>
      <c r="EV21" s="138">
        <f t="shared" ca="1" si="48"/>
        <v>0.7668231886407908</v>
      </c>
      <c r="EW21" s="138">
        <f t="shared" ca="1" si="49"/>
        <v>1.0895197278814106</v>
      </c>
      <c r="EX21" s="115">
        <v>21.47</v>
      </c>
      <c r="EY21" s="115">
        <f t="shared" ca="1" si="50"/>
        <v>120.51637130482992</v>
      </c>
      <c r="EZ21" s="115">
        <f t="shared" ca="1" si="51"/>
        <v>0.40784700787862138</v>
      </c>
      <c r="FA21" s="138">
        <f t="shared" ca="1" si="127"/>
        <v>7.6593492997933138E-2</v>
      </c>
      <c r="FB21" s="138">
        <f t="shared" ca="1" si="128"/>
        <v>7.6593492997933138E-2</v>
      </c>
      <c r="FC21" s="115">
        <f t="shared" si="52"/>
        <v>21.47</v>
      </c>
      <c r="FD21" s="115">
        <v>37</v>
      </c>
      <c r="FE21" s="115">
        <f t="shared" ca="1" si="53"/>
        <v>154.93355555555553</v>
      </c>
      <c r="FF21" s="115">
        <f t="shared" ca="1" si="54"/>
        <v>0.52252222222222222</v>
      </c>
      <c r="FG21" s="138">
        <f t="shared" ca="1" si="55"/>
        <v>8.1462225449999703E-2</v>
      </c>
      <c r="FH21" s="138">
        <f t="shared" ca="1" si="129"/>
        <v>8.1462225449999703E-2</v>
      </c>
      <c r="FI21" s="115">
        <f t="shared" si="56"/>
        <v>91.655010986328136</v>
      </c>
      <c r="FJ21" s="115">
        <f t="shared" ca="1" si="57"/>
        <v>46.336460660086743</v>
      </c>
      <c r="FK21" s="115">
        <f t="shared" ca="1" si="58"/>
        <v>0.16068567442364162</v>
      </c>
      <c r="FL21" s="138">
        <f t="shared" ca="1" si="59"/>
        <v>0.28217890838947568</v>
      </c>
      <c r="FM21" s="138">
        <f t="shared" ca="1" si="60"/>
        <v>0.70827592986519383</v>
      </c>
      <c r="FN21" s="115">
        <f t="shared" si="130"/>
        <v>91.655010986328136</v>
      </c>
      <c r="FO21" s="115">
        <f t="shared" ca="1" si="61"/>
        <v>58.675293551762906</v>
      </c>
      <c r="FP21" s="115">
        <f t="shared" ca="1" si="62"/>
        <v>0.20179764617284138</v>
      </c>
      <c r="FQ21" s="138">
        <f t="shared" ca="1" si="63"/>
        <v>0.28963032464310018</v>
      </c>
      <c r="FR21" s="138">
        <f t="shared" ca="1" si="64"/>
        <v>0.72697916607080004</v>
      </c>
      <c r="FS21" s="139">
        <f t="shared" si="131"/>
        <v>5.8186715578498784</v>
      </c>
      <c r="FT21" s="249">
        <f t="shared" si="132"/>
        <v>5.0157038590362077</v>
      </c>
      <c r="FU21" s="139">
        <f t="shared" ca="1" si="133"/>
        <v>0.89766671720120761</v>
      </c>
      <c r="FV21" s="249">
        <f t="shared" ca="1" si="134"/>
        <v>0.53744603183354944</v>
      </c>
      <c r="FW21" s="139">
        <f t="shared" ca="1" si="135"/>
        <v>0.7694058724423487</v>
      </c>
      <c r="FX21" s="249">
        <f t="shared" ca="1" si="136"/>
        <v>1.1033542316349503</v>
      </c>
      <c r="FY21" s="249">
        <f t="shared" si="65"/>
        <v>0.15000000000000002</v>
      </c>
      <c r="FZ21" s="139">
        <f t="shared" si="66"/>
        <v>1050000</v>
      </c>
      <c r="GA21" s="139">
        <f t="shared" si="137"/>
        <v>3.3757716049382713E-2</v>
      </c>
      <c r="GB21" s="139">
        <f t="shared" si="138"/>
        <v>121.52777777777777</v>
      </c>
      <c r="GC21" s="139">
        <f t="shared" si="67"/>
        <v>1050000</v>
      </c>
      <c r="GD21" s="139">
        <f t="shared" si="139"/>
        <v>6.7515432098765427E-2</v>
      </c>
      <c r="GE21" s="139">
        <f t="shared" si="140"/>
        <v>243.05555555555554</v>
      </c>
      <c r="GF21" s="139">
        <f t="shared" si="141"/>
        <v>4.5814043209876545E-2</v>
      </c>
      <c r="GG21" s="139">
        <f t="shared" si="68"/>
        <v>712500</v>
      </c>
      <c r="GH21" s="139">
        <f t="shared" si="142"/>
        <v>164.93055555555554</v>
      </c>
      <c r="GI21" s="137">
        <f t="shared" si="69"/>
        <v>49.950418597482589</v>
      </c>
      <c r="GJ21" s="137">
        <f t="shared" si="143"/>
        <v>0.17982150695093588</v>
      </c>
      <c r="GK21" s="251">
        <f t="shared" si="70"/>
        <v>40.342235306747426</v>
      </c>
      <c r="GL21" s="137">
        <f t="shared" si="164"/>
        <v>0.14523204710428958</v>
      </c>
      <c r="GM21" s="137">
        <f t="shared" ca="1" si="71"/>
        <v>9.2698197162591782</v>
      </c>
      <c r="GN21" s="137">
        <f t="shared" ca="1" si="144"/>
        <v>3.3371350978532777E-2</v>
      </c>
      <c r="GO21" s="137">
        <f t="shared" ca="1" si="145"/>
        <v>0.11733949007922918</v>
      </c>
      <c r="GP21" s="137">
        <f t="shared" ca="1" si="72"/>
        <v>10.144282789323375</v>
      </c>
      <c r="GQ21" s="137">
        <f t="shared" ca="1" si="146"/>
        <v>3.6519418041563861E-2</v>
      </c>
      <c r="GR21" s="137">
        <f t="shared" ca="1" si="147"/>
        <v>0.12840864290282653</v>
      </c>
      <c r="GS21" s="140">
        <f t="shared" si="73"/>
        <v>8.3829601133943193E-2</v>
      </c>
      <c r="GT21" s="140">
        <f t="shared" si="74"/>
        <v>7.2261245497134641E-2</v>
      </c>
      <c r="GU21" s="140">
        <f t="shared" si="148"/>
        <v>301.78656408219547</v>
      </c>
      <c r="GV21" s="140">
        <f t="shared" si="149"/>
        <v>260.14048378968471</v>
      </c>
      <c r="GW21" s="141">
        <f t="shared" ca="1" si="75"/>
        <v>8.6131678068820522E-3</v>
      </c>
      <c r="GX21" s="141">
        <f t="shared" ca="1" si="76"/>
        <v>5.15682799709688E-3</v>
      </c>
      <c r="GY21" s="141">
        <f t="shared" ca="1" si="150"/>
        <v>31.007404104775389</v>
      </c>
      <c r="GZ21" s="141">
        <f t="shared" ca="1" si="165"/>
        <v>18.564580789548767</v>
      </c>
      <c r="HA21" s="141">
        <f t="shared" ca="1" si="77"/>
        <v>1.7106010148544327E-2</v>
      </c>
      <c r="HB21" s="141">
        <f t="shared" ca="1" si="78"/>
        <v>1.6252522747468561E-2</v>
      </c>
      <c r="HC21" s="141">
        <f t="shared" ca="1" si="151"/>
        <v>61.581636534759582</v>
      </c>
      <c r="HD21" s="141">
        <f t="shared" ca="1" si="152"/>
        <v>58.509081890886819</v>
      </c>
      <c r="HE21" s="137">
        <f t="shared" si="153"/>
        <v>9.1269441389137107</v>
      </c>
      <c r="HF21" s="250">
        <f t="shared" si="154"/>
        <v>9.1035388176392242</v>
      </c>
      <c r="HG21" s="137">
        <v>3.3082725810638318</v>
      </c>
      <c r="HH21" s="251">
        <v>4.1296384461877897</v>
      </c>
      <c r="HI21" s="137">
        <f t="shared" ca="1" si="155"/>
        <v>1.526100671551613</v>
      </c>
      <c r="HJ21" s="251">
        <f t="shared" ca="1" si="156"/>
        <v>1.5416886155204212</v>
      </c>
      <c r="HK21" s="137">
        <f t="shared" ca="1" si="157"/>
        <v>0.681546044446252</v>
      </c>
      <c r="HL21" s="251">
        <f t="shared" ca="1" si="158"/>
        <v>1.0042425836868718</v>
      </c>
      <c r="HM21" s="137">
        <f t="shared" ca="1" si="159"/>
        <v>0.7668231886407908</v>
      </c>
      <c r="HN21" s="251">
        <f t="shared" ca="1" si="160"/>
        <v>1.0895197278814106</v>
      </c>
      <c r="HO21" s="137">
        <f t="shared" ca="1" si="161"/>
        <v>0.28217890838947568</v>
      </c>
      <c r="HP21" s="251">
        <f t="shared" ca="1" si="162"/>
        <v>0.70827592986519383</v>
      </c>
      <c r="JN21" s="143">
        <f t="shared" si="79"/>
        <v>19.226209967282841</v>
      </c>
      <c r="JO21" s="143">
        <f t="shared" si="80"/>
        <v>3308.2725810638317</v>
      </c>
      <c r="JP21" s="143">
        <f t="shared" si="81"/>
        <v>4087.8349586030163</v>
      </c>
      <c r="JQ21" s="143">
        <f t="shared" si="82"/>
        <v>0.89396887355380594</v>
      </c>
      <c r="JR21" s="143">
        <f t="shared" ca="1" si="83"/>
        <v>1.270171192364725</v>
      </c>
      <c r="JS21" s="143">
        <f t="shared" si="84"/>
        <v>91.655010986328136</v>
      </c>
      <c r="JT21" s="143">
        <f t="shared" ca="1" si="85"/>
        <v>230.05630896957322</v>
      </c>
      <c r="JU21" s="143">
        <f t="shared" si="166"/>
        <v>0.29240217062243468</v>
      </c>
      <c r="JV21" s="143">
        <f t="shared" si="86"/>
        <v>0.36130390883855945</v>
      </c>
      <c r="JW21" s="143">
        <f t="shared" ca="1" si="87"/>
        <v>0.21224149941546952</v>
      </c>
      <c r="JX21" s="143">
        <f t="shared" ca="1" si="88"/>
        <v>0.30155752214296577</v>
      </c>
      <c r="JY21" s="143">
        <f t="shared" si="89"/>
        <v>0.64109824655066427</v>
      </c>
      <c r="JZ21" s="143">
        <f t="shared" si="90"/>
        <v>0.53333259767354246</v>
      </c>
      <c r="KA21" s="143">
        <f t="shared" si="91"/>
        <v>0.27585110436078747</v>
      </c>
      <c r="KB21" s="143">
        <f t="shared" si="92"/>
        <v>0.34085274418732031</v>
      </c>
      <c r="KC21" s="143">
        <f t="shared" ca="1" si="93"/>
        <v>0.4315732882852672</v>
      </c>
      <c r="KD21" s="143">
        <f t="shared" ca="1" si="94"/>
        <v>0.65139132090423713</v>
      </c>
      <c r="KE21" s="143">
        <f t="shared" ca="1" si="95"/>
        <v>0.65008086750521554</v>
      </c>
      <c r="KF21" s="143">
        <f t="shared" ca="1" si="96"/>
        <v>0.36798431837936896</v>
      </c>
      <c r="KG21" s="142">
        <f t="shared" si="97"/>
        <v>0.14523204710428958</v>
      </c>
      <c r="KH21" s="142">
        <f t="shared" ca="1" si="98"/>
        <v>0.12840864290282653</v>
      </c>
      <c r="KI21" s="142">
        <f t="shared" ca="1" si="99"/>
        <v>394.37560472173044</v>
      </c>
      <c r="KJ21" s="142">
        <f t="shared" ca="1" si="100"/>
        <v>337.21414647012028</v>
      </c>
    </row>
    <row r="22" spans="1:296" ht="17.25" thickBot="1" x14ac:dyDescent="0.35">
      <c r="A22" s="195">
        <v>41305</v>
      </c>
      <c r="B22" s="196">
        <v>19</v>
      </c>
      <c r="C22" s="188">
        <v>24</v>
      </c>
      <c r="D22" s="188">
        <v>4.2</v>
      </c>
      <c r="E22" s="188">
        <v>50016</v>
      </c>
      <c r="F22" s="188">
        <v>300</v>
      </c>
      <c r="G22" s="188">
        <v>11.7</v>
      </c>
      <c r="H22" s="188">
        <v>0.85</v>
      </c>
      <c r="I22" s="188">
        <v>1.4</v>
      </c>
      <c r="J22" s="188">
        <v>1.33</v>
      </c>
      <c r="K22" s="188">
        <v>0.91</v>
      </c>
      <c r="L22" s="171">
        <v>27477.821716323495</v>
      </c>
      <c r="M22" s="174">
        <v>19</v>
      </c>
      <c r="N22" s="172">
        <v>80339.917502112687</v>
      </c>
      <c r="O22" s="176">
        <v>17</v>
      </c>
      <c r="P22" s="177">
        <v>2</v>
      </c>
      <c r="Q22" s="177">
        <v>5</v>
      </c>
      <c r="R22" s="168">
        <v>403.35372924804687</v>
      </c>
      <c r="S22" s="169">
        <v>82.088154537952505</v>
      </c>
      <c r="T22" s="166">
        <v>180</v>
      </c>
      <c r="U22" s="170">
        <v>3.2551841735839844</v>
      </c>
      <c r="V22" s="176">
        <v>17</v>
      </c>
      <c r="W22" s="177">
        <v>1250</v>
      </c>
      <c r="X22" s="169">
        <v>85115.69223202765</v>
      </c>
      <c r="Y22" s="169">
        <v>10565.322700241581</v>
      </c>
      <c r="Z22" s="169">
        <v>340.87326049804687</v>
      </c>
      <c r="AA22" s="169">
        <v>11.092818260192871</v>
      </c>
      <c r="AB22" s="169">
        <v>14.259576797485352</v>
      </c>
      <c r="AC22" s="212">
        <v>37</v>
      </c>
      <c r="AD22" s="212">
        <v>29.079254150390625</v>
      </c>
      <c r="AE22" s="254">
        <v>20</v>
      </c>
      <c r="AF22" s="254">
        <v>10</v>
      </c>
      <c r="AG22" s="217">
        <v>5000000</v>
      </c>
      <c r="AH22" s="218">
        <v>300000</v>
      </c>
      <c r="AI22" s="219">
        <v>5000000</v>
      </c>
      <c r="AJ22" s="225">
        <f t="shared" si="0"/>
        <v>300000</v>
      </c>
      <c r="AK22" s="220">
        <v>2750000</v>
      </c>
      <c r="AL22" s="226">
        <f t="shared" si="1"/>
        <v>300000</v>
      </c>
      <c r="AM22" s="221">
        <v>14.407</v>
      </c>
      <c r="BM22" s="197">
        <f t="shared" si="2"/>
        <v>7.920745849609375</v>
      </c>
      <c r="BN22" s="196">
        <f t="shared" si="3"/>
        <v>180</v>
      </c>
      <c r="BO22" s="197">
        <f t="shared" si="4"/>
        <v>3.1667585372924805</v>
      </c>
      <c r="BP22" s="196">
        <f t="shared" si="5"/>
        <v>12.689300724752385</v>
      </c>
      <c r="BQ22" s="115">
        <f t="shared" si="6"/>
        <v>659.74492511188635</v>
      </c>
      <c r="BR22" s="184">
        <f t="shared" si="7"/>
        <v>1.0041987768</v>
      </c>
      <c r="BS22" s="115">
        <f t="shared" si="8"/>
        <v>6863.8528613899143</v>
      </c>
      <c r="BT22" s="196">
        <v>900</v>
      </c>
      <c r="BU22" s="115">
        <f t="shared" si="101"/>
        <v>1.1850729520000001</v>
      </c>
      <c r="BV22" s="115">
        <f t="shared" si="102"/>
        <v>1.0743290015851155</v>
      </c>
      <c r="BW22" s="115">
        <f t="shared" si="103"/>
        <v>480.66769911241749</v>
      </c>
      <c r="BX22" s="115">
        <f t="shared" si="9"/>
        <v>1156.3236356794534</v>
      </c>
      <c r="BY22" s="115"/>
      <c r="BZ22" s="115">
        <f t="shared" si="10"/>
        <v>675.65593656703595</v>
      </c>
      <c r="CA22" s="115">
        <f t="shared" si="11"/>
        <v>10951.756489917565</v>
      </c>
      <c r="CB22" s="115">
        <f t="shared" si="12"/>
        <v>3347.4965625880286</v>
      </c>
      <c r="CC22" s="115">
        <f t="shared" si="13"/>
        <v>1144.9092381801456</v>
      </c>
      <c r="CD22" s="129">
        <f t="shared" si="104"/>
        <v>0.2262132193217955</v>
      </c>
      <c r="CE22" s="115">
        <f t="shared" si="14"/>
        <v>20.051368264590991</v>
      </c>
      <c r="CF22" s="115">
        <f t="shared" si="15"/>
        <v>22.802265149431253</v>
      </c>
      <c r="CG22" s="115">
        <f t="shared" si="16"/>
        <v>0.02</v>
      </c>
      <c r="CH22" s="115">
        <f t="shared" si="17"/>
        <v>0.05</v>
      </c>
      <c r="CI22" s="136">
        <v>30</v>
      </c>
      <c r="CJ22" s="115">
        <f t="shared" si="18"/>
        <v>165</v>
      </c>
      <c r="CK22" s="115">
        <f t="shared" si="19"/>
        <v>453</v>
      </c>
      <c r="CL22" s="115">
        <f t="shared" si="20"/>
        <v>676.35372924804687</v>
      </c>
      <c r="CM22" s="115">
        <f t="shared" ca="1" si="21"/>
        <v>2816.5993052117487</v>
      </c>
      <c r="CN22" s="115">
        <f t="shared" ca="1" si="22"/>
        <v>125.80344444444444</v>
      </c>
      <c r="CO22" s="115">
        <f t="shared" ca="1" si="23"/>
        <v>690.58718083896258</v>
      </c>
      <c r="CP22" s="115">
        <f t="shared" ca="1" si="24"/>
        <v>2790.6388281929471</v>
      </c>
      <c r="CQ22" s="115">
        <f t="shared" si="105"/>
        <v>1.072449112508886</v>
      </c>
      <c r="CR22" s="115">
        <f t="shared" ca="1" si="25"/>
        <v>536.22189839431053</v>
      </c>
      <c r="CS22" s="115">
        <f t="shared" ca="1" si="26"/>
        <v>26.536767637286367</v>
      </c>
      <c r="CT22" s="115">
        <f t="shared" si="106"/>
        <v>1.125158795366439</v>
      </c>
      <c r="CU22" s="115">
        <f t="shared" ca="1" si="107"/>
        <v>1.0205504610090972</v>
      </c>
      <c r="CV22" s="115">
        <f t="shared" si="108"/>
        <v>202.65593656703595</v>
      </c>
      <c r="CW22" s="115">
        <f t="shared" si="27"/>
        <v>473</v>
      </c>
      <c r="CX22" s="115">
        <f t="shared" si="28"/>
        <v>438</v>
      </c>
      <c r="CY22" s="115">
        <f t="shared" ca="1" si="109"/>
        <v>446.46323236271365</v>
      </c>
      <c r="CZ22" s="115">
        <f t="shared" ca="1" si="29"/>
        <v>229.89049688533322</v>
      </c>
      <c r="DA22" s="115">
        <v>0.21890000000000001</v>
      </c>
      <c r="DB22" s="115">
        <v>2.7E-2</v>
      </c>
      <c r="DC22" s="115">
        <v>1.06</v>
      </c>
      <c r="DD22" s="138">
        <f t="shared" si="30"/>
        <v>11.993137200254861</v>
      </c>
      <c r="DE22" s="138">
        <f t="shared" si="110"/>
        <v>11.993137200254861</v>
      </c>
      <c r="DF22" s="115">
        <f t="shared" si="31"/>
        <v>676.35372924804687</v>
      </c>
      <c r="DG22" s="115">
        <v>675.65593656703595</v>
      </c>
      <c r="DH22" s="115">
        <f t="shared" si="111"/>
        <v>1.125158795366439</v>
      </c>
      <c r="DI22" s="115">
        <f t="shared" si="112"/>
        <v>1.124971162109702</v>
      </c>
      <c r="DJ22" s="138">
        <f t="shared" si="32"/>
        <v>2.8983984645118346</v>
      </c>
      <c r="DK22" s="138">
        <f t="shared" si="33"/>
        <v>2.8894791204240855</v>
      </c>
      <c r="DL22" s="115">
        <f t="shared" si="113"/>
        <v>676.35372924804687</v>
      </c>
      <c r="DM22" s="115">
        <f t="shared" si="167"/>
        <v>675.65593656703595</v>
      </c>
      <c r="DN22" s="115">
        <f t="shared" si="34"/>
        <v>12.804658004068317</v>
      </c>
      <c r="DO22" s="115">
        <f t="shared" si="114"/>
        <v>1.125158795366439</v>
      </c>
      <c r="DP22" s="115">
        <f t="shared" si="115"/>
        <v>1.124971162109702</v>
      </c>
      <c r="DQ22" s="115">
        <v>298.14999999999998</v>
      </c>
      <c r="DR22" s="138">
        <f t="shared" si="116"/>
        <v>1.9303333773648825</v>
      </c>
      <c r="DS22" s="138">
        <f t="shared" si="117"/>
        <v>1.924393094202441</v>
      </c>
      <c r="DT22" s="115">
        <f t="shared" si="35"/>
        <v>676.35372924804687</v>
      </c>
      <c r="DU22" s="139">
        <f t="shared" si="118"/>
        <v>6.4215552152534787</v>
      </c>
      <c r="DV22" s="115">
        <f t="shared" si="119"/>
        <v>1.125158795366439</v>
      </c>
      <c r="DW22" s="115">
        <v>298.14999999999998</v>
      </c>
      <c r="DX22" s="138">
        <f t="shared" si="36"/>
        <v>0.96806508714695261</v>
      </c>
      <c r="DY22" s="138">
        <f t="shared" si="37"/>
        <v>0.96508602622164441</v>
      </c>
      <c r="DZ22" s="138">
        <f t="shared" si="38"/>
        <v>3.3474965625880286</v>
      </c>
      <c r="EA22" s="138">
        <f t="shared" si="39"/>
        <v>4.0879036285276511</v>
      </c>
      <c r="EB22" s="115">
        <f t="shared" si="120"/>
        <v>22.802265149431253</v>
      </c>
      <c r="EC22" s="115">
        <v>30</v>
      </c>
      <c r="ED22" s="198">
        <f t="shared" ca="1" si="40"/>
        <v>125.80344444444444</v>
      </c>
      <c r="EE22" s="198">
        <v>104.83</v>
      </c>
      <c r="EF22" s="198">
        <f t="shared" ca="1" si="41"/>
        <v>0.42491111111111107</v>
      </c>
      <c r="EG22" s="199">
        <v>0.36720000000000003</v>
      </c>
      <c r="EH22" s="138">
        <f t="shared" ca="1" si="121"/>
        <v>8.5893320538539472E-2</v>
      </c>
      <c r="EI22" s="138">
        <f t="shared" ca="1" si="122"/>
        <v>8.5893320538539472E-2</v>
      </c>
      <c r="EJ22" s="115">
        <f t="shared" si="42"/>
        <v>12.804658004068317</v>
      </c>
      <c r="EK22" s="115">
        <v>435</v>
      </c>
      <c r="EL22" s="115">
        <f t="shared" ca="1" si="43"/>
        <v>446.46323236271365</v>
      </c>
      <c r="EM22" s="115">
        <f t="shared" ca="1" si="123"/>
        <v>1.0624904184744726</v>
      </c>
      <c r="EN22" s="115">
        <f t="shared" ca="1" si="124"/>
        <v>1.0660337318008661</v>
      </c>
      <c r="EO22" s="115">
        <v>298.14999999999998</v>
      </c>
      <c r="EP22" s="138">
        <f t="shared" ca="1" si="125"/>
        <v>0.32956388137008558</v>
      </c>
      <c r="EQ22" s="138">
        <f t="shared" ca="1" si="126"/>
        <v>0.38127852026468673</v>
      </c>
      <c r="ER22" s="115">
        <f t="shared" si="44"/>
        <v>0.90421782599555123</v>
      </c>
      <c r="ES22" s="115">
        <f t="shared" si="45"/>
        <v>453</v>
      </c>
      <c r="ET22" s="115">
        <f t="shared" ca="1" si="46"/>
        <v>2816.5993052117487</v>
      </c>
      <c r="EU22" s="115">
        <f t="shared" ca="1" si="47"/>
        <v>6.5855309782608691</v>
      </c>
      <c r="EV22" s="138">
        <f t="shared" ca="1" si="48"/>
        <v>0.77561447279407947</v>
      </c>
      <c r="EW22" s="138">
        <f t="shared" ca="1" si="49"/>
        <v>1.0902028725251491</v>
      </c>
      <c r="EX22" s="115">
        <v>21.47</v>
      </c>
      <c r="EY22" s="115">
        <f t="shared" ca="1" si="50"/>
        <v>121.78435409206814</v>
      </c>
      <c r="EZ22" s="115">
        <f t="shared" ca="1" si="51"/>
        <v>0.41207182176378038</v>
      </c>
      <c r="FA22" s="138">
        <f t="shared" ca="1" si="127"/>
        <v>7.6772864700740309E-2</v>
      </c>
      <c r="FB22" s="138">
        <f t="shared" ca="1" si="128"/>
        <v>7.6772864700740309E-2</v>
      </c>
      <c r="FC22" s="115">
        <f t="shared" si="52"/>
        <v>21.47</v>
      </c>
      <c r="FD22" s="115">
        <v>37</v>
      </c>
      <c r="FE22" s="115">
        <f t="shared" ca="1" si="53"/>
        <v>154.93355555555553</v>
      </c>
      <c r="FF22" s="115">
        <f t="shared" ca="1" si="54"/>
        <v>0.52252222222222222</v>
      </c>
      <c r="FG22" s="138">
        <f t="shared" ca="1" si="55"/>
        <v>8.1462225449999703E-2</v>
      </c>
      <c r="FH22" s="138">
        <f t="shared" ca="1" si="129"/>
        <v>8.1462225449999703E-2</v>
      </c>
      <c r="FI22" s="115">
        <f t="shared" si="56"/>
        <v>95.444512939453134</v>
      </c>
      <c r="FJ22" s="115">
        <f t="shared" ca="1" si="57"/>
        <v>46.509121398713859</v>
      </c>
      <c r="FK22" s="115">
        <f t="shared" ca="1" si="58"/>
        <v>0.16126096573935614</v>
      </c>
      <c r="FL22" s="138">
        <f t="shared" ca="1" si="59"/>
        <v>0.2939542547503986</v>
      </c>
      <c r="FM22" s="138">
        <f t="shared" ca="1" si="60"/>
        <v>0.66649990307485396</v>
      </c>
      <c r="FN22" s="115">
        <f t="shared" si="130"/>
        <v>95.444512939453134</v>
      </c>
      <c r="FO22" s="115">
        <f t="shared" ca="1" si="61"/>
        <v>59.76235773934259</v>
      </c>
      <c r="FP22" s="115">
        <f t="shared" ca="1" si="62"/>
        <v>0.2054196542316013</v>
      </c>
      <c r="FQ22" s="138">
        <f t="shared" ca="1" si="63"/>
        <v>0.30228879095005318</v>
      </c>
      <c r="FR22" s="138">
        <f t="shared" ca="1" si="64"/>
        <v>0.68539729094889734</v>
      </c>
      <c r="FS22" s="139">
        <f t="shared" si="131"/>
        <v>5.7472421731549961</v>
      </c>
      <c r="FT22" s="249">
        <f t="shared" si="132"/>
        <v>5.0157544513031249</v>
      </c>
      <c r="FU22" s="139">
        <f t="shared" ca="1" si="133"/>
        <v>0.91104834373925669</v>
      </c>
      <c r="FV22" s="249">
        <f t="shared" ca="1" si="134"/>
        <v>0.53880502195114466</v>
      </c>
      <c r="FW22" s="139">
        <f t="shared" ca="1" si="135"/>
        <v>0.77925964824447469</v>
      </c>
      <c r="FX22" s="249">
        <f t="shared" ca="1" si="136"/>
        <v>1.1044108996499333</v>
      </c>
      <c r="FY22" s="249">
        <f t="shared" si="65"/>
        <v>0.15000000000000002</v>
      </c>
      <c r="FZ22" s="139">
        <f t="shared" si="66"/>
        <v>1050000</v>
      </c>
      <c r="GA22" s="139">
        <f t="shared" si="137"/>
        <v>3.3757716049382713E-2</v>
      </c>
      <c r="GB22" s="139">
        <f t="shared" si="138"/>
        <v>121.52777777777777</v>
      </c>
      <c r="GC22" s="139">
        <f t="shared" si="67"/>
        <v>1050000</v>
      </c>
      <c r="GD22" s="139">
        <f t="shared" si="139"/>
        <v>6.7515432098765427E-2</v>
      </c>
      <c r="GE22" s="139">
        <f t="shared" si="140"/>
        <v>243.05555555555554</v>
      </c>
      <c r="GF22" s="139">
        <f t="shared" si="141"/>
        <v>4.5814043209876545E-2</v>
      </c>
      <c r="GG22" s="139">
        <f t="shared" si="68"/>
        <v>712500</v>
      </c>
      <c r="GH22" s="139">
        <f t="shared" si="142"/>
        <v>164.93055555555554</v>
      </c>
      <c r="GI22" s="137">
        <f t="shared" si="69"/>
        <v>49.226523144756513</v>
      </c>
      <c r="GJ22" s="137">
        <f t="shared" si="143"/>
        <v>0.17721548332112202</v>
      </c>
      <c r="GK22" s="251">
        <f t="shared" si="70"/>
        <v>40.341977940635104</v>
      </c>
      <c r="GL22" s="137">
        <f t="shared" si="164"/>
        <v>0.14523112058628521</v>
      </c>
      <c r="GM22" s="137">
        <f t="shared" ca="1" si="71"/>
        <v>9.3320049861762051</v>
      </c>
      <c r="GN22" s="137">
        <f t="shared" ca="1" si="144"/>
        <v>3.3595217950234069E-2</v>
      </c>
      <c r="GO22" s="137">
        <f t="shared" ca="1" si="145"/>
        <v>0.11812664539463456</v>
      </c>
      <c r="GP22" s="137">
        <f t="shared" ca="1" si="72"/>
        <v>10.10822486492088</v>
      </c>
      <c r="GQ22" s="137">
        <f t="shared" ca="1" si="146"/>
        <v>3.638960951371488E-2</v>
      </c>
      <c r="GR22" s="137">
        <f t="shared" ca="1" si="147"/>
        <v>0.12795221348001012</v>
      </c>
      <c r="GS22" s="140">
        <f t="shared" si="73"/>
        <v>8.2800517988644032E-2</v>
      </c>
      <c r="GT22" s="140">
        <f t="shared" si="74"/>
        <v>7.2261974379924127E-2</v>
      </c>
      <c r="GU22" s="140">
        <f t="shared" si="148"/>
        <v>298.0818647591185</v>
      </c>
      <c r="GV22" s="140">
        <f t="shared" si="149"/>
        <v>260.14310776772686</v>
      </c>
      <c r="GW22" s="141">
        <f t="shared" ca="1" si="75"/>
        <v>8.7415653431754791E-3</v>
      </c>
      <c r="GX22" s="141">
        <f t="shared" ca="1" si="76"/>
        <v>5.1698675915325927E-3</v>
      </c>
      <c r="GY22" s="141">
        <f t="shared" ca="1" si="150"/>
        <v>31.469635235431724</v>
      </c>
      <c r="GZ22" s="141">
        <f t="shared" ca="1" si="165"/>
        <v>18.611523329517333</v>
      </c>
      <c r="HA22" s="141">
        <f t="shared" ca="1" si="77"/>
        <v>1.7353426002910833E-2</v>
      </c>
      <c r="HB22" s="141">
        <f t="shared" ca="1" si="78"/>
        <v>1.6282048691070375E-2</v>
      </c>
      <c r="HC22" s="141">
        <f t="shared" ca="1" si="151"/>
        <v>62.472333610478998</v>
      </c>
      <c r="HD22" s="141">
        <f t="shared" ca="1" si="152"/>
        <v>58.615375287853347</v>
      </c>
      <c r="HE22" s="137">
        <f t="shared" si="153"/>
        <v>9.0947387357430252</v>
      </c>
      <c r="HF22" s="250">
        <f t="shared" si="154"/>
        <v>9.103658079830776</v>
      </c>
      <c r="HG22" s="137">
        <v>3.3474965625880286</v>
      </c>
      <c r="HH22" s="251">
        <v>4.0720047954315435</v>
      </c>
      <c r="HI22" s="137">
        <f t="shared" ca="1" si="155"/>
        <v>1.5490548571001959</v>
      </c>
      <c r="HJ22" s="251">
        <f t="shared" ca="1" si="156"/>
        <v>1.5431145739377543</v>
      </c>
      <c r="HK22" s="137">
        <f t="shared" ca="1" si="157"/>
        <v>0.68972115225553998</v>
      </c>
      <c r="HL22" s="251">
        <f t="shared" ca="1" si="158"/>
        <v>1.0043095519866096</v>
      </c>
      <c r="HM22" s="137">
        <f t="shared" ca="1" si="159"/>
        <v>0.77561447279407947</v>
      </c>
      <c r="HN22" s="251">
        <f t="shared" ca="1" si="160"/>
        <v>1.0902028725251491</v>
      </c>
      <c r="HO22" s="137">
        <f t="shared" ca="1" si="161"/>
        <v>0.2939542547503986</v>
      </c>
      <c r="HP22" s="251">
        <f t="shared" ca="1" si="162"/>
        <v>0.66649990307485396</v>
      </c>
      <c r="JN22" s="143">
        <f t="shared" si="79"/>
        <v>19.226213219321796</v>
      </c>
      <c r="JO22" s="143">
        <f t="shared" si="80"/>
        <v>3347.4965625880286</v>
      </c>
      <c r="JP22" s="143">
        <f t="shared" si="81"/>
        <v>4087.9036285276507</v>
      </c>
      <c r="JQ22" s="143">
        <f t="shared" si="82"/>
        <v>0.90421782599555123</v>
      </c>
      <c r="JR22" s="143">
        <f t="shared" ca="1" si="83"/>
        <v>1.2709676080922148</v>
      </c>
      <c r="JS22" s="143">
        <f t="shared" si="84"/>
        <v>95.444512939453134</v>
      </c>
      <c r="JT22" s="143">
        <f t="shared" ca="1" si="85"/>
        <v>216.40700073277605</v>
      </c>
      <c r="JU22" s="143">
        <f t="shared" si="166"/>
        <v>0.29586473473078478</v>
      </c>
      <c r="JV22" s="143">
        <f t="shared" si="86"/>
        <v>0.36130478405160144</v>
      </c>
      <c r="JW22" s="143">
        <f t="shared" ca="1" si="87"/>
        <v>0.21467149161635837</v>
      </c>
      <c r="JX22" s="143">
        <f t="shared" ca="1" si="88"/>
        <v>0.30174201877167295</v>
      </c>
      <c r="JY22" s="143">
        <f t="shared" si="89"/>
        <v>0.64684191786976086</v>
      </c>
      <c r="JZ22" s="143">
        <f t="shared" si="90"/>
        <v>0.63681449716936456</v>
      </c>
      <c r="KA22" s="143">
        <f t="shared" si="91"/>
        <v>0.27911767427432521</v>
      </c>
      <c r="KB22" s="143">
        <f t="shared" si="92"/>
        <v>0.34085356986000137</v>
      </c>
      <c r="KC22" s="143">
        <f t="shared" ca="1" si="93"/>
        <v>0.43086850041886471</v>
      </c>
      <c r="KD22" s="143">
        <f t="shared" ca="1" si="94"/>
        <v>0.65083278257413513</v>
      </c>
      <c r="KE22" s="143">
        <f t="shared" ca="1" si="95"/>
        <v>0.61135401480927476</v>
      </c>
      <c r="KF22" s="143">
        <f t="shared" ca="1" si="96"/>
        <v>0.37899531927434976</v>
      </c>
      <c r="KG22" s="142">
        <f t="shared" si="97"/>
        <v>0.14523112058628521</v>
      </c>
      <c r="KH22" s="142">
        <f t="shared" ca="1" si="98"/>
        <v>0.12795221348001012</v>
      </c>
      <c r="KI22" s="142">
        <f t="shared" ca="1" si="99"/>
        <v>392.02383360502921</v>
      </c>
      <c r="KJ22" s="142">
        <f t="shared" ca="1" si="100"/>
        <v>337.37000638509755</v>
      </c>
    </row>
    <row r="23" spans="1:296" x14ac:dyDescent="0.3">
      <c r="A23" s="200">
        <v>41306</v>
      </c>
      <c r="B23" s="196">
        <v>20</v>
      </c>
      <c r="C23" s="206">
        <v>24</v>
      </c>
      <c r="D23" s="147">
        <v>4.2</v>
      </c>
      <c r="E23" s="147">
        <v>50016</v>
      </c>
      <c r="F23" s="147">
        <v>300</v>
      </c>
      <c r="G23" s="147">
        <v>11.7</v>
      </c>
      <c r="H23" s="147">
        <v>0.85</v>
      </c>
      <c r="I23" s="147">
        <v>1.4</v>
      </c>
      <c r="J23" s="147">
        <v>1.33</v>
      </c>
      <c r="K23" s="147">
        <v>0.91</v>
      </c>
      <c r="L23" s="147">
        <v>28283.038980148733</v>
      </c>
      <c r="M23" s="150">
        <v>19</v>
      </c>
      <c r="N23" s="148">
        <v>82197.831110969186</v>
      </c>
      <c r="O23" s="185">
        <v>17</v>
      </c>
      <c r="P23" s="147">
        <v>2</v>
      </c>
      <c r="Q23" s="147">
        <v>5</v>
      </c>
      <c r="R23" s="149">
        <v>402.7288818359375</v>
      </c>
      <c r="S23" s="150">
        <v>84.176639755140059</v>
      </c>
      <c r="T23" s="147">
        <v>180</v>
      </c>
      <c r="U23" s="151">
        <v>3.2979092597961426</v>
      </c>
      <c r="V23" s="185">
        <v>17</v>
      </c>
      <c r="W23" s="147">
        <v>1250</v>
      </c>
      <c r="X23" s="150">
        <v>86215.213364809752</v>
      </c>
      <c r="Y23" s="150">
        <v>10928.748136807233</v>
      </c>
      <c r="Z23" s="150">
        <v>333.41519165039063</v>
      </c>
      <c r="AA23" s="150">
        <v>11.932709693908691</v>
      </c>
      <c r="AB23" s="150">
        <v>15.201764106750488</v>
      </c>
      <c r="AC23" s="214">
        <v>37</v>
      </c>
      <c r="AD23" s="214">
        <v>29.408817291259766</v>
      </c>
      <c r="AE23" s="254">
        <v>20</v>
      </c>
      <c r="AF23" s="254">
        <v>10</v>
      </c>
      <c r="AG23" s="217">
        <v>5000000</v>
      </c>
      <c r="AH23" s="218">
        <v>300000</v>
      </c>
      <c r="AI23" s="219">
        <v>5000000</v>
      </c>
      <c r="AJ23" s="225">
        <f t="shared" si="0"/>
        <v>300000</v>
      </c>
      <c r="AK23" s="220">
        <v>2750000</v>
      </c>
      <c r="AL23" s="226">
        <f t="shared" si="1"/>
        <v>300000</v>
      </c>
      <c r="AM23" s="221">
        <v>14.407</v>
      </c>
      <c r="BK23" s="283"/>
      <c r="BM23" s="197">
        <f t="shared" si="2"/>
        <v>7.5911827087402344</v>
      </c>
      <c r="BN23" s="196">
        <f t="shared" si="3"/>
        <v>180</v>
      </c>
      <c r="BO23" s="197">
        <f t="shared" si="4"/>
        <v>3.2690544128417969</v>
      </c>
      <c r="BP23" s="196">
        <f t="shared" si="5"/>
        <v>12.693675872182679</v>
      </c>
      <c r="BQ23" s="115">
        <f t="shared" si="6"/>
        <v>659.74492511188635</v>
      </c>
      <c r="BR23" s="184">
        <f t="shared" si="7"/>
        <v>1.0041987768</v>
      </c>
      <c r="BS23" s="115">
        <f t="shared" si="8"/>
        <v>6863.8528613899143</v>
      </c>
      <c r="BT23" s="196">
        <v>900</v>
      </c>
      <c r="BU23" s="115">
        <f t="shared" si="101"/>
        <v>1.1850729520000001</v>
      </c>
      <c r="BV23" s="115">
        <f t="shared" si="102"/>
        <v>1.0758018229310302</v>
      </c>
      <c r="BW23" s="115">
        <f t="shared" si="103"/>
        <v>486.64347828334076</v>
      </c>
      <c r="BX23" s="115">
        <f t="shared" si="9"/>
        <v>1170.6993357934805</v>
      </c>
      <c r="BY23" s="115"/>
      <c r="BZ23" s="115">
        <f t="shared" si="10"/>
        <v>684.05585751013973</v>
      </c>
      <c r="CA23" s="115">
        <f t="shared" si="11"/>
        <v>11091.734426792204</v>
      </c>
      <c r="CB23" s="115">
        <f t="shared" si="12"/>
        <v>3424.9096296237162</v>
      </c>
      <c r="CC23" s="115">
        <f t="shared" si="13"/>
        <v>1178.4599575061973</v>
      </c>
      <c r="CD23" s="129">
        <f t="shared" si="104"/>
        <v>0.23284223057981621</v>
      </c>
      <c r="CE23" s="115">
        <f t="shared" si="14"/>
        <v>19.612658332375918</v>
      </c>
      <c r="CF23" s="115">
        <f t="shared" si="15"/>
        <v>23.38239993198335</v>
      </c>
      <c r="CG23" s="115">
        <f t="shared" si="16"/>
        <v>0.02</v>
      </c>
      <c r="CH23" s="115">
        <f t="shared" si="17"/>
        <v>0.05</v>
      </c>
      <c r="CI23" s="136">
        <v>30</v>
      </c>
      <c r="CJ23" s="115">
        <f t="shared" si="18"/>
        <v>165</v>
      </c>
      <c r="CK23" s="115">
        <f t="shared" si="19"/>
        <v>453</v>
      </c>
      <c r="CL23" s="115">
        <f t="shared" si="20"/>
        <v>675.7288818359375</v>
      </c>
      <c r="CM23" s="115">
        <f t="shared" ca="1" si="21"/>
        <v>2816.5993052117487</v>
      </c>
      <c r="CN23" s="115">
        <f t="shared" ca="1" si="22"/>
        <v>125.80344444444444</v>
      </c>
      <c r="CO23" s="115">
        <f t="shared" ca="1" si="23"/>
        <v>690.58718083896258</v>
      </c>
      <c r="CP23" s="115">
        <f t="shared" ca="1" si="24"/>
        <v>2790.6388281929471</v>
      </c>
      <c r="CQ23" s="115">
        <f t="shared" si="105"/>
        <v>1.072449112508886</v>
      </c>
      <c r="CR23" s="115">
        <f t="shared" ca="1" si="25"/>
        <v>543.25994159434242</v>
      </c>
      <c r="CS23" s="115">
        <f t="shared" ca="1" si="26"/>
        <v>26.875802669523779</v>
      </c>
      <c r="CT23" s="115">
        <f t="shared" si="106"/>
        <v>1.1249907757097224</v>
      </c>
      <c r="CU23" s="115">
        <f t="shared" ca="1" si="107"/>
        <v>1.0205003758689912</v>
      </c>
      <c r="CV23" s="115">
        <f t="shared" si="108"/>
        <v>211.05585751013973</v>
      </c>
      <c r="CW23" s="115">
        <f t="shared" si="27"/>
        <v>473</v>
      </c>
      <c r="CX23" s="115">
        <f t="shared" si="28"/>
        <v>438</v>
      </c>
      <c r="CY23" s="115">
        <f t="shared" ca="1" si="109"/>
        <v>446.12419733047625</v>
      </c>
      <c r="CZ23" s="115">
        <f t="shared" ca="1" si="29"/>
        <v>229.60468450546125</v>
      </c>
      <c r="DA23" s="115">
        <v>0.21890000000000001</v>
      </c>
      <c r="DB23" s="115">
        <v>2.7E-2</v>
      </c>
      <c r="DC23" s="115">
        <v>1.06</v>
      </c>
      <c r="DD23" s="138">
        <f t="shared" si="30"/>
        <v>12.344587224960893</v>
      </c>
      <c r="DE23" s="138">
        <f t="shared" si="110"/>
        <v>12.344587224960893</v>
      </c>
      <c r="DF23" s="115">
        <f t="shared" si="31"/>
        <v>675.7288818359375</v>
      </c>
      <c r="DG23" s="115">
        <v>684.05585751013973</v>
      </c>
      <c r="DH23" s="115">
        <f t="shared" si="111"/>
        <v>1.1249907757097224</v>
      </c>
      <c r="DI23" s="115">
        <f t="shared" si="112"/>
        <v>1.1272312850852855</v>
      </c>
      <c r="DJ23" s="138">
        <f t="shared" si="32"/>
        <v>2.891407652890293</v>
      </c>
      <c r="DK23" s="138">
        <f t="shared" si="33"/>
        <v>2.9985268594245444</v>
      </c>
      <c r="DL23" s="115">
        <f t="shared" si="113"/>
        <v>675.7288818359375</v>
      </c>
      <c r="DM23" s="115">
        <f t="shared" si="167"/>
        <v>684.05585751013973</v>
      </c>
      <c r="DN23" s="115">
        <f t="shared" si="34"/>
        <v>12.809072925566158</v>
      </c>
      <c r="DO23" s="115">
        <f t="shared" si="114"/>
        <v>1.1249907757097224</v>
      </c>
      <c r="DP23" s="115">
        <f t="shared" si="115"/>
        <v>1.1272312850852855</v>
      </c>
      <c r="DQ23" s="115">
        <v>298.14999999999998</v>
      </c>
      <c r="DR23" s="138">
        <f t="shared" si="116"/>
        <v>1.9256774968249351</v>
      </c>
      <c r="DS23" s="138">
        <f t="shared" si="117"/>
        <v>1.997018888376747</v>
      </c>
      <c r="DT23" s="115">
        <f t="shared" si="35"/>
        <v>675.7288818359375</v>
      </c>
      <c r="DU23" s="139">
        <f t="shared" si="118"/>
        <v>6.4237693050136588</v>
      </c>
      <c r="DV23" s="115">
        <f t="shared" si="119"/>
        <v>1.1249907757097224</v>
      </c>
      <c r="DW23" s="115">
        <v>298.14999999999998</v>
      </c>
      <c r="DX23" s="138">
        <f t="shared" si="36"/>
        <v>0.96573015606535773</v>
      </c>
      <c r="DY23" s="138">
        <f t="shared" si="37"/>
        <v>1.0015079710477979</v>
      </c>
      <c r="DZ23" s="138">
        <f t="shared" si="38"/>
        <v>3.4249096296237163</v>
      </c>
      <c r="EA23" s="138">
        <f t="shared" si="39"/>
        <v>4.2278815654022894</v>
      </c>
      <c r="EB23" s="115">
        <f t="shared" si="120"/>
        <v>23.38239993198335</v>
      </c>
      <c r="EC23" s="115">
        <v>30</v>
      </c>
      <c r="ED23" s="198">
        <f t="shared" ca="1" si="40"/>
        <v>125.80344444444444</v>
      </c>
      <c r="EE23" s="198">
        <v>104.83</v>
      </c>
      <c r="EF23" s="198">
        <f t="shared" ca="1" si="41"/>
        <v>0.42491111111111107</v>
      </c>
      <c r="EG23" s="199">
        <v>0.36720000000000003</v>
      </c>
      <c r="EH23" s="138">
        <f t="shared" ca="1" si="121"/>
        <v>8.8078616714456714E-2</v>
      </c>
      <c r="EI23" s="138">
        <f t="shared" ca="1" si="122"/>
        <v>8.8078616714456714E-2</v>
      </c>
      <c r="EJ23" s="115">
        <f t="shared" si="42"/>
        <v>12.809072925566158</v>
      </c>
      <c r="EK23" s="115">
        <v>435</v>
      </c>
      <c r="EL23" s="115">
        <f t="shared" ca="1" si="43"/>
        <v>446.12419733047625</v>
      </c>
      <c r="EM23" s="115">
        <f t="shared" ca="1" si="123"/>
        <v>1.0625152233931616</v>
      </c>
      <c r="EN23" s="115">
        <f t="shared" ca="1" si="124"/>
        <v>1.0659527169887324</v>
      </c>
      <c r="EO23" s="115">
        <v>298.14999999999998</v>
      </c>
      <c r="EP23" s="138">
        <f t="shared" ca="1" si="125"/>
        <v>0.32968520844649779</v>
      </c>
      <c r="EQ23" s="138">
        <f t="shared" ca="1" si="126"/>
        <v>0.37984438918907654</v>
      </c>
      <c r="ER23" s="115">
        <f t="shared" si="44"/>
        <v>0.91608590549892854</v>
      </c>
      <c r="ES23" s="115">
        <f t="shared" si="45"/>
        <v>453</v>
      </c>
      <c r="ET23" s="115">
        <f t="shared" ca="1" si="46"/>
        <v>2816.5993052117487</v>
      </c>
      <c r="EU23" s="115">
        <f t="shared" ca="1" si="47"/>
        <v>6.5855309782608691</v>
      </c>
      <c r="EV23" s="138">
        <f t="shared" ca="1" si="48"/>
        <v>0.78579460192054895</v>
      </c>
      <c r="EW23" s="138">
        <f t="shared" ca="1" si="49"/>
        <v>1.1356127454852116</v>
      </c>
      <c r="EX23" s="115">
        <v>21.47</v>
      </c>
      <c r="EY23" s="115">
        <f t="shared" ca="1" si="50"/>
        <v>123.16361245473226</v>
      </c>
      <c r="EZ23" s="115">
        <f t="shared" ca="1" si="51"/>
        <v>0.41666739667256669</v>
      </c>
      <c r="FA23" s="138">
        <f t="shared" ca="1" si="127"/>
        <v>7.6967977697235804E-2</v>
      </c>
      <c r="FB23" s="138">
        <f t="shared" ca="1" si="128"/>
        <v>7.6967977697235804E-2</v>
      </c>
      <c r="FC23" s="115">
        <f t="shared" si="52"/>
        <v>21.47</v>
      </c>
      <c r="FD23" s="115">
        <v>37</v>
      </c>
      <c r="FE23" s="115">
        <f t="shared" ca="1" si="53"/>
        <v>154.93355555555553</v>
      </c>
      <c r="FF23" s="115">
        <f t="shared" ca="1" si="54"/>
        <v>0.52252222222222222</v>
      </c>
      <c r="FG23" s="138">
        <f t="shared" ca="1" si="55"/>
        <v>8.1462225449999703E-2</v>
      </c>
      <c r="FH23" s="138">
        <f t="shared" ca="1" si="129"/>
        <v>8.1462225449999703E-2</v>
      </c>
      <c r="FI23" s="115">
        <f t="shared" si="56"/>
        <v>93.356253662109381</v>
      </c>
      <c r="FJ23" s="115">
        <f t="shared" ca="1" si="57"/>
        <v>50.024160370084978</v>
      </c>
      <c r="FK23" s="115">
        <f t="shared" ca="1" si="58"/>
        <v>0.17297278517617121</v>
      </c>
      <c r="FL23" s="138">
        <f t="shared" ca="1" si="59"/>
        <v>0.28968487239819873</v>
      </c>
      <c r="FM23" s="138">
        <f t="shared" ca="1" si="60"/>
        <v>0.69103373678190727</v>
      </c>
      <c r="FN23" s="115">
        <f t="shared" si="130"/>
        <v>93.356253662109381</v>
      </c>
      <c r="FO23" s="115">
        <f t="shared" ca="1" si="61"/>
        <v>63.705516316095995</v>
      </c>
      <c r="FP23" s="115">
        <f t="shared" ca="1" si="62"/>
        <v>0.21855793282190958</v>
      </c>
      <c r="FQ23" s="138">
        <f t="shared" ca="1" si="63"/>
        <v>0.29810039490618806</v>
      </c>
      <c r="FR23" s="138">
        <f t="shared" ca="1" si="64"/>
        <v>0.71110868897918411</v>
      </c>
      <c r="FS23" s="139">
        <f t="shared" si="131"/>
        <v>6.0282699424468831</v>
      </c>
      <c r="FT23" s="249">
        <f t="shared" si="132"/>
        <v>5.1181788001340598</v>
      </c>
      <c r="FU23" s="139">
        <f t="shared" ca="1" si="133"/>
        <v>0.8982763031723453</v>
      </c>
      <c r="FV23" s="249">
        <f t="shared" ca="1" si="134"/>
        <v>0.56964037041691551</v>
      </c>
      <c r="FW23" s="139">
        <f t="shared" ca="1" si="135"/>
        <v>0.78971587667577448</v>
      </c>
      <c r="FX23" s="249">
        <f t="shared" ca="1" si="136"/>
        <v>1.1511934499297245</v>
      </c>
      <c r="FY23" s="249">
        <f t="shared" si="65"/>
        <v>0.15000000000000002</v>
      </c>
      <c r="FZ23" s="139">
        <f t="shared" si="66"/>
        <v>1050000</v>
      </c>
      <c r="GA23" s="139">
        <f t="shared" si="137"/>
        <v>3.3757716049382713E-2</v>
      </c>
      <c r="GB23" s="139">
        <f t="shared" si="138"/>
        <v>121.52777777777777</v>
      </c>
      <c r="GC23" s="139">
        <f t="shared" si="67"/>
        <v>1050000</v>
      </c>
      <c r="GD23" s="139">
        <f t="shared" si="139"/>
        <v>6.7515432098765427E-2</v>
      </c>
      <c r="GE23" s="139">
        <f t="shared" si="140"/>
        <v>243.05555555555554</v>
      </c>
      <c r="GF23" s="139">
        <f t="shared" si="141"/>
        <v>4.5814043209876545E-2</v>
      </c>
      <c r="GG23" s="139">
        <f t="shared" si="68"/>
        <v>712500</v>
      </c>
      <c r="GH23" s="139">
        <f t="shared" si="142"/>
        <v>164.93055555555554</v>
      </c>
      <c r="GI23" s="137">
        <f t="shared" si="69"/>
        <v>49.621652108489549</v>
      </c>
      <c r="GJ23" s="137">
        <f t="shared" si="143"/>
        <v>0.17863794759056095</v>
      </c>
      <c r="GK23" s="251">
        <f t="shared" si="70"/>
        <v>39.832338046971941</v>
      </c>
      <c r="GL23" s="137">
        <f t="shared" si="164"/>
        <v>0.14339641696909786</v>
      </c>
      <c r="GM23" s="137">
        <f t="shared" ca="1" si="71"/>
        <v>9.5194273296697727</v>
      </c>
      <c r="GN23" s="137">
        <f t="shared" ca="1" si="144"/>
        <v>3.4269938386810909E-2</v>
      </c>
      <c r="GO23" s="137">
        <f t="shared" ca="1" si="145"/>
        <v>0.12049908012240124</v>
      </c>
      <c r="GP23" s="137">
        <f t="shared" ca="1" si="72"/>
        <v>10.369561772739686</v>
      </c>
      <c r="GQ23" s="137">
        <f t="shared" ca="1" si="146"/>
        <v>3.7330422381862571E-2</v>
      </c>
      <c r="GR23" s="137">
        <f t="shared" ca="1" si="147"/>
        <v>0.13126027560429879</v>
      </c>
      <c r="GS23" s="140">
        <f t="shared" si="73"/>
        <v>8.684928506083224E-2</v>
      </c>
      <c r="GT23" s="140">
        <f t="shared" si="74"/>
        <v>7.3737601973531394E-2</v>
      </c>
      <c r="GU23" s="140">
        <f t="shared" si="148"/>
        <v>312.65742621899608</v>
      </c>
      <c r="GV23" s="140">
        <f t="shared" si="149"/>
        <v>265.45536710471299</v>
      </c>
      <c r="GW23" s="141">
        <f t="shared" ca="1" si="75"/>
        <v>8.6190168220694491E-3</v>
      </c>
      <c r="GX23" s="141">
        <f t="shared" ca="1" si="76"/>
        <v>5.4657346718532691E-3</v>
      </c>
      <c r="GY23" s="141">
        <f t="shared" ca="1" si="150"/>
        <v>31.028460559450018</v>
      </c>
      <c r="GZ23" s="141">
        <f t="shared" ca="1" si="165"/>
        <v>19.676644818671768</v>
      </c>
      <c r="HA23" s="141">
        <f t="shared" ca="1" si="77"/>
        <v>1.7332881587830418E-2</v>
      </c>
      <c r="HB23" s="141">
        <f t="shared" ca="1" si="78"/>
        <v>1.7052372006198101E-2</v>
      </c>
      <c r="HC23" s="141">
        <f t="shared" ca="1" si="151"/>
        <v>62.398373716189504</v>
      </c>
      <c r="HD23" s="141">
        <f t="shared" ca="1" si="152"/>
        <v>61.388539222313163</v>
      </c>
      <c r="HE23" s="137">
        <f t="shared" si="153"/>
        <v>9.4531795720705993</v>
      </c>
      <c r="HF23" s="250">
        <f t="shared" si="154"/>
        <v>9.3460603655363492</v>
      </c>
      <c r="HG23" s="137">
        <v>3.4249096296237163</v>
      </c>
      <c r="HH23" s="251">
        <v>4.4176726689066781</v>
      </c>
      <c r="HI23" s="137">
        <f t="shared" ca="1" si="155"/>
        <v>1.5458331076358585</v>
      </c>
      <c r="HJ23" s="251">
        <f t="shared" ca="1" si="156"/>
        <v>1.6171744991876704</v>
      </c>
      <c r="HK23" s="137">
        <f t="shared" ca="1" si="157"/>
        <v>0.69771598520609224</v>
      </c>
      <c r="HL23" s="251">
        <f t="shared" ca="1" si="158"/>
        <v>1.0475341287707549</v>
      </c>
      <c r="HM23" s="137">
        <f t="shared" ca="1" si="159"/>
        <v>0.78579460192054895</v>
      </c>
      <c r="HN23" s="251">
        <f t="shared" ca="1" si="160"/>
        <v>1.1356127454852116</v>
      </c>
      <c r="HO23" s="137">
        <f t="shared" ca="1" si="161"/>
        <v>0.28968487239819873</v>
      </c>
      <c r="HP23" s="251">
        <f t="shared" ca="1" si="162"/>
        <v>0.69103373678190727</v>
      </c>
      <c r="JN23" s="143">
        <f t="shared" si="79"/>
        <v>19.232842230579816</v>
      </c>
      <c r="JO23" s="143">
        <f t="shared" si="80"/>
        <v>3424.9096296237162</v>
      </c>
      <c r="JP23" s="143">
        <f t="shared" si="81"/>
        <v>4227.8815654022892</v>
      </c>
      <c r="JQ23" s="143">
        <f t="shared" si="82"/>
        <v>0.91608590549892854</v>
      </c>
      <c r="JR23" s="143">
        <f t="shared" ca="1" si="83"/>
        <v>1.3239068169993997</v>
      </c>
      <c r="JS23" s="143">
        <f t="shared" si="84"/>
        <v>93.356253662109381</v>
      </c>
      <c r="JT23" s="143">
        <f t="shared" ca="1" si="85"/>
        <v>222.69827307864693</v>
      </c>
      <c r="JU23" s="143">
        <f t="shared" si="166"/>
        <v>0.29408874847272509</v>
      </c>
      <c r="JV23" s="143">
        <f t="shared" si="86"/>
        <v>0.36303801639188665</v>
      </c>
      <c r="JW23" s="143">
        <f t="shared" ca="1" si="87"/>
        <v>0.21130750870278819</v>
      </c>
      <c r="JX23" s="143">
        <f t="shared" ca="1" si="88"/>
        <v>0.30537687522047402</v>
      </c>
      <c r="JY23" s="143">
        <f t="shared" si="89"/>
        <v>0.66055888010123853</v>
      </c>
      <c r="JZ23" s="143">
        <f t="shared" si="90"/>
        <v>0.7244550811713133</v>
      </c>
      <c r="KA23" s="143">
        <f t="shared" si="91"/>
        <v>0.27744221554030668</v>
      </c>
      <c r="KB23" s="143">
        <f t="shared" si="92"/>
        <v>0.34248869470932697</v>
      </c>
      <c r="KC23" s="143">
        <f t="shared" ca="1" si="93"/>
        <v>0.43716751658931058</v>
      </c>
      <c r="KD23" s="143">
        <f t="shared" ca="1" si="94"/>
        <v>0.64775577978563603</v>
      </c>
      <c r="KE23" s="143">
        <f t="shared" ca="1" si="95"/>
        <v>0.60851178320180821</v>
      </c>
      <c r="KF23" s="143">
        <f t="shared" ca="1" si="96"/>
        <v>0.36865215374371907</v>
      </c>
      <c r="KG23" s="142">
        <f t="shared" si="97"/>
        <v>0.14339641696909786</v>
      </c>
      <c r="KH23" s="142">
        <f t="shared" ca="1" si="98"/>
        <v>0.13126027560429879</v>
      </c>
      <c r="KI23" s="142">
        <f t="shared" ca="1" si="99"/>
        <v>406.0842604946356</v>
      </c>
      <c r="KJ23" s="142">
        <f t="shared" ca="1" si="100"/>
        <v>346.52055114569794</v>
      </c>
    </row>
    <row r="24" spans="1:296" x14ac:dyDescent="0.3">
      <c r="A24" s="201">
        <v>41308</v>
      </c>
      <c r="B24" s="196">
        <v>21</v>
      </c>
      <c r="C24" s="179">
        <v>24</v>
      </c>
      <c r="D24" s="152">
        <v>4.2</v>
      </c>
      <c r="E24" s="152">
        <v>50016</v>
      </c>
      <c r="F24" s="152">
        <v>300</v>
      </c>
      <c r="G24" s="152">
        <v>11.7</v>
      </c>
      <c r="H24" s="152">
        <v>0.85</v>
      </c>
      <c r="I24" s="152">
        <v>1.4</v>
      </c>
      <c r="J24" s="152">
        <v>1.33</v>
      </c>
      <c r="K24" s="152">
        <v>0.91</v>
      </c>
      <c r="L24" s="152">
        <v>26475.303359255195</v>
      </c>
      <c r="M24" s="155">
        <v>19</v>
      </c>
      <c r="N24" s="153">
        <v>74892.398331992328</v>
      </c>
      <c r="O24" s="178">
        <v>17</v>
      </c>
      <c r="P24" s="152">
        <v>2</v>
      </c>
      <c r="Q24" s="152">
        <v>5</v>
      </c>
      <c r="R24" s="154">
        <v>406.82147216796875</v>
      </c>
      <c r="S24" s="155">
        <v>94.035437747748801</v>
      </c>
      <c r="T24" s="152">
        <v>180</v>
      </c>
      <c r="U24" s="156">
        <v>3.732792854309082</v>
      </c>
      <c r="V24" s="178">
        <v>17</v>
      </c>
      <c r="W24" s="152">
        <v>1250</v>
      </c>
      <c r="X24" s="155">
        <v>88504.861314788461</v>
      </c>
      <c r="Y24" s="155">
        <v>8686.7856288496405</v>
      </c>
      <c r="Z24" s="155">
        <v>257.58770751953125</v>
      </c>
      <c r="AA24" s="155">
        <v>12.476393699645996</v>
      </c>
      <c r="AB24" s="155">
        <v>15.873950958251953</v>
      </c>
      <c r="AC24" s="215">
        <v>37</v>
      </c>
      <c r="AD24" s="215">
        <v>30.188808441162109</v>
      </c>
      <c r="AE24" s="254">
        <v>20</v>
      </c>
      <c r="AF24" s="254">
        <v>10</v>
      </c>
      <c r="AG24" s="217">
        <v>5000000</v>
      </c>
      <c r="AH24" s="218">
        <v>300000</v>
      </c>
      <c r="AI24" s="219">
        <v>5000000</v>
      </c>
      <c r="AJ24" s="225">
        <f t="shared" si="0"/>
        <v>300000</v>
      </c>
      <c r="AK24" s="220">
        <v>2750000</v>
      </c>
      <c r="AL24" s="226">
        <f t="shared" si="1"/>
        <v>300000</v>
      </c>
      <c r="AM24" s="221">
        <v>14.407</v>
      </c>
      <c r="BM24" s="197">
        <f t="shared" si="2"/>
        <v>6.8111915588378906</v>
      </c>
      <c r="BN24" s="196">
        <f t="shared" si="3"/>
        <v>180</v>
      </c>
      <c r="BO24" s="197">
        <f t="shared" si="4"/>
        <v>3.397557258605957</v>
      </c>
      <c r="BP24" s="196">
        <f t="shared" si="5"/>
        <v>12.683853541972283</v>
      </c>
      <c r="BQ24" s="115">
        <f t="shared" si="6"/>
        <v>659.74492511188635</v>
      </c>
      <c r="BR24" s="184">
        <f t="shared" si="7"/>
        <v>1.0041987768</v>
      </c>
      <c r="BS24" s="115">
        <f t="shared" si="8"/>
        <v>6863.8528613899143</v>
      </c>
      <c r="BT24" s="196">
        <v>900</v>
      </c>
      <c r="BU24" s="115">
        <f t="shared" si="101"/>
        <v>1.1850729520000001</v>
      </c>
      <c r="BV24" s="115">
        <f t="shared" si="102"/>
        <v>1.0725033617267143</v>
      </c>
      <c r="BW24" s="115">
        <f t="shared" si="103"/>
        <v>473.22192284591051</v>
      </c>
      <c r="BX24" s="115">
        <f t="shared" si="9"/>
        <v>1138.4116205828668</v>
      </c>
      <c r="BY24" s="115"/>
      <c r="BZ24" s="115">
        <f t="shared" si="10"/>
        <v>665.1896977369563</v>
      </c>
      <c r="CA24" s="115">
        <f t="shared" si="11"/>
        <v>10777.479983928702</v>
      </c>
      <c r="CB24" s="115">
        <f t="shared" si="12"/>
        <v>3120.5165971663469</v>
      </c>
      <c r="CC24" s="115">
        <f t="shared" si="13"/>
        <v>1103.1376399689664</v>
      </c>
      <c r="CD24" s="129">
        <f t="shared" si="104"/>
        <v>0.21795991207921683</v>
      </c>
      <c r="CE24" s="115">
        <f t="shared" si="14"/>
        <v>15.152218089384192</v>
      </c>
      <c r="CF24" s="115">
        <f t="shared" si="15"/>
        <v>26.120954929930225</v>
      </c>
      <c r="CG24" s="115">
        <f t="shared" si="16"/>
        <v>0.02</v>
      </c>
      <c r="CH24" s="115">
        <f t="shared" si="17"/>
        <v>0.05</v>
      </c>
      <c r="CI24" s="136">
        <v>30</v>
      </c>
      <c r="CJ24" s="115">
        <f t="shared" si="18"/>
        <v>165</v>
      </c>
      <c r="CK24" s="115">
        <f t="shared" si="19"/>
        <v>453</v>
      </c>
      <c r="CL24" s="115">
        <f t="shared" si="20"/>
        <v>679.82147216796875</v>
      </c>
      <c r="CM24" s="115">
        <f t="shared" ca="1" si="21"/>
        <v>2816.5993052117487</v>
      </c>
      <c r="CN24" s="115">
        <f t="shared" ca="1" si="22"/>
        <v>125.80344444444444</v>
      </c>
      <c r="CO24" s="115">
        <f t="shared" ca="1" si="23"/>
        <v>690.58718083896258</v>
      </c>
      <c r="CP24" s="115">
        <f t="shared" ca="1" si="24"/>
        <v>2790.6388281929471</v>
      </c>
      <c r="CQ24" s="115">
        <f t="shared" si="105"/>
        <v>1.072449112508886</v>
      </c>
      <c r="CR24" s="115">
        <f t="shared" ca="1" si="25"/>
        <v>614.89770283767064</v>
      </c>
      <c r="CS24" s="115">
        <f t="shared" ca="1" si="26"/>
        <v>30.443376421566686</v>
      </c>
      <c r="CT24" s="115">
        <f t="shared" si="106"/>
        <v>1.1260915806947298</v>
      </c>
      <c r="CU24" s="115">
        <f t="shared" ca="1" si="107"/>
        <v>1.0218532319948215</v>
      </c>
      <c r="CV24" s="115">
        <f t="shared" si="108"/>
        <v>192.1896977369563</v>
      </c>
      <c r="CW24" s="115">
        <f t="shared" si="27"/>
        <v>473</v>
      </c>
      <c r="CX24" s="115">
        <f t="shared" si="28"/>
        <v>438</v>
      </c>
      <c r="CY24" s="115">
        <f t="shared" ca="1" si="109"/>
        <v>442.55662357843329</v>
      </c>
      <c r="CZ24" s="115">
        <f t="shared" ca="1" si="29"/>
        <v>237.26484858953546</v>
      </c>
      <c r="DA24" s="115">
        <v>0.21890000000000001</v>
      </c>
      <c r="DB24" s="115">
        <v>2.7E-2</v>
      </c>
      <c r="DC24" s="115">
        <v>1.06</v>
      </c>
      <c r="DD24" s="138">
        <f t="shared" si="30"/>
        <v>11.555571940307356</v>
      </c>
      <c r="DE24" s="138">
        <f t="shared" si="110"/>
        <v>11.555571940307356</v>
      </c>
      <c r="DF24" s="115">
        <f t="shared" si="31"/>
        <v>679.82147216796875</v>
      </c>
      <c r="DG24" s="115">
        <v>665.1896977369563</v>
      </c>
      <c r="DH24" s="115">
        <f t="shared" si="111"/>
        <v>1.1260915806947298</v>
      </c>
      <c r="DI24" s="115">
        <f t="shared" si="112"/>
        <v>1.1221596777656493</v>
      </c>
      <c r="DJ24" s="138">
        <f t="shared" si="32"/>
        <v>2.9416048742521554</v>
      </c>
      <c r="DK24" s="138">
        <f t="shared" si="33"/>
        <v>2.7556896977440317</v>
      </c>
      <c r="DL24" s="115">
        <f t="shared" si="113"/>
        <v>679.82147216796875</v>
      </c>
      <c r="DM24" s="115">
        <f t="shared" si="167"/>
        <v>665.1896977369563</v>
      </c>
      <c r="DN24" s="115">
        <f t="shared" si="34"/>
        <v>12.799161301444759</v>
      </c>
      <c r="DO24" s="115">
        <f t="shared" si="114"/>
        <v>1.1260915806947298</v>
      </c>
      <c r="DP24" s="115">
        <f t="shared" si="115"/>
        <v>1.1221596777656493</v>
      </c>
      <c r="DQ24" s="115">
        <v>298.14999999999998</v>
      </c>
      <c r="DR24" s="138">
        <f t="shared" si="116"/>
        <v>1.9591088462519353</v>
      </c>
      <c r="DS24" s="138">
        <f t="shared" si="117"/>
        <v>1.8352893386975253</v>
      </c>
      <c r="DT24" s="115">
        <f t="shared" si="35"/>
        <v>679.82147216796875</v>
      </c>
      <c r="DU24" s="139">
        <f t="shared" si="118"/>
        <v>6.4187986106344574</v>
      </c>
      <c r="DV24" s="115">
        <f t="shared" si="119"/>
        <v>1.1260915806947298</v>
      </c>
      <c r="DW24" s="115">
        <v>298.14999999999998</v>
      </c>
      <c r="DX24" s="138">
        <f t="shared" si="36"/>
        <v>0.98249602800021962</v>
      </c>
      <c r="DY24" s="138">
        <f t="shared" si="37"/>
        <v>0.9204003590465063</v>
      </c>
      <c r="DZ24" s="138">
        <f t="shared" si="38"/>
        <v>3.1205165971663469</v>
      </c>
      <c r="EA24" s="138">
        <f t="shared" si="39"/>
        <v>3.9136271225387884</v>
      </c>
      <c r="EB24" s="115">
        <f t="shared" si="120"/>
        <v>26.120954929930225</v>
      </c>
      <c r="EC24" s="115">
        <v>30</v>
      </c>
      <c r="ED24" s="198">
        <f t="shared" ca="1" si="40"/>
        <v>125.80344444444444</v>
      </c>
      <c r="EE24" s="198">
        <v>104.83</v>
      </c>
      <c r="EF24" s="198">
        <f t="shared" ca="1" si="41"/>
        <v>0.42491111111111107</v>
      </c>
      <c r="EG24" s="199">
        <v>0.36720000000000003</v>
      </c>
      <c r="EH24" s="138">
        <f t="shared" ca="1" si="121"/>
        <v>9.8394415636606211E-2</v>
      </c>
      <c r="EI24" s="138">
        <f t="shared" ca="1" si="122"/>
        <v>9.8394415636606211E-2</v>
      </c>
      <c r="EJ24" s="115">
        <f t="shared" si="42"/>
        <v>12.799161301444759</v>
      </c>
      <c r="EK24" s="115">
        <v>435</v>
      </c>
      <c r="EL24" s="115">
        <f t="shared" ca="1" si="43"/>
        <v>442.55662357843329</v>
      </c>
      <c r="EM24" s="115">
        <f t="shared" ca="1" si="123"/>
        <v>1.0627739604217781</v>
      </c>
      <c r="EN24" s="115">
        <f t="shared" ca="1" si="124"/>
        <v>1.0651017226712411</v>
      </c>
      <c r="EO24" s="115">
        <v>298.14999999999998</v>
      </c>
      <c r="EP24" s="138">
        <f t="shared" ca="1" si="125"/>
        <v>0.32951031971889405</v>
      </c>
      <c r="EQ24" s="138">
        <f t="shared" ca="1" si="126"/>
        <v>0.36324657554084533</v>
      </c>
      <c r="ER24" s="115">
        <f t="shared" si="44"/>
        <v>1.036886903974745</v>
      </c>
      <c r="ES24" s="115">
        <f t="shared" si="45"/>
        <v>453</v>
      </c>
      <c r="ET24" s="115">
        <f t="shared" ca="1" si="46"/>
        <v>2816.5993052117487</v>
      </c>
      <c r="EU24" s="115">
        <f t="shared" ca="1" si="47"/>
        <v>6.5855309782608691</v>
      </c>
      <c r="EV24" s="138">
        <f t="shared" ca="1" si="48"/>
        <v>0.88941454841149525</v>
      </c>
      <c r="EW24" s="138">
        <f t="shared" ca="1" si="49"/>
        <v>1.0343118875836375</v>
      </c>
      <c r="EX24" s="115">
        <v>21.47</v>
      </c>
      <c r="EY24" s="115">
        <f t="shared" ca="1" si="50"/>
        <v>126.42796208275689</v>
      </c>
      <c r="EZ24" s="115">
        <f t="shared" ca="1" si="51"/>
        <v>0.42754393992953826</v>
      </c>
      <c r="FA24" s="138">
        <f t="shared" ca="1" si="127"/>
        <v>7.7429759952666044E-2</v>
      </c>
      <c r="FB24" s="138">
        <f t="shared" ca="1" si="128"/>
        <v>7.7429759952666044E-2</v>
      </c>
      <c r="FC24" s="115">
        <f t="shared" si="52"/>
        <v>21.47</v>
      </c>
      <c r="FD24" s="115">
        <v>37</v>
      </c>
      <c r="FE24" s="115">
        <f t="shared" ca="1" si="53"/>
        <v>154.93355555555553</v>
      </c>
      <c r="FF24" s="115">
        <f t="shared" ca="1" si="54"/>
        <v>0.52252222222222222</v>
      </c>
      <c r="FG24" s="138">
        <f t="shared" ca="1" si="55"/>
        <v>8.1462225449999703E-2</v>
      </c>
      <c r="FH24" s="138">
        <f t="shared" ca="1" si="129"/>
        <v>8.1462225449999703E-2</v>
      </c>
      <c r="FI24" s="115">
        <f t="shared" si="56"/>
        <v>72.124558105468751</v>
      </c>
      <c r="FJ24" s="115">
        <f t="shared" ca="1" si="57"/>
        <v>52.299538343429575</v>
      </c>
      <c r="FK24" s="115">
        <f t="shared" ca="1" si="58"/>
        <v>0.18055415658950805</v>
      </c>
      <c r="FL24" s="138">
        <f t="shared" ca="1" si="59"/>
        <v>0.22488412379518516</v>
      </c>
      <c r="FM24" s="138">
        <f t="shared" ca="1" si="60"/>
        <v>0.61053802954558467</v>
      </c>
      <c r="FN24" s="115">
        <f t="shared" si="130"/>
        <v>72.124558105468751</v>
      </c>
      <c r="FO24" s="115">
        <f t="shared" ca="1" si="61"/>
        <v>66.518692977057569</v>
      </c>
      <c r="FP24" s="115">
        <f t="shared" ca="1" si="62"/>
        <v>0.22793120502895778</v>
      </c>
      <c r="FQ24" s="138">
        <f t="shared" ca="1" si="63"/>
        <v>0.23164130353154061</v>
      </c>
      <c r="FR24" s="138">
        <f t="shared" ca="1" si="64"/>
        <v>0.62888310047321117</v>
      </c>
      <c r="FS24" s="139">
        <f t="shared" si="131"/>
        <v>5.4934504688888541</v>
      </c>
      <c r="FT24" s="249">
        <f t="shared" si="132"/>
        <v>4.8862551200245363</v>
      </c>
      <c r="FU24" s="139">
        <f t="shared" ca="1" si="133"/>
        <v>0.83857839375815235</v>
      </c>
      <c r="FV24" s="249">
        <f t="shared" ca="1" si="134"/>
        <v>0.53612529120964858</v>
      </c>
      <c r="FW24" s="139">
        <f t="shared" ca="1" si="135"/>
        <v>0.89213926265051702</v>
      </c>
      <c r="FX24" s="249">
        <f t="shared" ca="1" si="136"/>
        <v>1.0486244930139303</v>
      </c>
      <c r="FY24" s="249">
        <f t="shared" si="65"/>
        <v>0.15000000000000002</v>
      </c>
      <c r="FZ24" s="139">
        <f t="shared" si="66"/>
        <v>1050000</v>
      </c>
      <c r="GA24" s="139">
        <f t="shared" si="137"/>
        <v>3.3757716049382713E-2</v>
      </c>
      <c r="GB24" s="139">
        <f t="shared" si="138"/>
        <v>121.52777777777777</v>
      </c>
      <c r="GC24" s="139">
        <f t="shared" si="67"/>
        <v>1050000</v>
      </c>
      <c r="GD24" s="139">
        <f t="shared" si="139"/>
        <v>6.7515432098765427E-2</v>
      </c>
      <c r="GE24" s="139">
        <f t="shared" si="140"/>
        <v>243.05555555555554</v>
      </c>
      <c r="GF24" s="139">
        <f t="shared" si="141"/>
        <v>4.5814043209876545E-2</v>
      </c>
      <c r="GG24" s="139">
        <f t="shared" si="68"/>
        <v>712500</v>
      </c>
      <c r="GH24" s="139">
        <f t="shared" si="142"/>
        <v>164.93055555555554</v>
      </c>
      <c r="GI24" s="137">
        <f t="shared" si="69"/>
        <v>50.58750199033949</v>
      </c>
      <c r="GJ24" s="137">
        <f t="shared" si="143"/>
        <v>0.18211500716522072</v>
      </c>
      <c r="GK24" s="251">
        <f t="shared" si="70"/>
        <v>41.020162241172073</v>
      </c>
      <c r="GL24" s="137">
        <f t="shared" si="164"/>
        <v>0.14767258406821829</v>
      </c>
      <c r="GM24" s="137">
        <f t="shared" ca="1" si="71"/>
        <v>8.6677131687929094</v>
      </c>
      <c r="GN24" s="137">
        <f t="shared" ca="1" si="144"/>
        <v>3.1203767407654227E-2</v>
      </c>
      <c r="GO24" s="137">
        <f t="shared" ca="1" si="145"/>
        <v>0.10971788821256762</v>
      </c>
      <c r="GP24" s="137">
        <f t="shared" ca="1" si="72"/>
        <v>9.7559180531349181</v>
      </c>
      <c r="GQ24" s="137">
        <f t="shared" ca="1" si="146"/>
        <v>3.5121304991285428E-2</v>
      </c>
      <c r="GR24" s="137">
        <f t="shared" ca="1" si="147"/>
        <v>0.12349263358398534</v>
      </c>
      <c r="GS24" s="140">
        <f t="shared" si="73"/>
        <v>7.9144140905281726E-2</v>
      </c>
      <c r="GT24" s="140">
        <f t="shared" si="74"/>
        <v>7.03962775141935E-2</v>
      </c>
      <c r="GU24" s="140">
        <f t="shared" si="148"/>
        <v>284.91890725901419</v>
      </c>
      <c r="GV24" s="140">
        <f t="shared" si="149"/>
        <v>253.42659905109659</v>
      </c>
      <c r="GW24" s="141">
        <f t="shared" ca="1" si="75"/>
        <v>8.0462116799698835E-3</v>
      </c>
      <c r="GX24" s="141">
        <f t="shared" ca="1" si="76"/>
        <v>5.1441554089246321E-3</v>
      </c>
      <c r="GY24" s="141">
        <f t="shared" ca="1" si="150"/>
        <v>28.966362047891579</v>
      </c>
      <c r="GZ24" s="141">
        <f t="shared" ca="1" si="165"/>
        <v>18.518959472128675</v>
      </c>
      <c r="HA24" s="141">
        <f t="shared" ca="1" si="77"/>
        <v>1.7634921240168099E-2</v>
      </c>
      <c r="HB24" s="141">
        <f t="shared" ca="1" si="78"/>
        <v>1.5825252729568813E-2</v>
      </c>
      <c r="HC24" s="141">
        <f t="shared" ca="1" si="151"/>
        <v>63.485716464605154</v>
      </c>
      <c r="HD24" s="141">
        <f t="shared" ca="1" si="152"/>
        <v>56.97090982644773</v>
      </c>
      <c r="HE24" s="137">
        <f t="shared" si="153"/>
        <v>8.613967066055201</v>
      </c>
      <c r="HF24" s="250">
        <f t="shared" si="154"/>
        <v>8.7998822425633243</v>
      </c>
      <c r="HG24" s="137">
        <v>3.1205165971663469</v>
      </c>
      <c r="HH24" s="251">
        <v>3.5803930764251963</v>
      </c>
      <c r="HI24" s="137">
        <f t="shared" ca="1" si="155"/>
        <v>1.5958622707110899</v>
      </c>
      <c r="HJ24" s="251">
        <f t="shared" ca="1" si="156"/>
        <v>1.4720427631566799</v>
      </c>
      <c r="HK24" s="137">
        <f t="shared" ca="1" si="157"/>
        <v>0.79102013277488903</v>
      </c>
      <c r="HL24" s="251">
        <f t="shared" ca="1" si="158"/>
        <v>0.93591747194703123</v>
      </c>
      <c r="HM24" s="137">
        <f t="shared" ca="1" si="159"/>
        <v>0.88941454841149525</v>
      </c>
      <c r="HN24" s="251">
        <f t="shared" ca="1" si="160"/>
        <v>1.0343118875836375</v>
      </c>
      <c r="HO24" s="137">
        <f t="shared" ca="1" si="161"/>
        <v>0.22488412379518516</v>
      </c>
      <c r="HP24" s="251">
        <f t="shared" ca="1" si="162"/>
        <v>0.61053802954558467</v>
      </c>
      <c r="JN24" s="143">
        <f t="shared" si="79"/>
        <v>19.217959912079216</v>
      </c>
      <c r="JO24" s="143">
        <f t="shared" si="80"/>
        <v>3120.5165971663469</v>
      </c>
      <c r="JP24" s="143">
        <f t="shared" si="81"/>
        <v>3913.6271225387882</v>
      </c>
      <c r="JQ24" s="143">
        <f t="shared" si="82"/>
        <v>1.036886903974745</v>
      </c>
      <c r="JR24" s="143">
        <f t="shared" ca="1" si="83"/>
        <v>1.2058094313571848</v>
      </c>
      <c r="JS24" s="143">
        <f t="shared" si="84"/>
        <v>72.124558105468751</v>
      </c>
      <c r="JT24" s="143">
        <f t="shared" ca="1" si="85"/>
        <v>195.81100188141301</v>
      </c>
      <c r="JU24" s="143">
        <f t="shared" si="166"/>
        <v>0.28624698198264587</v>
      </c>
      <c r="JV24" s="143">
        <f t="shared" si="86"/>
        <v>0.3589995174034436</v>
      </c>
      <c r="JW24" s="143">
        <f t="shared" ca="1" si="87"/>
        <v>0.25547295150489729</v>
      </c>
      <c r="JX24" s="143">
        <f t="shared" ca="1" si="88"/>
        <v>0.29709285863327378</v>
      </c>
      <c r="JY24" s="143">
        <f t="shared" si="89"/>
        <v>0.51146627621869911</v>
      </c>
      <c r="JZ24" s="143">
        <f t="shared" si="90"/>
        <v>0.95762860451918397</v>
      </c>
      <c r="KA24" s="143">
        <f t="shared" si="91"/>
        <v>0.27004432262513761</v>
      </c>
      <c r="KB24" s="143">
        <f t="shared" si="92"/>
        <v>0.33867879000324874</v>
      </c>
      <c r="KC24" s="143">
        <f t="shared" ca="1" si="93"/>
        <v>0.48540798233156141</v>
      </c>
      <c r="KD24" s="143">
        <f t="shared" ca="1" si="94"/>
        <v>0.63579502944603994</v>
      </c>
      <c r="KE24" s="143">
        <f t="shared" ca="1" si="95"/>
        <v>0.59028426229531739</v>
      </c>
      <c r="KF24" s="143">
        <f t="shared" ca="1" si="96"/>
        <v>0.25284511502182061</v>
      </c>
      <c r="KG24" s="142">
        <f t="shared" si="97"/>
        <v>0.14767258406821829</v>
      </c>
      <c r="KH24" s="142">
        <f t="shared" ca="1" si="98"/>
        <v>0.12349263358398534</v>
      </c>
      <c r="KI24" s="142">
        <f t="shared" ca="1" si="99"/>
        <v>377.37098577151096</v>
      </c>
      <c r="KJ24" s="142">
        <f t="shared" ca="1" si="100"/>
        <v>328.91646834967298</v>
      </c>
    </row>
    <row r="25" spans="1:296" x14ac:dyDescent="0.3">
      <c r="A25" s="201">
        <v>41309</v>
      </c>
      <c r="B25" s="196">
        <v>22</v>
      </c>
      <c r="C25" s="179">
        <v>24</v>
      </c>
      <c r="D25" s="152">
        <v>4.2</v>
      </c>
      <c r="E25" s="152">
        <v>50016</v>
      </c>
      <c r="F25" s="152">
        <v>300</v>
      </c>
      <c r="G25" s="152">
        <v>11.7</v>
      </c>
      <c r="H25" s="152">
        <v>0.85</v>
      </c>
      <c r="I25" s="152">
        <v>1.4</v>
      </c>
      <c r="J25" s="152">
        <v>1.33</v>
      </c>
      <c r="K25" s="152">
        <v>0.91</v>
      </c>
      <c r="L25" s="152">
        <v>27222.138438694179</v>
      </c>
      <c r="M25" s="155">
        <v>19</v>
      </c>
      <c r="N25" s="153">
        <v>77706.485833346844</v>
      </c>
      <c r="O25" s="178">
        <v>17</v>
      </c>
      <c r="P25" s="152">
        <v>2</v>
      </c>
      <c r="Q25" s="152">
        <v>5</v>
      </c>
      <c r="R25" s="154">
        <v>404.37985229492187</v>
      </c>
      <c r="S25" s="155">
        <v>91.664562693506014</v>
      </c>
      <c r="T25" s="152">
        <v>180</v>
      </c>
      <c r="U25" s="156">
        <v>3.6200015544891357</v>
      </c>
      <c r="V25" s="178">
        <v>17</v>
      </c>
      <c r="W25" s="152">
        <v>1250</v>
      </c>
      <c r="X25" s="155">
        <v>81213.053279593587</v>
      </c>
      <c r="Y25" s="155">
        <v>8190.5147245693952</v>
      </c>
      <c r="Z25" s="155">
        <v>251.75679016113281</v>
      </c>
      <c r="AA25" s="155">
        <v>10.690098762512207</v>
      </c>
      <c r="AB25" s="155">
        <v>13.719810485839844</v>
      </c>
      <c r="AC25" s="215">
        <v>37</v>
      </c>
      <c r="AD25" s="215">
        <v>28.607967376708984</v>
      </c>
      <c r="AE25" s="254">
        <v>20</v>
      </c>
      <c r="AF25" s="254">
        <v>10</v>
      </c>
      <c r="AG25" s="217">
        <v>5000000</v>
      </c>
      <c r="AH25" s="218">
        <v>300000</v>
      </c>
      <c r="AI25" s="219">
        <v>5000000</v>
      </c>
      <c r="AJ25" s="225">
        <f t="shared" si="0"/>
        <v>300000</v>
      </c>
      <c r="AK25" s="220">
        <v>2750000</v>
      </c>
      <c r="AL25" s="226">
        <f t="shared" si="1"/>
        <v>300000</v>
      </c>
      <c r="AM25" s="221">
        <v>14.407</v>
      </c>
      <c r="BM25" s="197">
        <f t="shared" si="2"/>
        <v>8.3920326232910156</v>
      </c>
      <c r="BN25" s="196">
        <f t="shared" si="3"/>
        <v>180</v>
      </c>
      <c r="BO25" s="197">
        <f t="shared" si="4"/>
        <v>3.0297117233276367</v>
      </c>
      <c r="BP25" s="196">
        <f t="shared" si="5"/>
        <v>12.687911469845238</v>
      </c>
      <c r="BQ25" s="115">
        <f t="shared" si="6"/>
        <v>659.74492511188635</v>
      </c>
      <c r="BR25" s="184">
        <f t="shared" si="7"/>
        <v>1.0041987768</v>
      </c>
      <c r="BS25" s="115">
        <f t="shared" si="8"/>
        <v>6863.8528613899143</v>
      </c>
      <c r="BT25" s="196">
        <v>900</v>
      </c>
      <c r="BU25" s="115">
        <f t="shared" si="101"/>
        <v>1.1850729520000001</v>
      </c>
      <c r="BV25" s="115">
        <f t="shared" si="102"/>
        <v>1.073862527862343</v>
      </c>
      <c r="BW25" s="115">
        <f t="shared" si="103"/>
        <v>478.76932828039003</v>
      </c>
      <c r="BX25" s="115">
        <f t="shared" si="9"/>
        <v>1151.7567986183999</v>
      </c>
      <c r="BY25" s="115"/>
      <c r="BZ25" s="115">
        <f t="shared" si="10"/>
        <v>672.98747033800987</v>
      </c>
      <c r="CA25" s="115">
        <f t="shared" si="11"/>
        <v>10907.308836714163</v>
      </c>
      <c r="CB25" s="115">
        <f t="shared" si="12"/>
        <v>3237.7702430561185</v>
      </c>
      <c r="CC25" s="115">
        <f t="shared" si="13"/>
        <v>1134.2557682789241</v>
      </c>
      <c r="CD25" s="129">
        <f t="shared" si="104"/>
        <v>0.22410828764429949</v>
      </c>
      <c r="CE25" s="115">
        <f t="shared" si="14"/>
        <v>14.80922295065487</v>
      </c>
      <c r="CF25" s="115">
        <f t="shared" si="15"/>
        <v>25.462378525973893</v>
      </c>
      <c r="CG25" s="115">
        <f t="shared" si="16"/>
        <v>0.02</v>
      </c>
      <c r="CH25" s="115">
        <f t="shared" si="17"/>
        <v>0.05</v>
      </c>
      <c r="CI25" s="136">
        <v>30</v>
      </c>
      <c r="CJ25" s="115">
        <f t="shared" si="18"/>
        <v>165</v>
      </c>
      <c r="CK25" s="115">
        <f t="shared" si="19"/>
        <v>453</v>
      </c>
      <c r="CL25" s="115">
        <f t="shared" si="20"/>
        <v>677.37985229492187</v>
      </c>
      <c r="CM25" s="115">
        <f t="shared" ca="1" si="21"/>
        <v>2816.5993052117487</v>
      </c>
      <c r="CN25" s="115">
        <f t="shared" ca="1" si="22"/>
        <v>125.80344444444444</v>
      </c>
      <c r="CO25" s="115">
        <f t="shared" ca="1" si="23"/>
        <v>690.58718083896258</v>
      </c>
      <c r="CP25" s="115">
        <f t="shared" ca="1" si="24"/>
        <v>2790.6388281929471</v>
      </c>
      <c r="CQ25" s="115">
        <f t="shared" si="105"/>
        <v>1.072449112508886</v>
      </c>
      <c r="CR25" s="115">
        <f t="shared" ca="1" si="25"/>
        <v>596.31775107868191</v>
      </c>
      <c r="CS25" s="115">
        <f t="shared" ca="1" si="26"/>
        <v>29.514046931968061</v>
      </c>
      <c r="CT25" s="115">
        <f t="shared" si="106"/>
        <v>1.125434755500434</v>
      </c>
      <c r="CU25" s="115">
        <f t="shared" ca="1" si="107"/>
        <v>1.0212552091201383</v>
      </c>
      <c r="CV25" s="115">
        <f t="shared" si="108"/>
        <v>199.98747033800987</v>
      </c>
      <c r="CW25" s="115">
        <f t="shared" si="27"/>
        <v>473</v>
      </c>
      <c r="CX25" s="115">
        <f t="shared" si="28"/>
        <v>438</v>
      </c>
      <c r="CY25" s="115">
        <f t="shared" ca="1" si="109"/>
        <v>443.48595306803196</v>
      </c>
      <c r="CZ25" s="115">
        <f t="shared" ca="1" si="29"/>
        <v>233.89389922688991</v>
      </c>
      <c r="DA25" s="115">
        <v>0.21890000000000001</v>
      </c>
      <c r="DB25" s="115">
        <v>2.7E-2</v>
      </c>
      <c r="DC25" s="115">
        <v>1.06</v>
      </c>
      <c r="DD25" s="138">
        <f t="shared" si="30"/>
        <v>11.881540121706321</v>
      </c>
      <c r="DE25" s="138">
        <f t="shared" si="110"/>
        <v>11.881540121706321</v>
      </c>
      <c r="DF25" s="115">
        <f t="shared" si="31"/>
        <v>677.37985229492187</v>
      </c>
      <c r="DG25" s="115">
        <v>672.98747033800987</v>
      </c>
      <c r="DH25" s="115">
        <f t="shared" si="111"/>
        <v>1.125434755500434</v>
      </c>
      <c r="DI25" s="115">
        <f t="shared" si="112"/>
        <v>1.1242538334645602</v>
      </c>
      <c r="DJ25" s="138">
        <f t="shared" si="32"/>
        <v>2.9112135257260232</v>
      </c>
      <c r="DK25" s="138">
        <f t="shared" si="33"/>
        <v>2.8551475764779317</v>
      </c>
      <c r="DL25" s="115">
        <f t="shared" si="113"/>
        <v>677.37985229492187</v>
      </c>
      <c r="DM25" s="115">
        <f t="shared" si="167"/>
        <v>672.98747033800987</v>
      </c>
      <c r="DN25" s="115">
        <f t="shared" si="34"/>
        <v>12.803256119571104</v>
      </c>
      <c r="DO25" s="115">
        <f t="shared" si="114"/>
        <v>1.125434755500434</v>
      </c>
      <c r="DP25" s="115">
        <f t="shared" si="115"/>
        <v>1.1242538334645602</v>
      </c>
      <c r="DQ25" s="115">
        <v>298.14999999999998</v>
      </c>
      <c r="DR25" s="138">
        <f t="shared" si="116"/>
        <v>1.9388682081335318</v>
      </c>
      <c r="DS25" s="138">
        <f t="shared" si="117"/>
        <v>1.9015282859343026</v>
      </c>
      <c r="DT25" s="115">
        <f t="shared" si="35"/>
        <v>677.37985229492187</v>
      </c>
      <c r="DU25" s="139">
        <f t="shared" si="118"/>
        <v>6.4208521680731945</v>
      </c>
      <c r="DV25" s="115">
        <f t="shared" si="119"/>
        <v>1.125434755500434</v>
      </c>
      <c r="DW25" s="115">
        <v>298.14999999999998</v>
      </c>
      <c r="DX25" s="138">
        <f t="shared" si="36"/>
        <v>0.97234531759249165</v>
      </c>
      <c r="DY25" s="138">
        <f t="shared" si="37"/>
        <v>0.95361929054362904</v>
      </c>
      <c r="DZ25" s="138">
        <f t="shared" si="38"/>
        <v>3.2377702430561186</v>
      </c>
      <c r="EA25" s="138">
        <f t="shared" si="39"/>
        <v>4.0434559753242487</v>
      </c>
      <c r="EB25" s="115">
        <f t="shared" si="120"/>
        <v>25.462378525973893</v>
      </c>
      <c r="EC25" s="115">
        <v>30</v>
      </c>
      <c r="ED25" s="198">
        <f t="shared" ca="1" si="40"/>
        <v>125.80344444444444</v>
      </c>
      <c r="EE25" s="198">
        <v>104.83</v>
      </c>
      <c r="EF25" s="198">
        <f t="shared" ca="1" si="41"/>
        <v>0.42491111111111107</v>
      </c>
      <c r="EG25" s="199">
        <v>0.36720000000000003</v>
      </c>
      <c r="EH25" s="138">
        <f t="shared" ca="1" si="121"/>
        <v>9.591363954732586E-2</v>
      </c>
      <c r="EI25" s="138">
        <f t="shared" ca="1" si="122"/>
        <v>9.591363954732586E-2</v>
      </c>
      <c r="EJ25" s="115">
        <f t="shared" si="42"/>
        <v>12.803256119571104</v>
      </c>
      <c r="EK25" s="115">
        <v>435</v>
      </c>
      <c r="EL25" s="115">
        <f t="shared" ca="1" si="43"/>
        <v>443.48595306803196</v>
      </c>
      <c r="EM25" s="115">
        <f t="shared" ca="1" si="123"/>
        <v>1.0627069610487418</v>
      </c>
      <c r="EN25" s="115">
        <f t="shared" ca="1" si="124"/>
        <v>1.06532313586407</v>
      </c>
      <c r="EO25" s="115">
        <v>298.14999999999998</v>
      </c>
      <c r="EP25" s="138">
        <f t="shared" ca="1" si="125"/>
        <v>0.32959495987536919</v>
      </c>
      <c r="EQ25" s="138">
        <f t="shared" ca="1" si="126"/>
        <v>0.36758336607518582</v>
      </c>
      <c r="ER25" s="115">
        <f t="shared" si="44"/>
        <v>1.0055559873580933</v>
      </c>
      <c r="ES25" s="115">
        <f t="shared" si="45"/>
        <v>453</v>
      </c>
      <c r="ET25" s="115">
        <f t="shared" ca="1" si="46"/>
        <v>2816.5993052117487</v>
      </c>
      <c r="EU25" s="115">
        <f t="shared" ca="1" si="47"/>
        <v>6.5855309782608691</v>
      </c>
      <c r="EV25" s="138">
        <f t="shared" ca="1" si="48"/>
        <v>0.86253970512135736</v>
      </c>
      <c r="EW25" s="138">
        <f t="shared" ca="1" si="49"/>
        <v>1.075993708153882</v>
      </c>
      <c r="EX25" s="115">
        <v>21.47</v>
      </c>
      <c r="EY25" s="115">
        <f t="shared" ca="1" si="50"/>
        <v>119.8119665790134</v>
      </c>
      <c r="EZ25" s="115">
        <f t="shared" ca="1" si="51"/>
        <v>0.40549998953077526</v>
      </c>
      <c r="FA25" s="138">
        <f t="shared" ca="1" si="127"/>
        <v>7.6493846317862116E-2</v>
      </c>
      <c r="FB25" s="138">
        <f t="shared" ca="1" si="128"/>
        <v>7.6493846317862116E-2</v>
      </c>
      <c r="FC25" s="115">
        <f t="shared" si="52"/>
        <v>21.47</v>
      </c>
      <c r="FD25" s="115">
        <v>37</v>
      </c>
      <c r="FE25" s="115">
        <f t="shared" ca="1" si="53"/>
        <v>154.93355555555553</v>
      </c>
      <c r="FF25" s="115">
        <f t="shared" ca="1" si="54"/>
        <v>0.52252222222222222</v>
      </c>
      <c r="FG25" s="138">
        <f t="shared" ca="1" si="55"/>
        <v>8.1462225449999703E-2</v>
      </c>
      <c r="FH25" s="138">
        <f t="shared" ca="1" si="129"/>
        <v>8.1462225449999703E-2</v>
      </c>
      <c r="FI25" s="115">
        <f t="shared" si="56"/>
        <v>70.491901245117191</v>
      </c>
      <c r="FJ25" s="115">
        <f t="shared" ca="1" si="57"/>
        <v>44.823695554309431</v>
      </c>
      <c r="FK25" s="115">
        <f t="shared" ca="1" si="58"/>
        <v>0.15564526607725357</v>
      </c>
      <c r="FL25" s="138">
        <f t="shared" ca="1" si="59"/>
        <v>0.21632127990423389</v>
      </c>
      <c r="FM25" s="138">
        <f t="shared" ca="1" si="60"/>
        <v>0.67259572602039386</v>
      </c>
      <c r="FN25" s="115">
        <f t="shared" si="130"/>
        <v>70.491901245117191</v>
      </c>
      <c r="FO25" s="115">
        <f t="shared" ca="1" si="61"/>
        <v>57.503375751071509</v>
      </c>
      <c r="FP25" s="115">
        <f t="shared" ca="1" si="62"/>
        <v>0.19789291288587782</v>
      </c>
      <c r="FQ25" s="138">
        <f t="shared" ca="1" si="63"/>
        <v>0.22221047650375872</v>
      </c>
      <c r="FR25" s="138">
        <f t="shared" ca="1" si="64"/>
        <v>0.69090667751017709</v>
      </c>
      <c r="FS25" s="139">
        <f t="shared" si="131"/>
        <v>5.7325563529241794</v>
      </c>
      <c r="FT25" s="249">
        <f t="shared" si="132"/>
        <v>4.9829365699041412</v>
      </c>
      <c r="FU25" s="139">
        <f t="shared" ca="1" si="133"/>
        <v>0.84264718268413108</v>
      </c>
      <c r="FV25" s="249">
        <f t="shared" ca="1" si="134"/>
        <v>0.5538648512525608</v>
      </c>
      <c r="FW25" s="139">
        <f t="shared" ca="1" si="135"/>
        <v>0.86346052258874473</v>
      </c>
      <c r="FX25" s="249">
        <f t="shared" ca="1" si="136"/>
        <v>1.0893362805115276</v>
      </c>
      <c r="FY25" s="249">
        <f t="shared" si="65"/>
        <v>0.15000000000000002</v>
      </c>
      <c r="FZ25" s="139">
        <f t="shared" si="66"/>
        <v>1050000</v>
      </c>
      <c r="GA25" s="139">
        <f t="shared" si="137"/>
        <v>3.3757716049382713E-2</v>
      </c>
      <c r="GB25" s="139">
        <f t="shared" si="138"/>
        <v>121.52777777777777</v>
      </c>
      <c r="GC25" s="139">
        <f t="shared" si="67"/>
        <v>1050000</v>
      </c>
      <c r="GD25" s="139">
        <f t="shared" si="139"/>
        <v>6.7515432098765427E-2</v>
      </c>
      <c r="GE25" s="139">
        <f t="shared" si="140"/>
        <v>243.05555555555554</v>
      </c>
      <c r="GF25" s="139">
        <f t="shared" si="141"/>
        <v>4.5814043209876545E-2</v>
      </c>
      <c r="GG25" s="139">
        <f t="shared" si="68"/>
        <v>712500</v>
      </c>
      <c r="GH25" s="139">
        <f t="shared" si="142"/>
        <v>164.93055555555554</v>
      </c>
      <c r="GI25" s="137">
        <f t="shared" si="69"/>
        <v>50.341191339081007</v>
      </c>
      <c r="GJ25" s="137">
        <f t="shared" si="143"/>
        <v>0.18122828882069017</v>
      </c>
      <c r="GK25" s="251">
        <f t="shared" si="70"/>
        <v>40.510136489207788</v>
      </c>
      <c r="GL25" s="137">
        <f t="shared" si="164"/>
        <v>0.14583649136114687</v>
      </c>
      <c r="GM25" s="137">
        <f t="shared" ca="1" si="71"/>
        <v>8.7738195943276072</v>
      </c>
      <c r="GN25" s="137">
        <f t="shared" ca="1" si="144"/>
        <v>3.1585750539579134E-2</v>
      </c>
      <c r="GO25" s="137">
        <f t="shared" ca="1" si="145"/>
        <v>0.11106100752313339</v>
      </c>
      <c r="GP25" s="137">
        <f t="shared" ca="1" si="72"/>
        <v>10.037839306934236</v>
      </c>
      <c r="GQ25" s="137">
        <f t="shared" ca="1" si="146"/>
        <v>3.6136221504962963E-2</v>
      </c>
      <c r="GR25" s="137">
        <f t="shared" ca="1" si="147"/>
        <v>0.12706125704979945</v>
      </c>
      <c r="GS25" s="140">
        <f t="shared" si="73"/>
        <v>8.2588939376578643E-2</v>
      </c>
      <c r="GT25" s="140">
        <f t="shared" si="74"/>
        <v>7.1789167162608969E-2</v>
      </c>
      <c r="GU25" s="140">
        <f t="shared" si="148"/>
        <v>297.32018175568311</v>
      </c>
      <c r="GV25" s="140">
        <f t="shared" si="149"/>
        <v>258.4410017853923</v>
      </c>
      <c r="GW25" s="141">
        <f t="shared" ca="1" si="75"/>
        <v>8.0852519619795636E-3</v>
      </c>
      <c r="GX25" s="141">
        <f t="shared" ca="1" si="76"/>
        <v>5.3143675873890978E-3</v>
      </c>
      <c r="GY25" s="141">
        <f t="shared" ca="1" si="150"/>
        <v>29.106907063126428</v>
      </c>
      <c r="GZ25" s="141">
        <f t="shared" ca="1" si="165"/>
        <v>19.131723314600752</v>
      </c>
      <c r="HA25" s="141">
        <f t="shared" ca="1" si="77"/>
        <v>1.7391477621438948E-2</v>
      </c>
      <c r="HB25" s="141">
        <f t="shared" ca="1" si="78"/>
        <v>1.6359045550317197E-2</v>
      </c>
      <c r="HC25" s="141">
        <f t="shared" ca="1" si="151"/>
        <v>62.609319437180211</v>
      </c>
      <c r="HD25" s="141">
        <f t="shared" ca="1" si="152"/>
        <v>58.892563981141912</v>
      </c>
      <c r="HE25" s="137">
        <f t="shared" si="153"/>
        <v>8.970326595980298</v>
      </c>
      <c r="HF25" s="250">
        <f t="shared" si="154"/>
        <v>9.02639254522839</v>
      </c>
      <c r="HG25" s="137">
        <v>3.2377702430561186</v>
      </c>
      <c r="HH25" s="251">
        <v>3.9433888580238836</v>
      </c>
      <c r="HI25" s="137">
        <f t="shared" ca="1" si="155"/>
        <v>1.5712848420583461</v>
      </c>
      <c r="HJ25" s="251">
        <f t="shared" ca="1" si="156"/>
        <v>1.5339449198591169</v>
      </c>
      <c r="HK25" s="137">
        <f t="shared" ca="1" si="157"/>
        <v>0.76662606557403146</v>
      </c>
      <c r="HL25" s="251">
        <f t="shared" ca="1" si="158"/>
        <v>0.98008006860655605</v>
      </c>
      <c r="HM25" s="137">
        <f t="shared" ca="1" si="159"/>
        <v>0.86253970512135736</v>
      </c>
      <c r="HN25" s="251">
        <f t="shared" ca="1" si="160"/>
        <v>1.075993708153882</v>
      </c>
      <c r="HO25" s="137">
        <f t="shared" ca="1" si="161"/>
        <v>0.21632127990423389</v>
      </c>
      <c r="HP25" s="251">
        <f t="shared" ca="1" si="162"/>
        <v>0.67259572602039386</v>
      </c>
      <c r="JN25" s="143">
        <f t="shared" si="79"/>
        <v>19.224108287644299</v>
      </c>
      <c r="JO25" s="143">
        <f t="shared" si="80"/>
        <v>3237.7702430561185</v>
      </c>
      <c r="JP25" s="143">
        <f t="shared" si="81"/>
        <v>4043.4559753242484</v>
      </c>
      <c r="JQ25" s="143">
        <f t="shared" si="82"/>
        <v>1.0055559873580933</v>
      </c>
      <c r="JR25" s="143">
        <f t="shared" ca="1" si="83"/>
        <v>1.2544024456723901</v>
      </c>
      <c r="JS25" s="143">
        <f t="shared" si="84"/>
        <v>70.491901245117191</v>
      </c>
      <c r="JT25" s="143">
        <f t="shared" ca="1" si="85"/>
        <v>219.17654850002364</v>
      </c>
      <c r="JU25" s="143">
        <f t="shared" si="166"/>
        <v>0.28885451065131845</v>
      </c>
      <c r="JV25" s="143">
        <f t="shared" si="86"/>
        <v>0.36073297652831365</v>
      </c>
      <c r="JW25" s="143">
        <f t="shared" ca="1" si="87"/>
        <v>0.24096841781016276</v>
      </c>
      <c r="JX25" s="143">
        <f t="shared" ca="1" si="88"/>
        <v>0.30060123596403115</v>
      </c>
      <c r="JY25" s="143">
        <f t="shared" si="89"/>
        <v>0.52554557309098648</v>
      </c>
      <c r="JZ25" s="143">
        <f t="shared" si="90"/>
        <v>0.53865841580026019</v>
      </c>
      <c r="KA25" s="143">
        <f t="shared" si="91"/>
        <v>0.27250425533143247</v>
      </c>
      <c r="KB25" s="143">
        <f t="shared" si="92"/>
        <v>0.34031412880029593</v>
      </c>
      <c r="KC25" s="143">
        <f t="shared" ca="1" si="93"/>
        <v>0.47638029551774907</v>
      </c>
      <c r="KD25" s="143">
        <f t="shared" ca="1" si="94"/>
        <v>0.63892781019579914</v>
      </c>
      <c r="KE25" s="143">
        <f t="shared" ca="1" si="95"/>
        <v>0.62509261989495146</v>
      </c>
      <c r="KF25" s="143">
        <f t="shared" ca="1" si="96"/>
        <v>0.25079573568592761</v>
      </c>
      <c r="KG25" s="142">
        <f t="shared" si="97"/>
        <v>0.14583649136114687</v>
      </c>
      <c r="KH25" s="142">
        <f t="shared" ca="1" si="98"/>
        <v>0.12706125704979945</v>
      </c>
      <c r="KI25" s="142">
        <f t="shared" ca="1" si="99"/>
        <v>389.03640825598973</v>
      </c>
      <c r="KJ25" s="142">
        <f t="shared" ca="1" si="100"/>
        <v>336.46528908113498</v>
      </c>
    </row>
    <row r="26" spans="1:296" x14ac:dyDescent="0.3">
      <c r="A26" s="201">
        <v>41310</v>
      </c>
      <c r="B26" s="196">
        <v>23</v>
      </c>
      <c r="C26" s="179">
        <v>24</v>
      </c>
      <c r="D26" s="152">
        <v>4.2</v>
      </c>
      <c r="E26" s="152">
        <v>50016</v>
      </c>
      <c r="F26" s="152">
        <v>300</v>
      </c>
      <c r="G26" s="152">
        <v>11.7</v>
      </c>
      <c r="H26" s="152">
        <v>0.85</v>
      </c>
      <c r="I26" s="152">
        <v>1.4</v>
      </c>
      <c r="J26" s="152">
        <v>1.33</v>
      </c>
      <c r="K26" s="152">
        <v>0.91</v>
      </c>
      <c r="L26" s="152">
        <v>27669.244567416608</v>
      </c>
      <c r="M26" s="155">
        <v>19</v>
      </c>
      <c r="N26" s="153">
        <v>78304.684722498059</v>
      </c>
      <c r="O26" s="178">
        <v>17</v>
      </c>
      <c r="P26" s="152">
        <v>2</v>
      </c>
      <c r="Q26" s="152">
        <v>5</v>
      </c>
      <c r="R26" s="154">
        <v>404.44512939453125</v>
      </c>
      <c r="S26" s="155">
        <v>83.278957547794562</v>
      </c>
      <c r="T26" s="152">
        <v>180</v>
      </c>
      <c r="U26" s="156">
        <v>3.2959764003753662</v>
      </c>
      <c r="V26" s="178">
        <v>17</v>
      </c>
      <c r="W26" s="152">
        <v>1250</v>
      </c>
      <c r="X26" s="155">
        <v>82389.76726475358</v>
      </c>
      <c r="Y26" s="155">
        <v>8289.2663626987487</v>
      </c>
      <c r="Z26" s="155">
        <v>286.83151245117187</v>
      </c>
      <c r="AA26" s="155">
        <v>11.175264358520508</v>
      </c>
      <c r="AB26" s="155">
        <v>14.009054183959961</v>
      </c>
      <c r="AC26" s="215">
        <v>37</v>
      </c>
      <c r="AD26" s="215">
        <v>29.101472854614258</v>
      </c>
      <c r="AE26" s="254">
        <v>20</v>
      </c>
      <c r="AF26" s="254">
        <v>10</v>
      </c>
      <c r="AG26" s="217">
        <v>5000000</v>
      </c>
      <c r="AH26" s="218">
        <v>300000</v>
      </c>
      <c r="AI26" s="219">
        <v>5000000</v>
      </c>
      <c r="AJ26" s="225">
        <f t="shared" si="0"/>
        <v>300000</v>
      </c>
      <c r="AK26" s="220">
        <v>2750000</v>
      </c>
      <c r="AL26" s="226">
        <f t="shared" si="1"/>
        <v>300000</v>
      </c>
      <c r="AM26" s="221">
        <v>14.407</v>
      </c>
      <c r="BM26" s="197">
        <f t="shared" si="2"/>
        <v>7.8985271453857422</v>
      </c>
      <c r="BN26" s="196">
        <f t="shared" si="3"/>
        <v>180</v>
      </c>
      <c r="BO26" s="197">
        <f t="shared" si="4"/>
        <v>2.8337898254394531</v>
      </c>
      <c r="BP26" s="196">
        <f t="shared" si="5"/>
        <v>12.690340820677653</v>
      </c>
      <c r="BQ26" s="115">
        <f t="shared" si="6"/>
        <v>659.74492511188635</v>
      </c>
      <c r="BR26" s="184">
        <f t="shared" si="7"/>
        <v>1.0041987768</v>
      </c>
      <c r="BS26" s="115">
        <f t="shared" si="8"/>
        <v>6863.8528613899143</v>
      </c>
      <c r="BT26" s="196">
        <v>900</v>
      </c>
      <c r="BU26" s="115">
        <f t="shared" si="101"/>
        <v>1.1850729520000001</v>
      </c>
      <c r="BV26" s="115">
        <f t="shared" si="102"/>
        <v>1.0746786175213203</v>
      </c>
      <c r="BW26" s="115">
        <f t="shared" si="103"/>
        <v>482.08868368093545</v>
      </c>
      <c r="BX26" s="115">
        <f t="shared" si="9"/>
        <v>1159.7420431271501</v>
      </c>
      <c r="BY26" s="115"/>
      <c r="BZ26" s="115">
        <f t="shared" si="10"/>
        <v>677.65335944621461</v>
      </c>
      <c r="CA26" s="115">
        <f t="shared" si="11"/>
        <v>10985.0331929522</v>
      </c>
      <c r="CB26" s="115">
        <f t="shared" si="12"/>
        <v>3262.6951967707523</v>
      </c>
      <c r="CC26" s="115">
        <f t="shared" si="13"/>
        <v>1152.8851903090253</v>
      </c>
      <c r="CD26" s="129">
        <f t="shared" si="104"/>
        <v>0.22778912223886716</v>
      </c>
      <c r="CE26" s="115">
        <f t="shared" si="14"/>
        <v>16.872441908892462</v>
      </c>
      <c r="CF26" s="115">
        <f t="shared" si="15"/>
        <v>23.13304376327627</v>
      </c>
      <c r="CG26" s="115">
        <f t="shared" si="16"/>
        <v>0.02</v>
      </c>
      <c r="CH26" s="115">
        <f t="shared" si="17"/>
        <v>0.05</v>
      </c>
      <c r="CI26" s="136">
        <v>30</v>
      </c>
      <c r="CJ26" s="115">
        <f t="shared" si="18"/>
        <v>165</v>
      </c>
      <c r="CK26" s="115">
        <f t="shared" si="19"/>
        <v>453</v>
      </c>
      <c r="CL26" s="115">
        <f t="shared" si="20"/>
        <v>677.44512939453125</v>
      </c>
      <c r="CM26" s="115">
        <f t="shared" ca="1" si="21"/>
        <v>2816.5993052117487</v>
      </c>
      <c r="CN26" s="115">
        <f t="shared" ca="1" si="22"/>
        <v>125.80344444444444</v>
      </c>
      <c r="CO26" s="115">
        <f t="shared" ca="1" si="23"/>
        <v>690.58718083896258</v>
      </c>
      <c r="CP26" s="115">
        <f t="shared" ca="1" si="24"/>
        <v>2790.6388281929471</v>
      </c>
      <c r="CQ26" s="115">
        <f t="shared" si="105"/>
        <v>1.072449112508886</v>
      </c>
      <c r="CR26" s="115">
        <f t="shared" ca="1" si="25"/>
        <v>542.94154438771159</v>
      </c>
      <c r="CS26" s="115">
        <f t="shared" ca="1" si="26"/>
        <v>26.867110014701751</v>
      </c>
      <c r="CT26" s="115">
        <f t="shared" si="106"/>
        <v>1.1254523123894693</v>
      </c>
      <c r="CU26" s="115">
        <f t="shared" ca="1" si="107"/>
        <v>1.0208000573453608</v>
      </c>
      <c r="CV26" s="115">
        <f t="shared" si="108"/>
        <v>204.65335944621461</v>
      </c>
      <c r="CW26" s="115">
        <f t="shared" si="27"/>
        <v>473</v>
      </c>
      <c r="CX26" s="115">
        <f t="shared" si="28"/>
        <v>438</v>
      </c>
      <c r="CY26" s="115">
        <f t="shared" ca="1" si="109"/>
        <v>446.13288998529822</v>
      </c>
      <c r="CZ26" s="115">
        <f t="shared" ca="1" si="29"/>
        <v>231.31223940923303</v>
      </c>
      <c r="DA26" s="115">
        <v>0.21890000000000001</v>
      </c>
      <c r="DB26" s="115">
        <v>2.7E-2</v>
      </c>
      <c r="DC26" s="115">
        <v>1.06</v>
      </c>
      <c r="DD26" s="138">
        <f t="shared" si="30"/>
        <v>12.07668678217313</v>
      </c>
      <c r="DE26" s="138">
        <f t="shared" si="110"/>
        <v>12.07668678217313</v>
      </c>
      <c r="DF26" s="115">
        <f t="shared" si="31"/>
        <v>677.44512939453125</v>
      </c>
      <c r="DG26" s="115">
        <v>677.65335944621461</v>
      </c>
      <c r="DH26" s="115">
        <f t="shared" si="111"/>
        <v>1.1254523123894693</v>
      </c>
      <c r="DI26" s="115">
        <f t="shared" si="112"/>
        <v>1.1255083190950093</v>
      </c>
      <c r="DJ26" s="138">
        <f t="shared" si="32"/>
        <v>2.9126072268379346</v>
      </c>
      <c r="DK26" s="138">
        <f t="shared" si="33"/>
        <v>2.9152755165237143</v>
      </c>
      <c r="DL26" s="115">
        <f t="shared" si="113"/>
        <v>677.44512939453125</v>
      </c>
      <c r="DM26" s="115">
        <f t="shared" si="167"/>
        <v>677.65335944621461</v>
      </c>
      <c r="DN26" s="115">
        <f t="shared" si="34"/>
        <v>12.805707555411086</v>
      </c>
      <c r="DO26" s="115">
        <f t="shared" si="114"/>
        <v>1.1254523123894693</v>
      </c>
      <c r="DP26" s="115">
        <f t="shared" si="115"/>
        <v>1.1255083190950093</v>
      </c>
      <c r="DQ26" s="115">
        <v>298.14999999999998</v>
      </c>
      <c r="DR26" s="138">
        <f t="shared" si="116"/>
        <v>1.9397964130740644</v>
      </c>
      <c r="DS26" s="138">
        <f t="shared" si="117"/>
        <v>1.9415734940047935</v>
      </c>
      <c r="DT26" s="115">
        <f t="shared" si="35"/>
        <v>677.44512939453125</v>
      </c>
      <c r="DU26" s="139">
        <f t="shared" si="118"/>
        <v>6.4220815668277815</v>
      </c>
      <c r="DV26" s="115">
        <f t="shared" si="119"/>
        <v>1.1254523123894693</v>
      </c>
      <c r="DW26" s="115">
        <v>298.14999999999998</v>
      </c>
      <c r="DX26" s="138">
        <f t="shared" si="36"/>
        <v>0.97281081376387013</v>
      </c>
      <c r="DY26" s="138">
        <f t="shared" si="37"/>
        <v>0.97370202251892057</v>
      </c>
      <c r="DZ26" s="138">
        <f t="shared" si="38"/>
        <v>3.2626951967707525</v>
      </c>
      <c r="EA26" s="138">
        <f t="shared" ref="EA26:EA45" si="168">JP26*0.001</f>
        <v>4.1211803315622859</v>
      </c>
      <c r="EB26" s="115">
        <f t="shared" si="120"/>
        <v>23.13304376327627</v>
      </c>
      <c r="EC26" s="115">
        <v>30</v>
      </c>
      <c r="ED26" s="198">
        <f t="shared" ca="1" si="40"/>
        <v>125.80344444444444</v>
      </c>
      <c r="EE26" s="198">
        <v>104.83</v>
      </c>
      <c r="EF26" s="198">
        <f t="shared" ca="1" si="41"/>
        <v>0.42491111111111107</v>
      </c>
      <c r="EG26" s="199">
        <v>0.36720000000000003</v>
      </c>
      <c r="EH26" s="138">
        <f t="shared" ca="1" si="121"/>
        <v>8.71393227808646E-2</v>
      </c>
      <c r="EI26" s="138">
        <f t="shared" ca="1" si="122"/>
        <v>8.71393227808646E-2</v>
      </c>
      <c r="EJ26" s="115">
        <f t="shared" si="42"/>
        <v>12.805707555411086</v>
      </c>
      <c r="EK26" s="115">
        <v>435</v>
      </c>
      <c r="EL26" s="115">
        <f t="shared" ca="1" si="43"/>
        <v>446.13288998529822</v>
      </c>
      <c r="EM26" s="115">
        <f t="shared" ca="1" si="123"/>
        <v>1.0625145878806204</v>
      </c>
      <c r="EN26" s="115">
        <f t="shared" ca="1" si="124"/>
        <v>1.0659547938515794</v>
      </c>
      <c r="EO26" s="115">
        <v>298.14999999999998</v>
      </c>
      <c r="EP26" s="138">
        <f t="shared" ca="1" si="125"/>
        <v>0.3295983920199233</v>
      </c>
      <c r="EQ26" s="138">
        <f t="shared" ca="1" si="126"/>
        <v>0.37978468934186688</v>
      </c>
      <c r="ER26" s="115">
        <f t="shared" si="44"/>
        <v>0.91554900010426843</v>
      </c>
      <c r="ES26" s="115">
        <f t="shared" si="45"/>
        <v>453</v>
      </c>
      <c r="ET26" s="115">
        <f t="shared" ca="1" si="46"/>
        <v>2816.5993052117487</v>
      </c>
      <c r="EU26" s="115">
        <f t="shared" ca="1" si="47"/>
        <v>6.5855309782608691</v>
      </c>
      <c r="EV26" s="138">
        <f t="shared" ca="1" si="48"/>
        <v>0.78533405847333138</v>
      </c>
      <c r="EW26" s="138">
        <f t="shared" ca="1" si="49"/>
        <v>1.1013256248549474</v>
      </c>
      <c r="EX26" s="115">
        <v>21.47</v>
      </c>
      <c r="EY26" s="115">
        <f t="shared" ca="1" si="50"/>
        <v>121.87734183798895</v>
      </c>
      <c r="EZ26" s="115">
        <f t="shared" ca="1" si="51"/>
        <v>0.41238164925045434</v>
      </c>
      <c r="FA26" s="138">
        <f t="shared" ca="1" si="127"/>
        <v>7.678601895685E-2</v>
      </c>
      <c r="FB26" s="138">
        <f t="shared" ca="1" si="128"/>
        <v>7.678601895685E-2</v>
      </c>
      <c r="FC26" s="115">
        <f t="shared" si="52"/>
        <v>21.47</v>
      </c>
      <c r="FD26" s="115">
        <v>37</v>
      </c>
      <c r="FE26" s="115">
        <f t="shared" ca="1" si="53"/>
        <v>154.93355555555553</v>
      </c>
      <c r="FF26" s="115">
        <f t="shared" ca="1" si="54"/>
        <v>0.52252222222222222</v>
      </c>
      <c r="FG26" s="138">
        <f t="shared" ca="1" si="55"/>
        <v>8.1462225449999703E-2</v>
      </c>
      <c r="FH26" s="138">
        <f t="shared" ca="1" si="129"/>
        <v>8.1462225449999703E-2</v>
      </c>
      <c r="FI26" s="115">
        <f t="shared" si="56"/>
        <v>80.312823486328128</v>
      </c>
      <c r="FJ26" s="115">
        <f t="shared" ca="1" si="57"/>
        <v>46.854167480892613</v>
      </c>
      <c r="FK26" s="115">
        <f t="shared" ca="1" si="58"/>
        <v>0.1624106307771471</v>
      </c>
      <c r="FL26" s="138">
        <f t="shared" ca="1" si="59"/>
        <v>0.24753359204624314</v>
      </c>
      <c r="FM26" s="138">
        <f t="shared" ca="1" si="60"/>
        <v>0.75537349839044021</v>
      </c>
      <c r="FN26" s="115">
        <f t="shared" si="130"/>
        <v>80.312823486328128</v>
      </c>
      <c r="FO26" s="115">
        <f t="shared" ca="1" si="61"/>
        <v>58.713892765892879</v>
      </c>
      <c r="FP26" s="115">
        <f t="shared" ca="1" si="62"/>
        <v>0.20192625556521945</v>
      </c>
      <c r="FQ26" s="138">
        <f t="shared" ca="1" si="63"/>
        <v>0.25380937697721329</v>
      </c>
      <c r="FR26" s="138">
        <f t="shared" ca="1" si="64"/>
        <v>0.77452468340442138</v>
      </c>
      <c r="FS26" s="139">
        <f t="shared" si="131"/>
        <v>5.9013843585644432</v>
      </c>
      <c r="FT26" s="249">
        <f t="shared" si="132"/>
        <v>5.0402309340871305</v>
      </c>
      <c r="FU26" s="139">
        <f t="shared" ca="1" si="133"/>
        <v>0.91200328536167419</v>
      </c>
      <c r="FV26" s="249">
        <f t="shared" ca="1" si="134"/>
        <v>0.54760250258884402</v>
      </c>
      <c r="FW26" s="139">
        <f t="shared" ca="1" si="135"/>
        <v>0.78693363691115192</v>
      </c>
      <c r="FX26" s="249">
        <f t="shared" ca="1" si="136"/>
        <v>1.1158006033757792</v>
      </c>
      <c r="FY26" s="249">
        <f t="shared" si="65"/>
        <v>0.15000000000000002</v>
      </c>
      <c r="FZ26" s="139">
        <f t="shared" si="66"/>
        <v>1050000</v>
      </c>
      <c r="GA26" s="139">
        <f t="shared" si="137"/>
        <v>3.3757716049382713E-2</v>
      </c>
      <c r="GB26" s="139">
        <f t="shared" si="138"/>
        <v>121.52777777777777</v>
      </c>
      <c r="GC26" s="139">
        <f t="shared" si="67"/>
        <v>1050000</v>
      </c>
      <c r="GD26" s="139">
        <f t="shared" si="139"/>
        <v>6.7515432098765427E-2</v>
      </c>
      <c r="GE26" s="139">
        <f t="shared" si="140"/>
        <v>243.05555555555554</v>
      </c>
      <c r="GF26" s="139">
        <f t="shared" si="141"/>
        <v>4.5814043209876545E-2</v>
      </c>
      <c r="GG26" s="139">
        <f t="shared" si="68"/>
        <v>712500</v>
      </c>
      <c r="GH26" s="139">
        <f t="shared" si="142"/>
        <v>164.93055555555554</v>
      </c>
      <c r="GI26" s="137">
        <f t="shared" si="69"/>
        <v>50.812166078885312</v>
      </c>
      <c r="GJ26" s="137">
        <f t="shared" si="143"/>
        <v>0.18292379788398566</v>
      </c>
      <c r="GK26" s="251">
        <f t="shared" si="70"/>
        <v>40.218130442926203</v>
      </c>
      <c r="GL26" s="137">
        <f t="shared" si="164"/>
        <v>0.14478526959453317</v>
      </c>
      <c r="GM26" s="137">
        <f t="shared" ca="1" si="71"/>
        <v>9.1213446389976305</v>
      </c>
      <c r="GN26" s="137">
        <f t="shared" ca="1" si="144"/>
        <v>3.2836840700391209E-2</v>
      </c>
      <c r="GO26" s="137">
        <f t="shared" ca="1" si="145"/>
        <v>0.11546005872148808</v>
      </c>
      <c r="GP26" s="137">
        <f t="shared" ca="1" si="72"/>
        <v>10.23758402123088</v>
      </c>
      <c r="GQ26" s="137">
        <f t="shared" ca="1" si="146"/>
        <v>3.6855302476430873E-2</v>
      </c>
      <c r="GR26" s="137">
        <f t="shared" ca="1" si="147"/>
        <v>0.12958967115482023</v>
      </c>
      <c r="GS26" s="140">
        <f t="shared" si="73"/>
        <v>8.5021244453837935E-2</v>
      </c>
      <c r="GT26" s="140">
        <f t="shared" si="74"/>
        <v>7.2614607067393283E-2</v>
      </c>
      <c r="GU26" s="140">
        <f t="shared" si="148"/>
        <v>306.07648003381655</v>
      </c>
      <c r="GV26" s="140">
        <f t="shared" si="149"/>
        <v>261.41258544261581</v>
      </c>
      <c r="GW26" s="141">
        <f t="shared" ca="1" si="75"/>
        <v>8.750728067248954E-3</v>
      </c>
      <c r="GX26" s="141">
        <f t="shared" ca="1" si="76"/>
        <v>5.2542799636951182E-3</v>
      </c>
      <c r="GY26" s="141">
        <f t="shared" ca="1" si="150"/>
        <v>31.502621042096234</v>
      </c>
      <c r="GZ26" s="141">
        <f t="shared" ca="1" si="165"/>
        <v>18.915407869302424</v>
      </c>
      <c r="HA26" s="141">
        <f t="shared" ca="1" si="77"/>
        <v>1.7413601964507912E-2</v>
      </c>
      <c r="HB26" s="141">
        <f t="shared" ca="1" si="78"/>
        <v>1.6486897658728003E-2</v>
      </c>
      <c r="HC26" s="141">
        <f t="shared" ca="1" si="151"/>
        <v>62.688967072228479</v>
      </c>
      <c r="HD26" s="141">
        <f t="shared" ca="1" si="152"/>
        <v>59.352831571420808</v>
      </c>
      <c r="HE26" s="137">
        <f t="shared" si="153"/>
        <v>9.1640795553351957</v>
      </c>
      <c r="HF26" s="250">
        <f t="shared" si="154"/>
        <v>9.1614112656494164</v>
      </c>
      <c r="HG26" s="137">
        <v>3.2626951967707525</v>
      </c>
      <c r="HH26" s="251">
        <v>4.1259251308221376</v>
      </c>
      <c r="HI26" s="137">
        <f t="shared" ca="1" si="155"/>
        <v>1.5600117237321975</v>
      </c>
      <c r="HJ26" s="251">
        <f t="shared" ca="1" si="156"/>
        <v>1.5617888046629267</v>
      </c>
      <c r="HK26" s="137">
        <f t="shared" ca="1" si="157"/>
        <v>0.69819473569246682</v>
      </c>
      <c r="HL26" s="251">
        <f t="shared" ca="1" si="158"/>
        <v>1.0141863020740829</v>
      </c>
      <c r="HM26" s="137">
        <f t="shared" ca="1" si="159"/>
        <v>0.78533405847333138</v>
      </c>
      <c r="HN26" s="251">
        <f t="shared" ca="1" si="160"/>
        <v>1.1013256248549474</v>
      </c>
      <c r="HO26" s="137">
        <f t="shared" ca="1" si="161"/>
        <v>0.24753359204624314</v>
      </c>
      <c r="HP26" s="251">
        <f t="shared" ca="1" si="162"/>
        <v>0.75537349839044021</v>
      </c>
      <c r="JN26" s="143">
        <f t="shared" si="79"/>
        <v>19.227789122238867</v>
      </c>
      <c r="JO26" s="143">
        <f t="shared" si="80"/>
        <v>3262.6951967707523</v>
      </c>
      <c r="JP26" s="143">
        <f t="shared" si="81"/>
        <v>4121.1803315622856</v>
      </c>
      <c r="JQ26" s="143">
        <f t="shared" si="82"/>
        <v>0.91554900010426843</v>
      </c>
      <c r="JR26" s="143">
        <f t="shared" ca="1" si="83"/>
        <v>1.2839346055935716</v>
      </c>
      <c r="JS26" s="143">
        <f t="shared" si="84"/>
        <v>80.312823486328128</v>
      </c>
      <c r="JT26" s="143">
        <f t="shared" ca="1" si="85"/>
        <v>245.08260855014862</v>
      </c>
      <c r="JU26" s="143">
        <f t="shared" si="166"/>
        <v>0.28637464653651207</v>
      </c>
      <c r="JV26" s="143">
        <f t="shared" si="86"/>
        <v>0.3617259626128968</v>
      </c>
      <c r="JW26" s="143">
        <f t="shared" ca="1" si="87"/>
        <v>0.21586034111998012</v>
      </c>
      <c r="JX26" s="143">
        <f t="shared" ca="1" si="88"/>
        <v>0.30271515987414316</v>
      </c>
      <c r="JY26" s="143">
        <f t="shared" si="89"/>
        <v>0.52428549723454854</v>
      </c>
      <c r="JZ26" s="143">
        <f t="shared" si="90"/>
        <v>0.53496182626168276</v>
      </c>
      <c r="KA26" s="143">
        <f t="shared" si="91"/>
        <v>0.27016476088350194</v>
      </c>
      <c r="KB26" s="143">
        <f t="shared" si="92"/>
        <v>0.34125090812537434</v>
      </c>
      <c r="KC26" s="143">
        <f t="shared" ca="1" si="93"/>
        <v>0.43360799514297177</v>
      </c>
      <c r="KD26" s="143">
        <f t="shared" ca="1" si="94"/>
        <v>0.64937480602120834</v>
      </c>
      <c r="KE26" s="143">
        <f t="shared" ca="1" si="95"/>
        <v>0.68587662117634685</v>
      </c>
      <c r="KF26" s="143">
        <f t="shared" ca="1" si="96"/>
        <v>0.31519528457411089</v>
      </c>
      <c r="KG26" s="142">
        <f t="shared" si="97"/>
        <v>0.14478526959453317</v>
      </c>
      <c r="KH26" s="142">
        <f t="shared" ca="1" si="98"/>
        <v>0.12958967115482023</v>
      </c>
      <c r="KI26" s="142">
        <f t="shared" ca="1" si="99"/>
        <v>400.26806814814125</v>
      </c>
      <c r="KJ26" s="142">
        <f t="shared" ca="1" si="100"/>
        <v>339.68082488333903</v>
      </c>
    </row>
    <row r="27" spans="1:296" x14ac:dyDescent="0.3">
      <c r="A27" s="201">
        <v>41311</v>
      </c>
      <c r="B27" s="196">
        <v>24</v>
      </c>
      <c r="C27" s="179">
        <v>24</v>
      </c>
      <c r="D27" s="152">
        <v>4.2</v>
      </c>
      <c r="E27" s="152">
        <v>50016</v>
      </c>
      <c r="F27" s="152">
        <v>300</v>
      </c>
      <c r="G27" s="152">
        <v>11.7</v>
      </c>
      <c r="H27" s="152">
        <v>0.85</v>
      </c>
      <c r="I27" s="152">
        <v>1.4</v>
      </c>
      <c r="J27" s="152">
        <v>1.33</v>
      </c>
      <c r="K27" s="152">
        <v>0.91</v>
      </c>
      <c r="L27" s="152">
        <v>27843.660541854799</v>
      </c>
      <c r="M27" s="155">
        <v>19</v>
      </c>
      <c r="N27" s="153">
        <v>79180.871942669153</v>
      </c>
      <c r="O27" s="178">
        <v>17</v>
      </c>
      <c r="P27" s="152">
        <v>2</v>
      </c>
      <c r="Q27" s="152">
        <v>5</v>
      </c>
      <c r="R27" s="154">
        <v>405.01922607421875</v>
      </c>
      <c r="S27" s="155">
        <v>83.573342503426829</v>
      </c>
      <c r="T27" s="152">
        <v>180</v>
      </c>
      <c r="U27" s="156">
        <v>3.2618129253387451</v>
      </c>
      <c r="V27" s="178">
        <v>17</v>
      </c>
      <c r="W27" s="152">
        <v>1250</v>
      </c>
      <c r="X27" s="155">
        <v>82509.655760258436</v>
      </c>
      <c r="Y27" s="155">
        <v>8917.8769269399345</v>
      </c>
      <c r="Z27" s="155">
        <v>332.49343872070312</v>
      </c>
      <c r="AA27" s="155">
        <v>11.679527282714844</v>
      </c>
      <c r="AB27" s="155">
        <v>14.366576194763184</v>
      </c>
      <c r="AC27" s="215">
        <v>37</v>
      </c>
      <c r="AD27" s="215">
        <v>29.487556457519531</v>
      </c>
      <c r="AE27" s="254">
        <v>20</v>
      </c>
      <c r="AF27" s="254">
        <v>10</v>
      </c>
      <c r="AG27" s="217">
        <v>5000000</v>
      </c>
      <c r="AH27" s="218">
        <v>300000</v>
      </c>
      <c r="AI27" s="219">
        <v>5000000</v>
      </c>
      <c r="AJ27" s="225">
        <f t="shared" si="0"/>
        <v>300000</v>
      </c>
      <c r="AK27" s="220">
        <v>2750000</v>
      </c>
      <c r="AL27" s="226">
        <f t="shared" si="1"/>
        <v>300000</v>
      </c>
      <c r="AM27" s="221">
        <v>14.407</v>
      </c>
      <c r="BM27" s="197">
        <f t="shared" si="2"/>
        <v>7.5124435424804687</v>
      </c>
      <c r="BN27" s="196">
        <f t="shared" si="3"/>
        <v>180</v>
      </c>
      <c r="BO27" s="197">
        <f t="shared" si="4"/>
        <v>2.6870489120483398</v>
      </c>
      <c r="BP27" s="196">
        <f t="shared" si="5"/>
        <v>12.691288509750711</v>
      </c>
      <c r="BQ27" s="115">
        <f t="shared" si="6"/>
        <v>659.74492511188635</v>
      </c>
      <c r="BR27" s="184">
        <f t="shared" si="7"/>
        <v>1.0041987768</v>
      </c>
      <c r="BS27" s="115">
        <f t="shared" si="8"/>
        <v>6863.8528613899143</v>
      </c>
      <c r="BT27" s="196">
        <v>900</v>
      </c>
      <c r="BU27" s="115">
        <f t="shared" si="101"/>
        <v>1.1850729520000001</v>
      </c>
      <c r="BV27" s="115">
        <f t="shared" si="102"/>
        <v>1.0749974533149893</v>
      </c>
      <c r="BW27" s="115">
        <f t="shared" si="103"/>
        <v>483.38321872841982</v>
      </c>
      <c r="BX27" s="115">
        <f t="shared" si="9"/>
        <v>1162.8562558678557</v>
      </c>
      <c r="BY27" s="115"/>
      <c r="BZ27" s="115">
        <f t="shared" si="10"/>
        <v>679.47303713943586</v>
      </c>
      <c r="CA27" s="115">
        <f t="shared" si="11"/>
        <v>11015.353442351543</v>
      </c>
      <c r="CB27" s="115">
        <f t="shared" si="12"/>
        <v>3299.2029976112149</v>
      </c>
      <c r="CC27" s="115">
        <f t="shared" si="13"/>
        <v>1160.1525225772832</v>
      </c>
      <c r="CD27" s="129">
        <f t="shared" si="104"/>
        <v>0.22922501477380461</v>
      </c>
      <c r="CE27" s="115">
        <f t="shared" si="14"/>
        <v>19.558437571806067</v>
      </c>
      <c r="CF27" s="115">
        <f t="shared" si="15"/>
        <v>23.214817362063009</v>
      </c>
      <c r="CG27" s="115">
        <f t="shared" si="16"/>
        <v>0.02</v>
      </c>
      <c r="CH27" s="115">
        <f t="shared" si="17"/>
        <v>0.05</v>
      </c>
      <c r="CI27" s="136">
        <v>30</v>
      </c>
      <c r="CJ27" s="115">
        <f t="shared" si="18"/>
        <v>165</v>
      </c>
      <c r="CK27" s="115">
        <f t="shared" si="19"/>
        <v>453</v>
      </c>
      <c r="CL27" s="115">
        <f t="shared" si="20"/>
        <v>678.01922607421875</v>
      </c>
      <c r="CM27" s="115">
        <f t="shared" ca="1" si="21"/>
        <v>2816.5993052117487</v>
      </c>
      <c r="CN27" s="115">
        <f t="shared" ca="1" si="22"/>
        <v>125.80344444444444</v>
      </c>
      <c r="CO27" s="115">
        <f t="shared" ca="1" si="23"/>
        <v>690.58718083896258</v>
      </c>
      <c r="CP27" s="115">
        <f t="shared" ca="1" si="24"/>
        <v>2790.6388281929471</v>
      </c>
      <c r="CQ27" s="115">
        <f t="shared" si="105"/>
        <v>1.072449112508886</v>
      </c>
      <c r="CR27" s="115">
        <f t="shared" ca="1" si="25"/>
        <v>537.31384332288542</v>
      </c>
      <c r="CS27" s="115">
        <f t="shared" ca="1" si="26"/>
        <v>26.586641442474367</v>
      </c>
      <c r="CT27" s="115">
        <f t="shared" si="106"/>
        <v>1.1256067293000043</v>
      </c>
      <c r="CU27" s="115">
        <f t="shared" ca="1" si="107"/>
        <v>1.0208516996253874</v>
      </c>
      <c r="CV27" s="115">
        <f t="shared" si="108"/>
        <v>206.47303713943586</v>
      </c>
      <c r="CW27" s="115">
        <f t="shared" si="27"/>
        <v>473</v>
      </c>
      <c r="CX27" s="115">
        <f t="shared" si="28"/>
        <v>438</v>
      </c>
      <c r="CY27" s="115">
        <f t="shared" ca="1" si="109"/>
        <v>446.41335855752561</v>
      </c>
      <c r="CZ27" s="115">
        <f t="shared" ca="1" si="29"/>
        <v>231.60586751669314</v>
      </c>
      <c r="DA27" s="115">
        <v>0.21890000000000001</v>
      </c>
      <c r="DB27" s="115">
        <v>2.7E-2</v>
      </c>
      <c r="DC27" s="115">
        <v>1.06</v>
      </c>
      <c r="DD27" s="138">
        <f t="shared" si="30"/>
        <v>12.152813439262207</v>
      </c>
      <c r="DE27" s="138">
        <f t="shared" si="110"/>
        <v>12.152813439262207</v>
      </c>
      <c r="DF27" s="115">
        <f t="shared" si="31"/>
        <v>678.01922607421875</v>
      </c>
      <c r="DG27" s="115">
        <v>679.47303713943586</v>
      </c>
      <c r="DH27" s="115">
        <f t="shared" si="111"/>
        <v>1.1256067293000043</v>
      </c>
      <c r="DI27" s="115">
        <f t="shared" si="112"/>
        <v>1.1259978314857297</v>
      </c>
      <c r="DJ27" s="138">
        <f t="shared" si="32"/>
        <v>2.920183936989313</v>
      </c>
      <c r="DK27" s="138">
        <f t="shared" si="33"/>
        <v>2.938849372389301</v>
      </c>
      <c r="DL27" s="115">
        <f t="shared" si="113"/>
        <v>678.01922607421875</v>
      </c>
      <c r="DM27" s="115">
        <f t="shared" si="167"/>
        <v>679.47303713943586</v>
      </c>
      <c r="DN27" s="115">
        <f t="shared" si="34"/>
        <v>12.806663859839354</v>
      </c>
      <c r="DO27" s="115">
        <f t="shared" si="114"/>
        <v>1.1256067293000043</v>
      </c>
      <c r="DP27" s="115">
        <f t="shared" si="115"/>
        <v>1.1259978314857297</v>
      </c>
      <c r="DQ27" s="115">
        <v>298.14999999999998</v>
      </c>
      <c r="DR27" s="138">
        <f t="shared" si="116"/>
        <v>1.9448425020348827</v>
      </c>
      <c r="DS27" s="138">
        <f t="shared" si="117"/>
        <v>1.9572736820112746</v>
      </c>
      <c r="DT27" s="115">
        <f t="shared" si="35"/>
        <v>678.01922607421875</v>
      </c>
      <c r="DU27" s="139">
        <f t="shared" si="118"/>
        <v>6.4225611549344492</v>
      </c>
      <c r="DV27" s="115">
        <f t="shared" si="119"/>
        <v>1.1256067293000043</v>
      </c>
      <c r="DW27" s="115">
        <v>298.14999999999998</v>
      </c>
      <c r="DX27" s="138">
        <f t="shared" si="36"/>
        <v>0.97534143495443049</v>
      </c>
      <c r="DY27" s="138">
        <f t="shared" si="37"/>
        <v>0.98157569037802661</v>
      </c>
      <c r="DZ27" s="138">
        <f t="shared" si="38"/>
        <v>3.2992029976112147</v>
      </c>
      <c r="EA27" s="138">
        <f t="shared" si="168"/>
        <v>4.1515005809616286</v>
      </c>
      <c r="EB27" s="115">
        <f t="shared" si="120"/>
        <v>23.214817362063009</v>
      </c>
      <c r="EC27" s="115">
        <v>30</v>
      </c>
      <c r="ED27" s="198">
        <f t="shared" ca="1" si="40"/>
        <v>125.80344444444444</v>
      </c>
      <c r="EE27" s="198">
        <v>104.83</v>
      </c>
      <c r="EF27" s="198">
        <f t="shared" ca="1" si="41"/>
        <v>0.42491111111111107</v>
      </c>
      <c r="EG27" s="199">
        <v>0.36720000000000003</v>
      </c>
      <c r="EH27" s="138">
        <f t="shared" ca="1" si="121"/>
        <v>8.7447353842083742E-2</v>
      </c>
      <c r="EI27" s="138">
        <f t="shared" ca="1" si="122"/>
        <v>8.7447353842083742E-2</v>
      </c>
      <c r="EJ27" s="115">
        <f t="shared" si="42"/>
        <v>12.806663859839354</v>
      </c>
      <c r="EK27" s="115">
        <v>435</v>
      </c>
      <c r="EL27" s="115">
        <f t="shared" ca="1" si="43"/>
        <v>446.41335855752561</v>
      </c>
      <c r="EM27" s="115">
        <f t="shared" ca="1" si="123"/>
        <v>1.0624940697706056</v>
      </c>
      <c r="EN27" s="115">
        <f t="shared" ca="1" si="124"/>
        <v>1.0660218125553491</v>
      </c>
      <c r="EO27" s="115">
        <v>298.14999999999998</v>
      </c>
      <c r="EP27" s="138">
        <f t="shared" ca="1" si="125"/>
        <v>0.32961664044749073</v>
      </c>
      <c r="EQ27" s="138">
        <f t="shared" ca="1" si="126"/>
        <v>0.3811078218022772</v>
      </c>
      <c r="ER27" s="115">
        <f t="shared" si="44"/>
        <v>0.9060591459274292</v>
      </c>
      <c r="ES27" s="115">
        <f t="shared" si="45"/>
        <v>453</v>
      </c>
      <c r="ET27" s="115">
        <f t="shared" ca="1" si="46"/>
        <v>2816.5993052117487</v>
      </c>
      <c r="EU27" s="115">
        <f t="shared" ca="1" si="47"/>
        <v>6.5855309782608691</v>
      </c>
      <c r="EV27" s="138">
        <f t="shared" ca="1" si="48"/>
        <v>0.77719390901746555</v>
      </c>
      <c r="EW27" s="138">
        <f t="shared" ca="1" si="49"/>
        <v>1.1113535119164082</v>
      </c>
      <c r="EX27" s="115">
        <v>21.47</v>
      </c>
      <c r="EY27" s="115">
        <f t="shared" ca="1" si="50"/>
        <v>123.49314461432563</v>
      </c>
      <c r="EZ27" s="115">
        <f t="shared" ca="1" si="51"/>
        <v>0.41776537060207791</v>
      </c>
      <c r="FA27" s="138">
        <f t="shared" ca="1" si="127"/>
        <v>7.7014594059216901E-2</v>
      </c>
      <c r="FB27" s="138">
        <f t="shared" ca="1" si="128"/>
        <v>7.7014594059216901E-2</v>
      </c>
      <c r="FC27" s="115">
        <f t="shared" si="52"/>
        <v>21.47</v>
      </c>
      <c r="FD27" s="115">
        <v>37</v>
      </c>
      <c r="FE27" s="115">
        <f t="shared" ca="1" si="53"/>
        <v>154.93355555555553</v>
      </c>
      <c r="FF27" s="115">
        <f t="shared" ca="1" si="54"/>
        <v>0.52252222222222222</v>
      </c>
      <c r="FG27" s="138">
        <f t="shared" ca="1" si="55"/>
        <v>8.1462225449999703E-2</v>
      </c>
      <c r="FH27" s="138">
        <f t="shared" ca="1" si="129"/>
        <v>8.1462225449999703E-2</v>
      </c>
      <c r="FI27" s="115">
        <f t="shared" si="56"/>
        <v>93.098162841796878</v>
      </c>
      <c r="FJ27" s="115">
        <f t="shared" ca="1" si="57"/>
        <v>48.964563847859708</v>
      </c>
      <c r="FK27" s="115">
        <f t="shared" ca="1" si="58"/>
        <v>0.1694422971089681</v>
      </c>
      <c r="FL27" s="138">
        <f t="shared" ca="1" si="59"/>
        <v>0.28823405014083658</v>
      </c>
      <c r="FM27" s="138">
        <f t="shared" ca="1" si="60"/>
        <v>0.81883493908282856</v>
      </c>
      <c r="FN27" s="115">
        <f t="shared" si="130"/>
        <v>93.098162841796878</v>
      </c>
      <c r="FO27" s="115">
        <f t="shared" ca="1" si="61"/>
        <v>60.210162105772234</v>
      </c>
      <c r="FP27" s="115">
        <f t="shared" ca="1" si="62"/>
        <v>0.20691170138253107</v>
      </c>
      <c r="FQ27" s="138">
        <f t="shared" ca="1" si="63"/>
        <v>0.29513219331201257</v>
      </c>
      <c r="FR27" s="138">
        <f t="shared" ca="1" si="64"/>
        <v>0.83843165446255064</v>
      </c>
      <c r="FS27" s="139">
        <f t="shared" si="131"/>
        <v>5.9334265046616803</v>
      </c>
      <c r="FT27" s="249">
        <f t="shared" si="132"/>
        <v>5.0624634859112776</v>
      </c>
      <c r="FU27" s="139">
        <f t="shared" ca="1" si="133"/>
        <v>0.92547930641201037</v>
      </c>
      <c r="FV27" s="249">
        <f t="shared" ca="1" si="134"/>
        <v>0.55225970213467312</v>
      </c>
      <c r="FW27" s="139">
        <f t="shared" ca="1" si="135"/>
        <v>0.77964442079785867</v>
      </c>
      <c r="FX27" s="249">
        <f t="shared" ca="1" si="136"/>
        <v>1.1265025959053472</v>
      </c>
      <c r="FY27" s="249">
        <f t="shared" si="65"/>
        <v>0.15000000000000002</v>
      </c>
      <c r="FZ27" s="139">
        <f t="shared" si="66"/>
        <v>1050000</v>
      </c>
      <c r="GA27" s="139">
        <f t="shared" si="137"/>
        <v>3.3757716049382713E-2</v>
      </c>
      <c r="GB27" s="139">
        <f t="shared" si="138"/>
        <v>121.52777777777777</v>
      </c>
      <c r="GC27" s="139">
        <f t="shared" si="67"/>
        <v>1050000</v>
      </c>
      <c r="GD27" s="139">
        <f t="shared" si="139"/>
        <v>6.7515432098765427E-2</v>
      </c>
      <c r="GE27" s="139">
        <f t="shared" si="140"/>
        <v>243.05555555555554</v>
      </c>
      <c r="GF27" s="139">
        <f t="shared" si="141"/>
        <v>4.5814043209876545E-2</v>
      </c>
      <c r="GG27" s="139">
        <f t="shared" si="68"/>
        <v>712500</v>
      </c>
      <c r="GH27" s="139">
        <f t="shared" si="142"/>
        <v>164.93055555555554</v>
      </c>
      <c r="GI27" s="137">
        <f t="shared" si="69"/>
        <v>50.549241562092291</v>
      </c>
      <c r="GJ27" s="137">
        <f t="shared" si="143"/>
        <v>0.18197726962353081</v>
      </c>
      <c r="GK27" s="251">
        <f t="shared" si="70"/>
        <v>40.106774192538559</v>
      </c>
      <c r="GL27" s="137">
        <f t="shared" si="164"/>
        <v>0.14438438709313767</v>
      </c>
      <c r="GM27" s="137">
        <f t="shared" ca="1" si="71"/>
        <v>9.4018771627040678</v>
      </c>
      <c r="GN27" s="137">
        <f t="shared" ca="1" si="144"/>
        <v>3.3846757785734372E-2</v>
      </c>
      <c r="GO27" s="137">
        <f t="shared" ca="1" si="145"/>
        <v>0.11901110332536699</v>
      </c>
      <c r="GP27" s="137">
        <f t="shared" ca="1" si="72"/>
        <v>10.332049362689485</v>
      </c>
      <c r="GQ27" s="137">
        <f t="shared" ca="1" si="146"/>
        <v>3.7195377705681848E-2</v>
      </c>
      <c r="GR27" s="137">
        <f t="shared" ca="1" si="147"/>
        <v>0.13078543497075193</v>
      </c>
      <c r="GS27" s="140">
        <f t="shared" si="73"/>
        <v>8.5482875652660842E-2</v>
      </c>
      <c r="GT27" s="140">
        <f t="shared" si="74"/>
        <v>7.2934911441523781E-2</v>
      </c>
      <c r="GU27" s="140">
        <f t="shared" si="148"/>
        <v>307.73835234957903</v>
      </c>
      <c r="GV27" s="140">
        <f t="shared" si="149"/>
        <v>262.56568118948559</v>
      </c>
      <c r="GW27" s="141">
        <f t="shared" ca="1" si="75"/>
        <v>8.8800313247402347E-3</v>
      </c>
      <c r="GX27" s="141">
        <f t="shared" ca="1" si="76"/>
        <v>5.2989660820837205E-3</v>
      </c>
      <c r="GY27" s="141">
        <f t="shared" ca="1" si="150"/>
        <v>31.968112769064845</v>
      </c>
      <c r="GZ27" s="141">
        <f t="shared" ca="1" si="165"/>
        <v>19.076277895501395</v>
      </c>
      <c r="HA27" s="141">
        <f t="shared" ca="1" si="77"/>
        <v>1.7518143523179808E-2</v>
      </c>
      <c r="HB27" s="141">
        <f t="shared" ca="1" si="78"/>
        <v>1.6638790120735592E-2</v>
      </c>
      <c r="HC27" s="141">
        <f t="shared" ca="1" si="151"/>
        <v>63.065316683447307</v>
      </c>
      <c r="HD27" s="141">
        <f t="shared" ca="1" si="152"/>
        <v>59.899644434648131</v>
      </c>
      <c r="HE27" s="137">
        <f t="shared" si="153"/>
        <v>9.2326295022728946</v>
      </c>
      <c r="HF27" s="250">
        <f t="shared" si="154"/>
        <v>9.2139640668729061</v>
      </c>
      <c r="HG27" s="137">
        <v>3.2992029976112147</v>
      </c>
      <c r="HH27" s="251">
        <v>4.1846300776038481</v>
      </c>
      <c r="HI27" s="137">
        <f t="shared" ca="1" si="155"/>
        <v>1.5637346802326055</v>
      </c>
      <c r="HJ27" s="251">
        <f t="shared" ca="1" si="156"/>
        <v>1.5761658602089974</v>
      </c>
      <c r="HK27" s="137">
        <f t="shared" ca="1" si="157"/>
        <v>0.68974655517538186</v>
      </c>
      <c r="HL27" s="251">
        <f t="shared" ca="1" si="158"/>
        <v>1.0239061580743245</v>
      </c>
      <c r="HM27" s="137">
        <f t="shared" ca="1" si="159"/>
        <v>0.77719390901746555</v>
      </c>
      <c r="HN27" s="251">
        <f t="shared" ca="1" si="160"/>
        <v>1.1113535119164082</v>
      </c>
      <c r="HO27" s="137">
        <f t="shared" ca="1" si="161"/>
        <v>0.28823405014083658</v>
      </c>
      <c r="HP27" s="251">
        <f t="shared" ca="1" si="162"/>
        <v>0.81883493908282856</v>
      </c>
      <c r="JN27" s="143">
        <f t="shared" si="79"/>
        <v>19.229225014773803</v>
      </c>
      <c r="JO27" s="143">
        <f t="shared" si="80"/>
        <v>3299.2029976112149</v>
      </c>
      <c r="JP27" s="143">
        <f t="shared" si="81"/>
        <v>4151.5005809616287</v>
      </c>
      <c r="JQ27" s="143">
        <f t="shared" si="82"/>
        <v>0.9060591459274292</v>
      </c>
      <c r="JR27" s="143">
        <f t="shared" ca="1" si="83"/>
        <v>1.2956252000268842</v>
      </c>
      <c r="JS27" s="143">
        <f t="shared" si="84"/>
        <v>93.098162841796878</v>
      </c>
      <c r="JT27" s="143">
        <f t="shared" ca="1" si="85"/>
        <v>264.47960767313089</v>
      </c>
      <c r="JU27" s="143">
        <f t="shared" si="166"/>
        <v>0.2877650673192757</v>
      </c>
      <c r="JV27" s="143">
        <f t="shared" si="86"/>
        <v>0.36210467953060954</v>
      </c>
      <c r="JW27" s="143">
        <f t="shared" ca="1" si="87"/>
        <v>0.2122869866377215</v>
      </c>
      <c r="JX27" s="143">
        <f t="shared" ca="1" si="88"/>
        <v>0.30356116459049803</v>
      </c>
      <c r="JY27" s="143">
        <f t="shared" si="89"/>
        <v>0.56322474174145554</v>
      </c>
      <c r="JZ27" s="143">
        <f t="shared" si="90"/>
        <v>0.53361496418463006</v>
      </c>
      <c r="KA27" s="143">
        <f t="shared" si="91"/>
        <v>0.27147647860309027</v>
      </c>
      <c r="KB27" s="143">
        <f t="shared" si="92"/>
        <v>0.34160818823642408</v>
      </c>
      <c r="KC27" s="143">
        <f t="shared" ca="1" si="93"/>
        <v>0.4270279293928102</v>
      </c>
      <c r="KD27" s="143">
        <f t="shared" ca="1" si="94"/>
        <v>0.64961828188472248</v>
      </c>
      <c r="KE27" s="143">
        <f t="shared" ca="1" si="95"/>
        <v>0.73679070638003996</v>
      </c>
      <c r="KF27" s="143">
        <f t="shared" ca="1" si="96"/>
        <v>0.37086503998110881</v>
      </c>
      <c r="KG27" s="142">
        <f t="shared" si="97"/>
        <v>0.14438438709313767</v>
      </c>
      <c r="KH27" s="142">
        <f t="shared" ca="1" si="98"/>
        <v>0.13078543497075193</v>
      </c>
      <c r="KI27" s="142">
        <f t="shared" ca="1" si="99"/>
        <v>402.7717818020912</v>
      </c>
      <c r="KJ27" s="142">
        <f t="shared" ca="1" si="100"/>
        <v>341.54160351963509</v>
      </c>
    </row>
    <row r="28" spans="1:296" x14ac:dyDescent="0.3">
      <c r="A28" s="201">
        <v>41312</v>
      </c>
      <c r="B28" s="196">
        <v>25</v>
      </c>
      <c r="C28" s="179">
        <v>24</v>
      </c>
      <c r="D28" s="152">
        <v>4.2</v>
      </c>
      <c r="E28" s="152">
        <v>50016</v>
      </c>
      <c r="F28" s="152">
        <v>300</v>
      </c>
      <c r="G28" s="152">
        <v>11.7</v>
      </c>
      <c r="H28" s="152">
        <v>0.85</v>
      </c>
      <c r="I28" s="152">
        <v>1.4</v>
      </c>
      <c r="J28" s="152">
        <v>1.33</v>
      </c>
      <c r="K28" s="152">
        <v>0.91</v>
      </c>
      <c r="L28" s="152">
        <v>26614.80284371227</v>
      </c>
      <c r="M28" s="155">
        <v>19</v>
      </c>
      <c r="N28" s="153">
        <v>73831.50583114475</v>
      </c>
      <c r="O28" s="178">
        <v>17</v>
      </c>
      <c r="P28" s="152">
        <v>2</v>
      </c>
      <c r="Q28" s="152">
        <v>5</v>
      </c>
      <c r="R28" s="154">
        <v>408.23110961914062</v>
      </c>
      <c r="S28" s="155">
        <v>83.620621221663896</v>
      </c>
      <c r="T28" s="152">
        <v>180</v>
      </c>
      <c r="U28" s="156">
        <v>3.2873797416687012</v>
      </c>
      <c r="V28" s="178">
        <v>17</v>
      </c>
      <c r="W28" s="152">
        <v>1250</v>
      </c>
      <c r="X28" s="155">
        <v>82915.2886377424</v>
      </c>
      <c r="Y28" s="155">
        <v>8401.8023601658642</v>
      </c>
      <c r="Z28" s="155">
        <v>282.75503540039062</v>
      </c>
      <c r="AA28" s="155">
        <v>10.940459251403809</v>
      </c>
      <c r="AB28" s="155">
        <v>13.871847152709961</v>
      </c>
      <c r="AC28" s="215">
        <v>37</v>
      </c>
      <c r="AD28" s="215">
        <v>29.285093307495117</v>
      </c>
      <c r="AE28" s="254">
        <v>20</v>
      </c>
      <c r="AF28" s="254">
        <v>10</v>
      </c>
      <c r="AG28" s="217">
        <v>5000000</v>
      </c>
      <c r="AH28" s="218">
        <v>300000</v>
      </c>
      <c r="AI28" s="219">
        <v>5000000</v>
      </c>
      <c r="AJ28" s="225">
        <f t="shared" si="0"/>
        <v>300000</v>
      </c>
      <c r="AK28" s="220">
        <v>2750000</v>
      </c>
      <c r="AL28" s="226">
        <f t="shared" si="1"/>
        <v>300000</v>
      </c>
      <c r="AM28" s="221">
        <v>14.407</v>
      </c>
      <c r="BM28" s="197">
        <f t="shared" si="2"/>
        <v>7.7149066925048828</v>
      </c>
      <c r="BN28" s="196">
        <f t="shared" si="3"/>
        <v>180</v>
      </c>
      <c r="BO28" s="197">
        <f t="shared" si="4"/>
        <v>2.9313879013061523</v>
      </c>
      <c r="BP28" s="196">
        <f t="shared" si="5"/>
        <v>12.684611512321863</v>
      </c>
      <c r="BQ28" s="115">
        <f t="shared" si="6"/>
        <v>659.74492511188635</v>
      </c>
      <c r="BR28" s="184">
        <f t="shared" si="7"/>
        <v>1.0041987768</v>
      </c>
      <c r="BS28" s="115">
        <f t="shared" si="8"/>
        <v>6863.8528613899143</v>
      </c>
      <c r="BT28" s="196">
        <v>900</v>
      </c>
      <c r="BU28" s="115">
        <f t="shared" si="101"/>
        <v>1.1850729520000001</v>
      </c>
      <c r="BV28" s="115">
        <f t="shared" si="102"/>
        <v>1.0727568511565038</v>
      </c>
      <c r="BW28" s="115">
        <f t="shared" si="103"/>
        <v>474.25837860787453</v>
      </c>
      <c r="BX28" s="115">
        <f t="shared" si="9"/>
        <v>1140.9049819988893</v>
      </c>
      <c r="BY28" s="115"/>
      <c r="BZ28" s="115">
        <f t="shared" si="10"/>
        <v>666.64660339101476</v>
      </c>
      <c r="CA28" s="115">
        <f t="shared" si="11"/>
        <v>10801.73039547181</v>
      </c>
      <c r="CB28" s="115">
        <f t="shared" si="12"/>
        <v>3076.3127429643646</v>
      </c>
      <c r="CC28" s="115">
        <f t="shared" si="13"/>
        <v>1108.9501184880112</v>
      </c>
      <c r="CD28" s="129">
        <f t="shared" si="104"/>
        <v>0.21910835200282328</v>
      </c>
      <c r="CE28" s="115">
        <f t="shared" si="14"/>
        <v>16.632649141199447</v>
      </c>
      <c r="CF28" s="115">
        <f t="shared" si="15"/>
        <v>23.227950339351082</v>
      </c>
      <c r="CG28" s="115">
        <f t="shared" si="16"/>
        <v>0.02</v>
      </c>
      <c r="CH28" s="115">
        <f t="shared" si="17"/>
        <v>0.05</v>
      </c>
      <c r="CI28" s="136">
        <v>30</v>
      </c>
      <c r="CJ28" s="115">
        <f t="shared" si="18"/>
        <v>165</v>
      </c>
      <c r="CK28" s="115">
        <f t="shared" si="19"/>
        <v>453</v>
      </c>
      <c r="CL28" s="115">
        <f t="shared" si="20"/>
        <v>681.23110961914062</v>
      </c>
      <c r="CM28" s="115">
        <f t="shared" ca="1" si="21"/>
        <v>2816.5993052117487</v>
      </c>
      <c r="CN28" s="115">
        <f t="shared" ca="1" si="22"/>
        <v>125.80344444444444</v>
      </c>
      <c r="CO28" s="115">
        <f t="shared" ca="1" si="23"/>
        <v>690.58718083896258</v>
      </c>
      <c r="CP28" s="115">
        <f t="shared" ca="1" si="24"/>
        <v>2790.6388281929471</v>
      </c>
      <c r="CQ28" s="115">
        <f t="shared" si="105"/>
        <v>1.072449112508886</v>
      </c>
      <c r="CR28" s="115">
        <f t="shared" ca="1" si="25"/>
        <v>541.52542892212773</v>
      </c>
      <c r="CS28" s="115">
        <f t="shared" ca="1" si="26"/>
        <v>26.809137981706897</v>
      </c>
      <c r="CT28" s="115">
        <f t="shared" si="106"/>
        <v>1.1264709079787829</v>
      </c>
      <c r="CU28" s="115">
        <f t="shared" ca="1" si="107"/>
        <v>1.0214581055923799</v>
      </c>
      <c r="CV28" s="115">
        <f t="shared" si="108"/>
        <v>193.64660339101476</v>
      </c>
      <c r="CW28" s="115">
        <f t="shared" si="27"/>
        <v>473</v>
      </c>
      <c r="CX28" s="115">
        <f t="shared" si="28"/>
        <v>438</v>
      </c>
      <c r="CY28" s="115">
        <f t="shared" ca="1" si="109"/>
        <v>446.1908620182931</v>
      </c>
      <c r="CZ28" s="115">
        <f t="shared" ca="1" si="29"/>
        <v>235.04024760084752</v>
      </c>
      <c r="DA28" s="115">
        <v>0.21890000000000001</v>
      </c>
      <c r="DB28" s="115">
        <v>2.7E-2</v>
      </c>
      <c r="DC28" s="115">
        <v>1.06</v>
      </c>
      <c r="DD28" s="138">
        <f t="shared" si="30"/>
        <v>11.616458733799602</v>
      </c>
      <c r="DE28" s="138">
        <f t="shared" si="110"/>
        <v>11.616458733799602</v>
      </c>
      <c r="DF28" s="115">
        <f t="shared" si="31"/>
        <v>681.23110961914062</v>
      </c>
      <c r="DG28" s="115">
        <v>666.64660339101476</v>
      </c>
      <c r="DH28" s="115">
        <f t="shared" si="111"/>
        <v>1.1264709079787829</v>
      </c>
      <c r="DI28" s="115">
        <f t="shared" si="112"/>
        <v>1.1225507032281639</v>
      </c>
      <c r="DJ28" s="138">
        <f t="shared" si="32"/>
        <v>2.9599193356508553</v>
      </c>
      <c r="DK28" s="138">
        <f t="shared" si="33"/>
        <v>2.7741736355234945</v>
      </c>
      <c r="DL28" s="115">
        <f t="shared" si="113"/>
        <v>681.23110961914062</v>
      </c>
      <c r="DM28" s="115">
        <f t="shared" si="167"/>
        <v>666.64660339101476</v>
      </c>
      <c r="DN28" s="115">
        <f t="shared" si="34"/>
        <v>12.799926162433881</v>
      </c>
      <c r="DO28" s="115">
        <f t="shared" si="114"/>
        <v>1.1264709079787829</v>
      </c>
      <c r="DP28" s="115">
        <f t="shared" si="115"/>
        <v>1.1225507032281639</v>
      </c>
      <c r="DQ28" s="115">
        <v>298.14999999999998</v>
      </c>
      <c r="DR28" s="138">
        <f t="shared" si="116"/>
        <v>1.9713062775434695</v>
      </c>
      <c r="DS28" s="138">
        <f t="shared" si="117"/>
        <v>1.8475996412586471</v>
      </c>
      <c r="DT28" s="115">
        <f t="shared" si="35"/>
        <v>681.23110961914062</v>
      </c>
      <c r="DU28" s="139">
        <f t="shared" si="118"/>
        <v>6.4191821895689429</v>
      </c>
      <c r="DV28" s="115">
        <f t="shared" si="119"/>
        <v>1.1264709079787829</v>
      </c>
      <c r="DW28" s="115">
        <v>298.14999999999998</v>
      </c>
      <c r="DX28" s="138">
        <f t="shared" si="36"/>
        <v>0.98861305810738553</v>
      </c>
      <c r="DY28" s="138">
        <f t="shared" si="37"/>
        <v>0.9265739942648471</v>
      </c>
      <c r="DZ28" s="138">
        <f t="shared" si="38"/>
        <v>3.0763127429643649</v>
      </c>
      <c r="EA28" s="138">
        <f t="shared" si="168"/>
        <v>3.9378775340818959</v>
      </c>
      <c r="EB28" s="115">
        <f t="shared" si="120"/>
        <v>23.227950339351082</v>
      </c>
      <c r="EC28" s="115">
        <v>30</v>
      </c>
      <c r="ED28" s="198">
        <f t="shared" ca="1" si="40"/>
        <v>125.80344444444444</v>
      </c>
      <c r="EE28" s="198">
        <v>104.83</v>
      </c>
      <c r="EF28" s="198">
        <f t="shared" ca="1" si="41"/>
        <v>0.42491111111111107</v>
      </c>
      <c r="EG28" s="199">
        <v>0.36720000000000003</v>
      </c>
      <c r="EH28" s="138">
        <f t="shared" ca="1" si="121"/>
        <v>8.7496824147794042E-2</v>
      </c>
      <c r="EI28" s="138">
        <f t="shared" ca="1" si="122"/>
        <v>8.7496824147794042E-2</v>
      </c>
      <c r="EJ28" s="115">
        <f t="shared" si="42"/>
        <v>12.799926162433881</v>
      </c>
      <c r="EK28" s="115">
        <v>435</v>
      </c>
      <c r="EL28" s="115">
        <f t="shared" ca="1" si="43"/>
        <v>446.1908620182931</v>
      </c>
      <c r="EM28" s="115">
        <f t="shared" ca="1" si="123"/>
        <v>1.0625103489616377</v>
      </c>
      <c r="EN28" s="115">
        <f t="shared" ca="1" si="124"/>
        <v>1.0659686450365455</v>
      </c>
      <c r="EO28" s="115">
        <v>298.14999999999998</v>
      </c>
      <c r="EP28" s="138">
        <f t="shared" ca="1" si="125"/>
        <v>0.3294482738846467</v>
      </c>
      <c r="EQ28" s="138">
        <f t="shared" ca="1" si="126"/>
        <v>0.3798805671613163</v>
      </c>
      <c r="ER28" s="115">
        <f t="shared" si="44"/>
        <v>0.91316103935241699</v>
      </c>
      <c r="ES28" s="115">
        <f t="shared" si="45"/>
        <v>453</v>
      </c>
      <c r="ET28" s="115">
        <f t="shared" ca="1" si="46"/>
        <v>2816.5993052117487</v>
      </c>
      <c r="EU28" s="115">
        <f t="shared" ca="1" si="47"/>
        <v>6.5855309782608691</v>
      </c>
      <c r="EV28" s="138">
        <f t="shared" ca="1" si="48"/>
        <v>0.7832857280087544</v>
      </c>
      <c r="EW28" s="138">
        <f t="shared" ca="1" si="49"/>
        <v>1.0425659023596223</v>
      </c>
      <c r="EX28" s="115">
        <v>21.47</v>
      </c>
      <c r="EY28" s="115">
        <f t="shared" ca="1" si="50"/>
        <v>122.64581383556789</v>
      </c>
      <c r="EZ28" s="115">
        <f t="shared" ca="1" si="51"/>
        <v>0.41494213445451522</v>
      </c>
      <c r="FA28" s="138">
        <f t="shared" ca="1" si="127"/>
        <v>7.6894728737576468E-2</v>
      </c>
      <c r="FB28" s="138">
        <f t="shared" ca="1" si="128"/>
        <v>7.6894728737576468E-2</v>
      </c>
      <c r="FC28" s="115">
        <f t="shared" si="52"/>
        <v>21.47</v>
      </c>
      <c r="FD28" s="115">
        <v>37</v>
      </c>
      <c r="FE28" s="115">
        <f t="shared" ca="1" si="53"/>
        <v>154.93355555555553</v>
      </c>
      <c r="FF28" s="115">
        <f t="shared" ca="1" si="54"/>
        <v>0.52252222222222222</v>
      </c>
      <c r="FG28" s="138">
        <f t="shared" ca="1" si="55"/>
        <v>8.1462225449999703E-2</v>
      </c>
      <c r="FH28" s="138">
        <f t="shared" ca="1" si="129"/>
        <v>8.1462225449999703E-2</v>
      </c>
      <c r="FI28" s="115">
        <f t="shared" si="56"/>
        <v>79.171409912109382</v>
      </c>
      <c r="FJ28" s="115">
        <f t="shared" ca="1" si="57"/>
        <v>45.871482018152882</v>
      </c>
      <c r="FK28" s="115">
        <f t="shared" ca="1" si="58"/>
        <v>0.15913640400568643</v>
      </c>
      <c r="FL28" s="138">
        <f t="shared" ca="1" si="59"/>
        <v>0.24350300566913741</v>
      </c>
      <c r="FM28" s="138">
        <f t="shared" ca="1" si="60"/>
        <v>0.68445501204031123</v>
      </c>
      <c r="FN28" s="115">
        <f t="shared" si="130"/>
        <v>79.171409912109382</v>
      </c>
      <c r="FO28" s="115">
        <f t="shared" ca="1" si="61"/>
        <v>58.139666094885939</v>
      </c>
      <c r="FP28" s="115">
        <f t="shared" ca="1" si="62"/>
        <v>0.20001297974056667</v>
      </c>
      <c r="FQ28" s="138">
        <f t="shared" ca="1" si="63"/>
        <v>0.2499026699391303</v>
      </c>
      <c r="FR28" s="138">
        <f t="shared" ca="1" si="64"/>
        <v>0.70244362894848889</v>
      </c>
      <c r="FS28" s="139">
        <f t="shared" si="131"/>
        <v>5.5802266551843811</v>
      </c>
      <c r="FT28" s="249">
        <f t="shared" si="132"/>
        <v>4.9044075641942122</v>
      </c>
      <c r="FU28" s="139">
        <f t="shared" ca="1" si="133"/>
        <v>0.94606909979786247</v>
      </c>
      <c r="FV28" s="249">
        <f t="shared" ca="1" si="134"/>
        <v>0.51264999588550242</v>
      </c>
      <c r="FW28" s="139">
        <f t="shared" ca="1" si="135"/>
        <v>0.78511789556632405</v>
      </c>
      <c r="FX28" s="249">
        <f t="shared" ca="1" si="136"/>
        <v>1.0559870225553767</v>
      </c>
      <c r="FY28" s="249">
        <f t="shared" si="65"/>
        <v>0.15000000000000002</v>
      </c>
      <c r="FZ28" s="139">
        <f t="shared" si="66"/>
        <v>1050000</v>
      </c>
      <c r="GA28" s="139">
        <f t="shared" si="137"/>
        <v>3.3757716049382713E-2</v>
      </c>
      <c r="GB28" s="139">
        <f t="shared" si="138"/>
        <v>121.52777777777777</v>
      </c>
      <c r="GC28" s="139">
        <f t="shared" si="67"/>
        <v>1050000</v>
      </c>
      <c r="GD28" s="139">
        <f t="shared" si="139"/>
        <v>6.7515432098765427E-2</v>
      </c>
      <c r="GE28" s="139">
        <f t="shared" si="140"/>
        <v>243.05555555555554</v>
      </c>
      <c r="GF28" s="139">
        <f t="shared" si="141"/>
        <v>4.5814043209876545E-2</v>
      </c>
      <c r="GG28" s="139">
        <f t="shared" si="68"/>
        <v>712500</v>
      </c>
      <c r="GH28" s="139">
        <f t="shared" si="142"/>
        <v>164.93055555555554</v>
      </c>
      <c r="GI28" s="137">
        <f t="shared" si="69"/>
        <v>51.513773923325523</v>
      </c>
      <c r="GJ28" s="137">
        <f t="shared" si="143"/>
        <v>0.18544958612397042</v>
      </c>
      <c r="GK28" s="251">
        <f t="shared" si="70"/>
        <v>40.922683873615661</v>
      </c>
      <c r="GL28" s="137">
        <f t="shared" si="164"/>
        <v>0.1473216619450152</v>
      </c>
      <c r="GM28" s="137">
        <f t="shared" ca="1" si="71"/>
        <v>8.83818605725493</v>
      </c>
      <c r="GN28" s="137">
        <f t="shared" ca="1" si="144"/>
        <v>3.1817469806117493E-2</v>
      </c>
      <c r="GO28" s="137">
        <f t="shared" ca="1" si="145"/>
        <v>0.1118757728766438</v>
      </c>
      <c r="GP28" s="137">
        <f t="shared" ca="1" si="72"/>
        <v>9.8677663667125888</v>
      </c>
      <c r="GQ28" s="137">
        <f t="shared" ca="1" si="146"/>
        <v>3.5523958920165036E-2</v>
      </c>
      <c r="GR28" s="137">
        <f t="shared" ca="1" si="147"/>
        <v>0.12490843502167735</v>
      </c>
      <c r="GS28" s="140">
        <f t="shared" si="73"/>
        <v>8.0394325421241378E-2</v>
      </c>
      <c r="GT28" s="140">
        <f t="shared" si="74"/>
        <v>7.0657799777346014E-2</v>
      </c>
      <c r="GU28" s="140">
        <f t="shared" si="148"/>
        <v>289.41957151646898</v>
      </c>
      <c r="GV28" s="140">
        <f t="shared" si="149"/>
        <v>254.36807919844566</v>
      </c>
      <c r="GW28" s="141">
        <f t="shared" ca="1" si="75"/>
        <v>9.077591668844677E-3</v>
      </c>
      <c r="GX28" s="141">
        <f t="shared" ca="1" si="76"/>
        <v>4.9189084948211403E-3</v>
      </c>
      <c r="GY28" s="141">
        <f t="shared" ca="1" si="150"/>
        <v>32.679330007840839</v>
      </c>
      <c r="GZ28" s="141">
        <f t="shared" ca="1" si="165"/>
        <v>17.708070581356104</v>
      </c>
      <c r="HA28" s="141">
        <f t="shared" ca="1" si="77"/>
        <v>1.7776274899393138E-2</v>
      </c>
      <c r="HB28" s="141">
        <f t="shared" ca="1" si="78"/>
        <v>1.5570928850222016E-2</v>
      </c>
      <c r="HC28" s="141">
        <f t="shared" ca="1" si="151"/>
        <v>63.994589637815295</v>
      </c>
      <c r="HD28" s="141">
        <f t="shared" ca="1" si="152"/>
        <v>56.055343860799255</v>
      </c>
      <c r="HE28" s="137">
        <f t="shared" si="153"/>
        <v>8.6565393981487464</v>
      </c>
      <c r="HF28" s="250">
        <f t="shared" si="154"/>
        <v>8.8422850982761076</v>
      </c>
      <c r="HG28" s="137">
        <v>3.0763127429643649</v>
      </c>
      <c r="HH28" s="251">
        <v>3.6057001570796636</v>
      </c>
      <c r="HI28" s="137">
        <f t="shared" ca="1" si="155"/>
        <v>1.5914257103821532</v>
      </c>
      <c r="HJ28" s="251">
        <f t="shared" ca="1" si="156"/>
        <v>1.4677190740973307</v>
      </c>
      <c r="HK28" s="137">
        <f t="shared" ca="1" si="157"/>
        <v>0.69578890386096037</v>
      </c>
      <c r="HL28" s="251">
        <f t="shared" ca="1" si="158"/>
        <v>0.95506907821182829</v>
      </c>
      <c r="HM28" s="137">
        <f t="shared" ca="1" si="159"/>
        <v>0.7832857280087544</v>
      </c>
      <c r="HN28" s="251">
        <f t="shared" ca="1" si="160"/>
        <v>1.0425659023596223</v>
      </c>
      <c r="HO28" s="137">
        <f t="shared" ca="1" si="161"/>
        <v>0.24350300566913741</v>
      </c>
      <c r="HP28" s="251">
        <f t="shared" ca="1" si="162"/>
        <v>0.68445501204031123</v>
      </c>
      <c r="JN28" s="143">
        <f t="shared" si="79"/>
        <v>19.219108352002824</v>
      </c>
      <c r="JO28" s="143">
        <f t="shared" si="80"/>
        <v>3076.3127429643646</v>
      </c>
      <c r="JP28" s="143">
        <f t="shared" si="81"/>
        <v>3937.8775340818956</v>
      </c>
      <c r="JQ28" s="143">
        <f t="shared" si="82"/>
        <v>0.91316103935241699</v>
      </c>
      <c r="JR28" s="143">
        <f t="shared" ca="1" si="83"/>
        <v>1.2154320306745876</v>
      </c>
      <c r="JS28" s="143">
        <f t="shared" si="84"/>
        <v>79.171409912109382</v>
      </c>
      <c r="JT28" s="143">
        <f t="shared" ca="1" si="85"/>
        <v>222.54044945248663</v>
      </c>
      <c r="JU28" s="143">
        <f t="shared" si="166"/>
        <v>0.28071304536676372</v>
      </c>
      <c r="JV28" s="143">
        <f t="shared" si="86"/>
        <v>0.35933069464462308</v>
      </c>
      <c r="JW28" s="143">
        <f t="shared" ca="1" si="87"/>
        <v>0.22381178387972916</v>
      </c>
      <c r="JX28" s="143">
        <f t="shared" ca="1" si="88"/>
        <v>0.29789708413617194</v>
      </c>
      <c r="JY28" s="143">
        <f t="shared" si="89"/>
        <v>0.52803519394405996</v>
      </c>
      <c r="JZ28" s="143">
        <f t="shared" si="90"/>
        <v>0.58654455031700992</v>
      </c>
      <c r="KA28" s="143">
        <f t="shared" si="91"/>
        <v>0.26482362770449408</v>
      </c>
      <c r="KB28" s="143">
        <f t="shared" si="92"/>
        <v>0.33899122136285198</v>
      </c>
      <c r="KC28" s="143">
        <f t="shared" ca="1" si="93"/>
        <v>0.42378141246710693</v>
      </c>
      <c r="KD28" s="143">
        <f t="shared" ca="1" si="94"/>
        <v>0.65071654042461102</v>
      </c>
      <c r="KE28" s="143">
        <f t="shared" ca="1" si="95"/>
        <v>0.65651006856371896</v>
      </c>
      <c r="KF28" s="143">
        <f t="shared" ca="1" si="96"/>
        <v>0.31087379351103905</v>
      </c>
      <c r="KG28" s="142">
        <f t="shared" si="97"/>
        <v>0.1473216619450152</v>
      </c>
      <c r="KH28" s="142">
        <f t="shared" ca="1" si="98"/>
        <v>0.12490843502167735</v>
      </c>
      <c r="KI28" s="142">
        <f t="shared" ca="1" si="99"/>
        <v>386.09349116212513</v>
      </c>
      <c r="KJ28" s="142">
        <f t="shared" ca="1" si="100"/>
        <v>328.13149364060104</v>
      </c>
    </row>
    <row r="29" spans="1:296" x14ac:dyDescent="0.3">
      <c r="A29" s="201">
        <v>41313</v>
      </c>
      <c r="B29" s="196">
        <v>26</v>
      </c>
      <c r="C29" s="179">
        <v>24</v>
      </c>
      <c r="D29" s="152">
        <v>4.2</v>
      </c>
      <c r="E29" s="152">
        <v>50016</v>
      </c>
      <c r="F29" s="152">
        <v>300</v>
      </c>
      <c r="G29" s="152">
        <v>11.7</v>
      </c>
      <c r="H29" s="152">
        <v>0.85</v>
      </c>
      <c r="I29" s="152">
        <v>1.4</v>
      </c>
      <c r="J29" s="152">
        <v>1.33</v>
      </c>
      <c r="K29" s="152">
        <v>0.91</v>
      </c>
      <c r="L29" s="152">
        <v>27413.020481802523</v>
      </c>
      <c r="M29" s="155">
        <v>19</v>
      </c>
      <c r="N29" s="153">
        <v>71538.494721248746</v>
      </c>
      <c r="O29" s="178">
        <v>17</v>
      </c>
      <c r="P29" s="152">
        <v>2</v>
      </c>
      <c r="Q29" s="152">
        <v>5</v>
      </c>
      <c r="R29" s="154">
        <v>406.640869140625</v>
      </c>
      <c r="S29" s="155">
        <v>80.798095286590979</v>
      </c>
      <c r="T29" s="152">
        <v>180</v>
      </c>
      <c r="U29" s="156">
        <v>3.1606771945953369</v>
      </c>
      <c r="V29" s="178">
        <v>17</v>
      </c>
      <c r="W29" s="152">
        <v>1250</v>
      </c>
      <c r="X29" s="155">
        <v>82208.712758049369</v>
      </c>
      <c r="Y29" s="155">
        <v>8195.24066587165</v>
      </c>
      <c r="Z29" s="155">
        <v>287.61288452148437</v>
      </c>
      <c r="AA29" s="155">
        <v>10.857314109802246</v>
      </c>
      <c r="AB29" s="155">
        <v>13.664621353149414</v>
      </c>
      <c r="AC29" s="215">
        <v>37</v>
      </c>
      <c r="AD29" s="215">
        <v>29.523855209350586</v>
      </c>
      <c r="AE29" s="254">
        <v>20</v>
      </c>
      <c r="AF29" s="254">
        <v>10</v>
      </c>
      <c r="AG29" s="217">
        <v>5000000</v>
      </c>
      <c r="AH29" s="218">
        <v>300000</v>
      </c>
      <c r="AI29" s="219">
        <v>5000000</v>
      </c>
      <c r="AJ29" s="225">
        <f t="shared" si="0"/>
        <v>300000</v>
      </c>
      <c r="AK29" s="220">
        <v>2750000</v>
      </c>
      <c r="AL29" s="226">
        <f t="shared" si="1"/>
        <v>300000</v>
      </c>
      <c r="AM29" s="221">
        <v>14.407</v>
      </c>
      <c r="BK29" s="283"/>
      <c r="BM29" s="197">
        <f t="shared" si="2"/>
        <v>7.4761447906494141</v>
      </c>
      <c r="BN29" s="196">
        <f t="shared" si="3"/>
        <v>180</v>
      </c>
      <c r="BO29" s="197">
        <f t="shared" si="4"/>
        <v>2.807307243347168</v>
      </c>
      <c r="BP29" s="196">
        <f t="shared" si="5"/>
        <v>12.688948627290706</v>
      </c>
      <c r="BQ29" s="115">
        <f t="shared" si="6"/>
        <v>659.74492511188635</v>
      </c>
      <c r="BR29" s="184">
        <f t="shared" si="7"/>
        <v>1.0041987768</v>
      </c>
      <c r="BS29" s="115">
        <f t="shared" si="8"/>
        <v>6863.8528613899143</v>
      </c>
      <c r="BT29" s="196">
        <v>900</v>
      </c>
      <c r="BU29" s="115">
        <f t="shared" si="101"/>
        <v>1.1850729520000001</v>
      </c>
      <c r="BV29" s="115">
        <f t="shared" si="102"/>
        <v>1.0742107217825414</v>
      </c>
      <c r="BW29" s="115">
        <f t="shared" si="103"/>
        <v>480.18660891518516</v>
      </c>
      <c r="BX29" s="115">
        <f t="shared" si="9"/>
        <v>1155.166295656438</v>
      </c>
      <c r="BY29" s="115"/>
      <c r="BZ29" s="115">
        <f t="shared" si="10"/>
        <v>674.97968674125286</v>
      </c>
      <c r="CA29" s="115">
        <f t="shared" si="11"/>
        <v>10940.491526382029</v>
      </c>
      <c r="CB29" s="115">
        <f t="shared" si="12"/>
        <v>2980.7706133853644</v>
      </c>
      <c r="CC29" s="115">
        <f t="shared" si="13"/>
        <v>1142.2091867417719</v>
      </c>
      <c r="CD29" s="129">
        <f t="shared" si="104"/>
        <v>0.22567973831924909</v>
      </c>
      <c r="CE29" s="115">
        <f t="shared" si="14"/>
        <v>16.918404971852024</v>
      </c>
      <c r="CF29" s="115">
        <f t="shared" si="15"/>
        <v>22.443915357386384</v>
      </c>
      <c r="CG29" s="115">
        <f t="shared" si="16"/>
        <v>0.02</v>
      </c>
      <c r="CH29" s="115">
        <f t="shared" si="17"/>
        <v>0.05</v>
      </c>
      <c r="CI29" s="136">
        <v>30</v>
      </c>
      <c r="CJ29" s="115">
        <f t="shared" si="18"/>
        <v>165</v>
      </c>
      <c r="CK29" s="115">
        <f t="shared" si="19"/>
        <v>453</v>
      </c>
      <c r="CL29" s="115">
        <f t="shared" si="20"/>
        <v>679.640869140625</v>
      </c>
      <c r="CM29" s="115">
        <f t="shared" ca="1" si="21"/>
        <v>2816.5993052117487</v>
      </c>
      <c r="CN29" s="115">
        <f t="shared" ca="1" si="22"/>
        <v>125.80344444444444</v>
      </c>
      <c r="CO29" s="115">
        <f t="shared" ca="1" si="23"/>
        <v>690.58718083896258</v>
      </c>
      <c r="CP29" s="115">
        <f t="shared" ca="1" si="24"/>
        <v>2790.6388281929471</v>
      </c>
      <c r="CQ29" s="115">
        <f t="shared" si="105"/>
        <v>1.072449112508886</v>
      </c>
      <c r="CR29" s="115">
        <f t="shared" ca="1" si="25"/>
        <v>520.65389702097866</v>
      </c>
      <c r="CS29" s="115">
        <f t="shared" ca="1" si="26"/>
        <v>25.767047019963847</v>
      </c>
      <c r="CT29" s="115">
        <f t="shared" si="106"/>
        <v>1.1260429873613829</v>
      </c>
      <c r="CU29" s="115">
        <f t="shared" ca="1" si="107"/>
        <v>1.0209929247118481</v>
      </c>
      <c r="CV29" s="115">
        <f t="shared" si="108"/>
        <v>201.97968674125286</v>
      </c>
      <c r="CW29" s="115">
        <f t="shared" si="27"/>
        <v>473</v>
      </c>
      <c r="CX29" s="115">
        <f t="shared" si="28"/>
        <v>438</v>
      </c>
      <c r="CY29" s="115">
        <f t="shared" ca="1" si="109"/>
        <v>447.23295298003615</v>
      </c>
      <c r="CZ29" s="115">
        <f t="shared" ca="1" si="29"/>
        <v>232.40791616058885</v>
      </c>
      <c r="DA29" s="115">
        <v>0.21890000000000001</v>
      </c>
      <c r="DB29" s="115">
        <v>2.7E-2</v>
      </c>
      <c r="DC29" s="115">
        <v>1.06</v>
      </c>
      <c r="DD29" s="138">
        <f t="shared" si="30"/>
        <v>11.964853659282097</v>
      </c>
      <c r="DE29" s="138">
        <f t="shared" si="110"/>
        <v>11.964853659282097</v>
      </c>
      <c r="DF29" s="115">
        <f t="shared" si="31"/>
        <v>679.640869140625</v>
      </c>
      <c r="DG29" s="115">
        <v>674.97968674125286</v>
      </c>
      <c r="DH29" s="115">
        <f t="shared" si="111"/>
        <v>1.1260429873613829</v>
      </c>
      <c r="DI29" s="115">
        <f t="shared" si="112"/>
        <v>1.1247893430937919</v>
      </c>
      <c r="DJ29" s="138">
        <f t="shared" si="32"/>
        <v>2.9404646415128326</v>
      </c>
      <c r="DK29" s="138">
        <f t="shared" si="33"/>
        <v>2.8807645072937431</v>
      </c>
      <c r="DL29" s="115">
        <f t="shared" si="113"/>
        <v>679.640869140625</v>
      </c>
      <c r="DM29" s="115">
        <f t="shared" si="167"/>
        <v>674.97968674125286</v>
      </c>
      <c r="DN29" s="115">
        <f t="shared" si="34"/>
        <v>12.804302705720621</v>
      </c>
      <c r="DO29" s="115">
        <f t="shared" si="114"/>
        <v>1.1260429873613829</v>
      </c>
      <c r="DP29" s="115">
        <f t="shared" si="115"/>
        <v>1.1247893430937919</v>
      </c>
      <c r="DQ29" s="115">
        <v>298.14999999999998</v>
      </c>
      <c r="DR29" s="138">
        <f t="shared" si="116"/>
        <v>1.9583494512475468</v>
      </c>
      <c r="DS29" s="138">
        <f t="shared" si="117"/>
        <v>1.9185891618576327</v>
      </c>
      <c r="DT29" s="115">
        <f t="shared" si="35"/>
        <v>679.640869140625</v>
      </c>
      <c r="DU29" s="139">
        <f t="shared" si="118"/>
        <v>6.4213770325986292</v>
      </c>
      <c r="DV29" s="115">
        <f t="shared" si="119"/>
        <v>1.1260429873613829</v>
      </c>
      <c r="DW29" s="115">
        <v>298.14999999999998</v>
      </c>
      <c r="DX29" s="138">
        <f t="shared" si="36"/>
        <v>0.98211519026528604</v>
      </c>
      <c r="DY29" s="138">
        <f t="shared" si="37"/>
        <v>0.96217534543611005</v>
      </c>
      <c r="DZ29" s="138">
        <f t="shared" si="38"/>
        <v>2.9807706133853644</v>
      </c>
      <c r="EA29" s="138">
        <f t="shared" si="168"/>
        <v>4.0766386649921156</v>
      </c>
      <c r="EB29" s="115">
        <f t="shared" si="120"/>
        <v>22.443915357386384</v>
      </c>
      <c r="EC29" s="115">
        <v>30</v>
      </c>
      <c r="ED29" s="198">
        <f t="shared" ca="1" si="40"/>
        <v>125.80344444444444</v>
      </c>
      <c r="EE29" s="198">
        <v>104.83</v>
      </c>
      <c r="EF29" s="198">
        <f t="shared" ca="1" si="41"/>
        <v>0.42491111111111107</v>
      </c>
      <c r="EG29" s="199">
        <v>0.36720000000000003</v>
      </c>
      <c r="EH29" s="138">
        <f t="shared" ca="1" si="121"/>
        <v>8.4543461068380801E-2</v>
      </c>
      <c r="EI29" s="138">
        <f t="shared" ca="1" si="122"/>
        <v>8.4543461068380801E-2</v>
      </c>
      <c r="EJ29" s="115">
        <f t="shared" si="42"/>
        <v>12.804302705720621</v>
      </c>
      <c r="EK29" s="115">
        <v>435</v>
      </c>
      <c r="EL29" s="115">
        <f t="shared" ca="1" si="43"/>
        <v>447.23295298003615</v>
      </c>
      <c r="EM29" s="115">
        <f t="shared" ca="1" si="123"/>
        <v>1.0624339631752573</v>
      </c>
      <c r="EN29" s="115">
        <f t="shared" ca="1" si="124"/>
        <v>1.0662177534929504</v>
      </c>
      <c r="EO29" s="115">
        <v>298.14999999999998</v>
      </c>
      <c r="EP29" s="138">
        <f t="shared" ca="1" si="125"/>
        <v>0.32953722591710954</v>
      </c>
      <c r="EQ29" s="138">
        <f t="shared" ca="1" si="126"/>
        <v>0.38483063226142705</v>
      </c>
      <c r="ER29" s="115">
        <f t="shared" si="44"/>
        <v>0.87796588738759362</v>
      </c>
      <c r="ES29" s="115">
        <f t="shared" si="45"/>
        <v>453</v>
      </c>
      <c r="ET29" s="115">
        <f t="shared" ca="1" si="46"/>
        <v>2816.5993052117487</v>
      </c>
      <c r="EU29" s="115">
        <f t="shared" ca="1" si="47"/>
        <v>6.5855309782608691</v>
      </c>
      <c r="EV29" s="138">
        <f t="shared" ca="1" si="48"/>
        <v>0.75309624440058864</v>
      </c>
      <c r="EW29" s="138">
        <f t="shared" ca="1" si="49"/>
        <v>1.0873886259053336</v>
      </c>
      <c r="EX29" s="115">
        <v>21.47</v>
      </c>
      <c r="EY29" s="115">
        <f t="shared" ca="1" si="50"/>
        <v>123.64505892393323</v>
      </c>
      <c r="EZ29" s="115">
        <f t="shared" ca="1" si="51"/>
        <v>0.41827153653038873</v>
      </c>
      <c r="FA29" s="138">
        <f t="shared" ca="1" si="127"/>
        <v>7.7036084199831739E-2</v>
      </c>
      <c r="FB29" s="138">
        <f t="shared" ca="1" si="128"/>
        <v>7.7036084199831739E-2</v>
      </c>
      <c r="FC29" s="115">
        <f t="shared" si="52"/>
        <v>21.47</v>
      </c>
      <c r="FD29" s="115">
        <v>37</v>
      </c>
      <c r="FE29" s="115">
        <f t="shared" ca="1" si="53"/>
        <v>154.93355555555553</v>
      </c>
      <c r="FF29" s="115">
        <f t="shared" ca="1" si="54"/>
        <v>0.52252222222222222</v>
      </c>
      <c r="FG29" s="138">
        <f t="shared" ca="1" si="55"/>
        <v>8.1462225449999703E-2</v>
      </c>
      <c r="FH29" s="138">
        <f t="shared" ca="1" si="129"/>
        <v>8.1462225449999703E-2</v>
      </c>
      <c r="FI29" s="115">
        <f t="shared" si="56"/>
        <v>80.531607666015631</v>
      </c>
      <c r="FJ29" s="115">
        <f t="shared" ca="1" si="57"/>
        <v>45.523510362201272</v>
      </c>
      <c r="FK29" s="115">
        <f t="shared" ca="1" si="58"/>
        <v>0.15797699119779798</v>
      </c>
      <c r="FL29" s="138">
        <f t="shared" ca="1" si="59"/>
        <v>0.24750185157866161</v>
      </c>
      <c r="FM29" s="138">
        <f t="shared" ca="1" si="60"/>
        <v>0.75828703437834255</v>
      </c>
      <c r="FN29" s="115">
        <f t="shared" si="130"/>
        <v>80.531607666015631</v>
      </c>
      <c r="FO29" s="115">
        <f t="shared" ca="1" si="61"/>
        <v>57.272403098636211</v>
      </c>
      <c r="FP29" s="115">
        <f t="shared" ca="1" si="62"/>
        <v>0.19712333109113905</v>
      </c>
      <c r="FQ29" s="138">
        <f t="shared" ca="1" si="63"/>
        <v>0.25373592390285393</v>
      </c>
      <c r="FR29" s="138">
        <f t="shared" ca="1" si="64"/>
        <v>0.77738675498511733</v>
      </c>
      <c r="FS29" s="139">
        <f t="shared" si="131"/>
        <v>6.0436184043839001</v>
      </c>
      <c r="FT29" s="249">
        <f t="shared" si="132"/>
        <v>5.0074504869962393</v>
      </c>
      <c r="FU29" s="139">
        <f t="shared" ca="1" si="133"/>
        <v>0.96025944199822932</v>
      </c>
      <c r="FV29" s="249">
        <f t="shared" ca="1" si="134"/>
        <v>0.53091336475925277</v>
      </c>
      <c r="FW29" s="139">
        <f t="shared" ca="1" si="135"/>
        <v>0.75490417547461308</v>
      </c>
      <c r="FX29" s="249">
        <f t="shared" ca="1" si="136"/>
        <v>1.1020622052619404</v>
      </c>
      <c r="FY29" s="249">
        <f t="shared" si="65"/>
        <v>0.15000000000000002</v>
      </c>
      <c r="FZ29" s="139">
        <f t="shared" si="66"/>
        <v>1050000</v>
      </c>
      <c r="GA29" s="139">
        <f t="shared" si="137"/>
        <v>3.3757716049382713E-2</v>
      </c>
      <c r="GB29" s="139">
        <f t="shared" si="138"/>
        <v>121.52777777777777</v>
      </c>
      <c r="GC29" s="139">
        <f t="shared" si="67"/>
        <v>1050000</v>
      </c>
      <c r="GD29" s="139">
        <f t="shared" si="139"/>
        <v>6.7515432098765427E-2</v>
      </c>
      <c r="GE29" s="139">
        <f t="shared" si="140"/>
        <v>243.05555555555554</v>
      </c>
      <c r="GF29" s="139">
        <f t="shared" si="141"/>
        <v>4.5814043209876545E-2</v>
      </c>
      <c r="GG29" s="139">
        <f t="shared" si="68"/>
        <v>712500</v>
      </c>
      <c r="GH29" s="139">
        <f t="shared" si="142"/>
        <v>164.93055555555554</v>
      </c>
      <c r="GI29" s="137">
        <f t="shared" si="69"/>
        <v>54.94286876452491</v>
      </c>
      <c r="GJ29" s="137">
        <f t="shared" si="143"/>
        <v>0.1977943275522881</v>
      </c>
      <c r="GK29" s="251">
        <f t="shared" si="70"/>
        <v>40.384297454627941</v>
      </c>
      <c r="GL29" s="137">
        <f t="shared" si="164"/>
        <v>0.14538347083665942</v>
      </c>
      <c r="GM29" s="137">
        <f t="shared" ca="1" si="71"/>
        <v>9.0610713943106198</v>
      </c>
      <c r="GN29" s="137">
        <f t="shared" ca="1" si="144"/>
        <v>3.2619857019517973E-2</v>
      </c>
      <c r="GO29" s="137">
        <f t="shared" ca="1" si="145"/>
        <v>0.11469710625709555</v>
      </c>
      <c r="GP29" s="137">
        <f t="shared" ca="1" si="72"/>
        <v>10.163099357481054</v>
      </c>
      <c r="GQ29" s="137">
        <f t="shared" ca="1" si="146"/>
        <v>3.65871576869315E-2</v>
      </c>
      <c r="GR29" s="137">
        <f t="shared" ca="1" si="147"/>
        <v>0.12864682730988572</v>
      </c>
      <c r="GS29" s="140">
        <f t="shared" si="73"/>
        <v>8.7070410351958852E-2</v>
      </c>
      <c r="GT29" s="140">
        <f t="shared" si="74"/>
        <v>7.2142339166154826E-2</v>
      </c>
      <c r="GU29" s="140">
        <f t="shared" si="148"/>
        <v>313.45347726705188</v>
      </c>
      <c r="GV29" s="140">
        <f t="shared" si="149"/>
        <v>259.71242099815737</v>
      </c>
      <c r="GW29" s="141">
        <f t="shared" ca="1" si="75"/>
        <v>9.2137488820584132E-3</v>
      </c>
      <c r="GX29" s="141">
        <f t="shared" ca="1" si="76"/>
        <v>5.0941466514936445E-3</v>
      </c>
      <c r="GY29" s="141">
        <f t="shared" ca="1" si="150"/>
        <v>33.169495975410285</v>
      </c>
      <c r="GZ29" s="141">
        <f t="shared" ca="1" si="165"/>
        <v>18.338927945377119</v>
      </c>
      <c r="HA29" s="141">
        <f t="shared" ca="1" si="77"/>
        <v>1.7647164417061378E-2</v>
      </c>
      <c r="HB29" s="141">
        <f t="shared" ca="1" si="78"/>
        <v>1.617249405216729E-2</v>
      </c>
      <c r="HC29" s="141">
        <f t="shared" ca="1" si="151"/>
        <v>63.529791901420964</v>
      </c>
      <c r="HD29" s="141">
        <f t="shared" ca="1" si="152"/>
        <v>58.220978587802243</v>
      </c>
      <c r="HE29" s="137">
        <f t="shared" si="153"/>
        <v>9.0243890177692645</v>
      </c>
      <c r="HF29" s="250">
        <f t="shared" si="154"/>
        <v>9.0840891519883549</v>
      </c>
      <c r="HG29" s="137">
        <v>2.9807706133853644</v>
      </c>
      <c r="HH29" s="251">
        <v>3.9704390634279263</v>
      </c>
      <c r="HI29" s="137">
        <f t="shared" ca="1" si="155"/>
        <v>1.5735188189861198</v>
      </c>
      <c r="HJ29" s="251">
        <f t="shared" ca="1" si="156"/>
        <v>1.5337585295962057</v>
      </c>
      <c r="HK29" s="137">
        <f t="shared" ca="1" si="157"/>
        <v>0.6685527833322078</v>
      </c>
      <c r="HL29" s="251">
        <f t="shared" ca="1" si="158"/>
        <v>1.0028451648369527</v>
      </c>
      <c r="HM29" s="137">
        <f t="shared" ca="1" si="159"/>
        <v>0.75309624440058864</v>
      </c>
      <c r="HN29" s="251">
        <f t="shared" ca="1" si="160"/>
        <v>1.0873886259053336</v>
      </c>
      <c r="HO29" s="137">
        <f t="shared" ca="1" si="161"/>
        <v>0.24750185157866161</v>
      </c>
      <c r="HP29" s="251">
        <f t="shared" ca="1" si="162"/>
        <v>0.75828703437834255</v>
      </c>
      <c r="JN29" s="143">
        <f t="shared" si="79"/>
        <v>19.225679738319251</v>
      </c>
      <c r="JO29" s="143">
        <f t="shared" si="80"/>
        <v>2980.7706133853644</v>
      </c>
      <c r="JP29" s="143">
        <f t="shared" si="81"/>
        <v>4076.6386649921151</v>
      </c>
      <c r="JQ29" s="143">
        <f t="shared" si="82"/>
        <v>0.87796588738759362</v>
      </c>
      <c r="JR29" s="143">
        <f t="shared" ca="1" si="83"/>
        <v>1.2676867358939203</v>
      </c>
      <c r="JS29" s="143">
        <f t="shared" si="84"/>
        <v>80.531607666015631</v>
      </c>
      <c r="JT29" s="143">
        <f t="shared" ca="1" si="85"/>
        <v>246.72976610591147</v>
      </c>
      <c r="JU29" s="143">
        <f t="shared" si="166"/>
        <v>0.26407484288262217</v>
      </c>
      <c r="JV29" s="143">
        <f t="shared" si="86"/>
        <v>0.36116087233037841</v>
      </c>
      <c r="JW29" s="143">
        <f t="shared" ca="1" si="87"/>
        <v>0.20893070954156379</v>
      </c>
      <c r="JX29" s="143">
        <f t="shared" ca="1" si="88"/>
        <v>0.30167309802302056</v>
      </c>
      <c r="JY29" s="143">
        <f t="shared" si="89"/>
        <v>0.51948006847174533</v>
      </c>
      <c r="JZ29" s="143">
        <f t="shared" si="90"/>
        <v>0.57631222555987516</v>
      </c>
      <c r="KA29" s="143">
        <f t="shared" si="91"/>
        <v>0.24912721026662465</v>
      </c>
      <c r="KB29" s="143">
        <f t="shared" si="92"/>
        <v>0.34071780408526264</v>
      </c>
      <c r="KC29" s="143">
        <f t="shared" ca="1" si="93"/>
        <v>0.41045417816444646</v>
      </c>
      <c r="KD29" s="143">
        <f t="shared" ca="1" si="94"/>
        <v>0.65384814198945185</v>
      </c>
      <c r="KE29" s="143">
        <f t="shared" ca="1" si="95"/>
        <v>0.69734685126673179</v>
      </c>
      <c r="KF29" s="143">
        <f t="shared" ca="1" si="96"/>
        <v>0.32864571217674254</v>
      </c>
      <c r="KG29" s="142">
        <f t="shared" si="97"/>
        <v>0.14538347083665942</v>
      </c>
      <c r="KH29" s="142">
        <f t="shared" ca="1" si="98"/>
        <v>0.12864682730988572</v>
      </c>
      <c r="KI29" s="142">
        <f t="shared" ca="1" si="99"/>
        <v>410.15276514388313</v>
      </c>
      <c r="KJ29" s="142">
        <f t="shared" ca="1" si="100"/>
        <v>336.27232753133671</v>
      </c>
    </row>
    <row r="30" spans="1:296" x14ac:dyDescent="0.3">
      <c r="A30" s="201">
        <v>41315</v>
      </c>
      <c r="B30" s="196">
        <v>27</v>
      </c>
      <c r="C30" s="179">
        <v>24</v>
      </c>
      <c r="D30" s="152">
        <v>4.2</v>
      </c>
      <c r="E30" s="152">
        <v>50016</v>
      </c>
      <c r="F30" s="152">
        <v>300</v>
      </c>
      <c r="G30" s="152">
        <v>11.7</v>
      </c>
      <c r="H30" s="152">
        <v>0.85</v>
      </c>
      <c r="I30" s="152">
        <v>1.4</v>
      </c>
      <c r="J30" s="152">
        <v>1.33</v>
      </c>
      <c r="K30" s="152">
        <v>0.91</v>
      </c>
      <c r="L30" s="152">
        <v>30221.439346171916</v>
      </c>
      <c r="M30" s="155">
        <v>19</v>
      </c>
      <c r="N30" s="153">
        <v>76387.664722137153</v>
      </c>
      <c r="O30" s="178">
        <v>17</v>
      </c>
      <c r="P30" s="152">
        <v>2</v>
      </c>
      <c r="Q30" s="152">
        <v>5</v>
      </c>
      <c r="R30" s="154">
        <v>326.67007446289062</v>
      </c>
      <c r="S30" s="155">
        <v>52.767404406971764</v>
      </c>
      <c r="T30" s="152">
        <v>180</v>
      </c>
      <c r="U30" s="156">
        <v>2.0969784259796143</v>
      </c>
      <c r="V30" s="178">
        <v>17</v>
      </c>
      <c r="W30" s="152">
        <v>1250</v>
      </c>
      <c r="X30" s="155">
        <v>49399.704312413931</v>
      </c>
      <c r="Y30" s="155">
        <v>5483.2013563681394</v>
      </c>
      <c r="Z30" s="155">
        <v>184.69960021972656</v>
      </c>
      <c r="AA30" s="155">
        <v>12.138131141662598</v>
      </c>
      <c r="AB30" s="155">
        <v>14.497714042663574</v>
      </c>
      <c r="AC30" s="215">
        <v>37</v>
      </c>
      <c r="AD30" s="215">
        <v>28.213197708129883</v>
      </c>
      <c r="AE30" s="254">
        <v>20</v>
      </c>
      <c r="AF30" s="254">
        <v>10</v>
      </c>
      <c r="AG30" s="217">
        <v>5000000</v>
      </c>
      <c r="AH30" s="218">
        <v>300000</v>
      </c>
      <c r="AI30" s="219">
        <v>5000000</v>
      </c>
      <c r="AJ30" s="225">
        <f t="shared" si="0"/>
        <v>300000</v>
      </c>
      <c r="AK30" s="220">
        <v>2750000</v>
      </c>
      <c r="AL30" s="226">
        <f t="shared" si="1"/>
        <v>300000</v>
      </c>
      <c r="AM30" s="221">
        <v>14.407</v>
      </c>
      <c r="BM30" s="197">
        <f t="shared" si="2"/>
        <v>8.7868022918701172</v>
      </c>
      <c r="BN30" s="196">
        <f t="shared" si="3"/>
        <v>180</v>
      </c>
      <c r="BO30" s="197">
        <f t="shared" si="4"/>
        <v>2.3595829010009766</v>
      </c>
      <c r="BP30" s="196">
        <f t="shared" si="5"/>
        <v>12.704208169192803</v>
      </c>
      <c r="BQ30" s="115">
        <f t="shared" si="6"/>
        <v>659.74492511188635</v>
      </c>
      <c r="BR30" s="184">
        <f t="shared" si="7"/>
        <v>1.0041987768</v>
      </c>
      <c r="BS30" s="115">
        <f t="shared" si="8"/>
        <v>6863.8528613899143</v>
      </c>
      <c r="BT30" s="196">
        <v>900</v>
      </c>
      <c r="BU30" s="115">
        <f t="shared" si="101"/>
        <v>1.1850729520000001</v>
      </c>
      <c r="BV30" s="115">
        <f t="shared" si="102"/>
        <v>1.0793699358857267</v>
      </c>
      <c r="BW30" s="115">
        <f t="shared" si="103"/>
        <v>501.0120974511193</v>
      </c>
      <c r="BX30" s="115">
        <f t="shared" si="9"/>
        <v>1205.2653654777289</v>
      </c>
      <c r="BY30" s="115"/>
      <c r="BZ30" s="115">
        <f t="shared" si="10"/>
        <v>704.25326802660959</v>
      </c>
      <c r="CA30" s="115">
        <f t="shared" si="11"/>
        <v>11428.703461440049</v>
      </c>
      <c r="CB30" s="115">
        <f t="shared" si="12"/>
        <v>3182.8193634223812</v>
      </c>
      <c r="CC30" s="115">
        <f t="shared" si="13"/>
        <v>1259.2266394238297</v>
      </c>
      <c r="CD30" s="129">
        <f t="shared" si="104"/>
        <v>0.24880025635273109</v>
      </c>
      <c r="CE30" s="115">
        <f t="shared" si="14"/>
        <v>10.864682365866269</v>
      </c>
      <c r="CF30" s="115">
        <f t="shared" si="15"/>
        <v>14.657612335269935</v>
      </c>
      <c r="CG30" s="115">
        <f t="shared" si="16"/>
        <v>0.02</v>
      </c>
      <c r="CH30" s="115">
        <f t="shared" si="17"/>
        <v>0.05</v>
      </c>
      <c r="CI30" s="136">
        <v>30</v>
      </c>
      <c r="CJ30" s="115">
        <f t="shared" si="18"/>
        <v>165</v>
      </c>
      <c r="CK30" s="115">
        <f t="shared" si="19"/>
        <v>453</v>
      </c>
      <c r="CL30" s="115">
        <f t="shared" si="20"/>
        <v>599.67007446289062</v>
      </c>
      <c r="CM30" s="115">
        <f t="shared" ca="1" si="21"/>
        <v>2816.5993052117487</v>
      </c>
      <c r="CN30" s="115">
        <f t="shared" ca="1" si="22"/>
        <v>125.80344444444444</v>
      </c>
      <c r="CO30" s="115">
        <f t="shared" ca="1" si="23"/>
        <v>690.58718083896258</v>
      </c>
      <c r="CP30" s="115">
        <f t="shared" ca="1" si="24"/>
        <v>2790.6388281929471</v>
      </c>
      <c r="CQ30" s="115">
        <f t="shared" si="105"/>
        <v>1.072449112508886</v>
      </c>
      <c r="CR30" s="115">
        <f t="shared" ca="1" si="25"/>
        <v>345.43229891434316</v>
      </c>
      <c r="CS30" s="115">
        <f t="shared" ca="1" si="26"/>
        <v>17.074834667454311</v>
      </c>
      <c r="CT30" s="115">
        <f t="shared" si="106"/>
        <v>1.1047272504387564</v>
      </c>
      <c r="CU30" s="115">
        <f t="shared" ca="1" si="107"/>
        <v>1.0069147605727908</v>
      </c>
      <c r="CV30" s="115">
        <f t="shared" si="108"/>
        <v>231.25326802660959</v>
      </c>
      <c r="CW30" s="115">
        <f t="shared" si="27"/>
        <v>473</v>
      </c>
      <c r="CX30" s="115">
        <f t="shared" si="28"/>
        <v>438</v>
      </c>
      <c r="CY30" s="115">
        <f t="shared" ca="1" si="109"/>
        <v>455.9251653325457</v>
      </c>
      <c r="CZ30" s="115">
        <f t="shared" ca="1" si="29"/>
        <v>143.74490913034492</v>
      </c>
      <c r="DA30" s="115">
        <v>0.21890000000000001</v>
      </c>
      <c r="DB30" s="115">
        <v>2.7E-2</v>
      </c>
      <c r="DC30" s="115">
        <v>1.06</v>
      </c>
      <c r="DD30" s="138">
        <f t="shared" si="30"/>
        <v>13.190633239042491</v>
      </c>
      <c r="DE30" s="138">
        <f t="shared" si="110"/>
        <v>13.190633239042491</v>
      </c>
      <c r="DF30" s="115">
        <f t="shared" si="31"/>
        <v>599.67007446289062</v>
      </c>
      <c r="DG30" s="115">
        <v>704.25326802660959</v>
      </c>
      <c r="DH30" s="115">
        <f t="shared" si="111"/>
        <v>1.1047272504387564</v>
      </c>
      <c r="DI30" s="115">
        <f t="shared" si="112"/>
        <v>1.1326764253196744</v>
      </c>
      <c r="DJ30" s="138">
        <f t="shared" si="32"/>
        <v>1.9813987284354833</v>
      </c>
      <c r="DK30" s="138">
        <f t="shared" si="33"/>
        <v>3.2667151261807179</v>
      </c>
      <c r="DL30" s="115">
        <f t="shared" si="113"/>
        <v>599.67007446289062</v>
      </c>
      <c r="DM30" s="115">
        <f t="shared" si="167"/>
        <v>704.25326802660959</v>
      </c>
      <c r="DN30" s="115">
        <f t="shared" si="34"/>
        <v>12.819700970730919</v>
      </c>
      <c r="DO30" s="115">
        <f t="shared" si="114"/>
        <v>1.1047272504387564</v>
      </c>
      <c r="DP30" s="115">
        <f t="shared" si="115"/>
        <v>1.1326764253196744</v>
      </c>
      <c r="DQ30" s="115">
        <v>298.14999999999998</v>
      </c>
      <c r="DR30" s="138">
        <f t="shared" si="116"/>
        <v>1.3196115531380319</v>
      </c>
      <c r="DS30" s="138">
        <f t="shared" si="117"/>
        <v>2.1756322740363578</v>
      </c>
      <c r="DT30" s="115">
        <f t="shared" si="35"/>
        <v>599.67007446289062</v>
      </c>
      <c r="DU30" s="139">
        <f t="shared" si="118"/>
        <v>6.4290992856218114</v>
      </c>
      <c r="DV30" s="115">
        <f t="shared" si="119"/>
        <v>1.1047272504387564</v>
      </c>
      <c r="DW30" s="115">
        <v>298.14999999999998</v>
      </c>
      <c r="DX30" s="138">
        <f t="shared" si="36"/>
        <v>0.66178717529745135</v>
      </c>
      <c r="DY30" s="138">
        <f t="shared" si="37"/>
        <v>1.0910828521443598</v>
      </c>
      <c r="DZ30" s="138">
        <f t="shared" si="38"/>
        <v>3.1828193634223814</v>
      </c>
      <c r="EA30" s="138">
        <f t="shared" si="168"/>
        <v>4.5648506000501348</v>
      </c>
      <c r="EB30" s="115">
        <f t="shared" si="120"/>
        <v>14.657612335269935</v>
      </c>
      <c r="EC30" s="115">
        <v>30</v>
      </c>
      <c r="ED30" s="198">
        <f t="shared" ca="1" si="40"/>
        <v>125.80344444444444</v>
      </c>
      <c r="EE30" s="198">
        <v>104.83</v>
      </c>
      <c r="EF30" s="198">
        <f t="shared" ca="1" si="41"/>
        <v>0.42491111111111107</v>
      </c>
      <c r="EG30" s="199">
        <v>0.36720000000000003</v>
      </c>
      <c r="EH30" s="138">
        <f t="shared" ca="1" si="121"/>
        <v>5.5213417894774061E-2</v>
      </c>
      <c r="EI30" s="138">
        <f t="shared" ca="1" si="122"/>
        <v>5.5213417894774061E-2</v>
      </c>
      <c r="EJ30" s="115">
        <f t="shared" si="42"/>
        <v>12.819700970730919</v>
      </c>
      <c r="EK30" s="115">
        <v>435</v>
      </c>
      <c r="EL30" s="115">
        <f t="shared" ca="1" si="43"/>
        <v>455.9251653325457</v>
      </c>
      <c r="EM30" s="115">
        <f t="shared" ca="1" si="123"/>
        <v>1.0617828402376233</v>
      </c>
      <c r="EN30" s="115">
        <f t="shared" ca="1" si="124"/>
        <v>1.0683045737127734</v>
      </c>
      <c r="EO30" s="115">
        <v>298.14999999999998</v>
      </c>
      <c r="EP30" s="138">
        <f t="shared" ca="1" si="125"/>
        <v>0.32973131955720952</v>
      </c>
      <c r="EQ30" s="138">
        <f t="shared" ca="1" si="126"/>
        <v>0.42649124547149253</v>
      </c>
      <c r="ER30" s="115">
        <f t="shared" si="44"/>
        <v>0.58249400721655953</v>
      </c>
      <c r="ES30" s="115">
        <f t="shared" si="45"/>
        <v>453</v>
      </c>
      <c r="ET30" s="115">
        <f t="shared" ca="1" si="46"/>
        <v>2816.5993052117487</v>
      </c>
      <c r="EU30" s="115">
        <f t="shared" ca="1" si="47"/>
        <v>6.5855309782608691</v>
      </c>
      <c r="EV30" s="138">
        <f t="shared" ca="1" si="48"/>
        <v>0.49964817030183767</v>
      </c>
      <c r="EW30" s="138">
        <f t="shared" ca="1" si="49"/>
        <v>1.2228889745815135</v>
      </c>
      <c r="EX30" s="115">
        <v>21.47</v>
      </c>
      <c r="EY30" s="115">
        <f t="shared" ca="1" si="50"/>
        <v>118.15981165271334</v>
      </c>
      <c r="EZ30" s="115">
        <f t="shared" ca="1" si="51"/>
        <v>0.39999514581892226</v>
      </c>
      <c r="FA30" s="138">
        <f t="shared" ca="1" si="127"/>
        <v>7.6260128758432119E-2</v>
      </c>
      <c r="FB30" s="138">
        <f t="shared" ca="1" si="128"/>
        <v>7.6260128758432119E-2</v>
      </c>
      <c r="FC30" s="115">
        <f t="shared" si="52"/>
        <v>21.47</v>
      </c>
      <c r="FD30" s="115">
        <v>37</v>
      </c>
      <c r="FE30" s="115">
        <f t="shared" ca="1" si="53"/>
        <v>154.93355555555553</v>
      </c>
      <c r="FF30" s="115">
        <f t="shared" ca="1" si="54"/>
        <v>0.52252222222222222</v>
      </c>
      <c r="FG30" s="138">
        <f t="shared" ca="1" si="55"/>
        <v>8.1462225449999703E-2</v>
      </c>
      <c r="FH30" s="138">
        <f t="shared" ca="1" si="129"/>
        <v>8.1462225449999703E-2</v>
      </c>
      <c r="FI30" s="115">
        <f t="shared" si="56"/>
        <v>51.715888061523444</v>
      </c>
      <c r="FJ30" s="115">
        <f t="shared" ca="1" si="57"/>
        <v>50.883871953540385</v>
      </c>
      <c r="FK30" s="115">
        <f t="shared" ca="1" si="58"/>
        <v>0.1758372731420729</v>
      </c>
      <c r="FL30" s="138">
        <f t="shared" ca="1" si="59"/>
        <v>0.1607675762779526</v>
      </c>
      <c r="FM30" s="138">
        <f t="shared" ca="1" si="60"/>
        <v>1.0155277562149176</v>
      </c>
      <c r="FN30" s="115">
        <f t="shared" si="130"/>
        <v>51.715888061523444</v>
      </c>
      <c r="FO30" s="115">
        <f t="shared" ca="1" si="61"/>
        <v>60.758988570107363</v>
      </c>
      <c r="FP30" s="115">
        <f t="shared" ca="1" si="62"/>
        <v>0.20874034581714207</v>
      </c>
      <c r="FQ30" s="138">
        <f t="shared" ca="1" si="63"/>
        <v>0.16413249631479251</v>
      </c>
      <c r="FR30" s="138">
        <f t="shared" ca="1" si="64"/>
        <v>1.0367830974595145</v>
      </c>
      <c r="FS30" s="139">
        <f t="shared" si="131"/>
        <v>8.0264151471846255</v>
      </c>
      <c r="FT30" s="249">
        <f t="shared" si="132"/>
        <v>5.359067512811639</v>
      </c>
      <c r="FU30" s="139">
        <f t="shared" ca="1" si="133"/>
        <v>0.54544548117375879</v>
      </c>
      <c r="FV30" s="249">
        <f t="shared" ca="1" si="134"/>
        <v>0.58146547187812603</v>
      </c>
      <c r="FW30" s="139">
        <f t="shared" ca="1" si="135"/>
        <v>0.49781099364711001</v>
      </c>
      <c r="FX30" s="249">
        <f t="shared" ca="1" si="136"/>
        <v>1.2389422191345429</v>
      </c>
      <c r="FY30" s="249">
        <f t="shared" si="65"/>
        <v>0.15000000000000002</v>
      </c>
      <c r="FZ30" s="139">
        <f t="shared" si="66"/>
        <v>1050000</v>
      </c>
      <c r="GA30" s="139">
        <f t="shared" si="137"/>
        <v>3.3757716049382713E-2</v>
      </c>
      <c r="GB30" s="139">
        <f t="shared" si="138"/>
        <v>121.52777777777777</v>
      </c>
      <c r="GC30" s="139">
        <f t="shared" si="67"/>
        <v>1050000</v>
      </c>
      <c r="GD30" s="139">
        <f t="shared" si="139"/>
        <v>6.7515432098765427E-2</v>
      </c>
      <c r="GE30" s="139">
        <f t="shared" si="140"/>
        <v>243.05555555555554</v>
      </c>
      <c r="GF30" s="139">
        <f t="shared" si="141"/>
        <v>4.5814043209876545E-2</v>
      </c>
      <c r="GG30" s="139">
        <f t="shared" si="68"/>
        <v>712500</v>
      </c>
      <c r="GH30" s="139">
        <f t="shared" si="142"/>
        <v>164.93055555555554</v>
      </c>
      <c r="GI30" s="137">
        <f t="shared" si="69"/>
        <v>61.344718424030454</v>
      </c>
      <c r="GJ30" s="137">
        <f t="shared" si="143"/>
        <v>0.22084098632650787</v>
      </c>
      <c r="GK30" s="251">
        <f t="shared" si="70"/>
        <v>38.715747739792683</v>
      </c>
      <c r="GL30" s="137">
        <f t="shared" si="164"/>
        <v>0.13937669186325255</v>
      </c>
      <c r="GM30" s="137">
        <f t="shared" ca="1" si="71"/>
        <v>8.5700955535798986</v>
      </c>
      <c r="GN30" s="137">
        <f t="shared" ca="1" si="144"/>
        <v>3.0852343992887391E-2</v>
      </c>
      <c r="GO30" s="137">
        <f t="shared" ca="1" si="145"/>
        <v>0.10848222219721305</v>
      </c>
      <c r="GP30" s="137">
        <f t="shared" ca="1" si="72"/>
        <v>11.149117280187147</v>
      </c>
      <c r="GQ30" s="137">
        <f t="shared" ca="1" si="146"/>
        <v>4.0136822208673407E-2</v>
      </c>
      <c r="GR30" s="137">
        <f t="shared" ca="1" si="147"/>
        <v>0.14112806683781087</v>
      </c>
      <c r="GS30" s="140">
        <f t="shared" si="73"/>
        <v>0.1156365630254889</v>
      </c>
      <c r="GT30" s="140">
        <f t="shared" si="74"/>
        <v>7.7208085657077277E-2</v>
      </c>
      <c r="GU30" s="140">
        <f t="shared" si="148"/>
        <v>416.29162689176002</v>
      </c>
      <c r="GV30" s="140">
        <f t="shared" si="149"/>
        <v>277.9491083654782</v>
      </c>
      <c r="GW30" s="141">
        <f t="shared" ca="1" si="75"/>
        <v>5.233583209482048E-3</v>
      </c>
      <c r="GX30" s="141">
        <f t="shared" ca="1" si="76"/>
        <v>5.5791972535298752E-3</v>
      </c>
      <c r="GY30" s="141">
        <f t="shared" ca="1" si="150"/>
        <v>18.840899554135373</v>
      </c>
      <c r="GZ30" s="141">
        <f t="shared" ca="1" si="165"/>
        <v>20.08511011270755</v>
      </c>
      <c r="HA30" s="141">
        <f t="shared" ca="1" si="77"/>
        <v>1.0638659514490769E-2</v>
      </c>
      <c r="HB30" s="141">
        <f t="shared" ca="1" si="78"/>
        <v>1.7807439425214198E-2</v>
      </c>
      <c r="HC30" s="141">
        <f t="shared" ca="1" si="151"/>
        <v>38.299174252166772</v>
      </c>
      <c r="HD30" s="141">
        <f t="shared" ca="1" si="152"/>
        <v>64.10678193077112</v>
      </c>
      <c r="HE30" s="137">
        <f t="shared" si="153"/>
        <v>11.209234510607008</v>
      </c>
      <c r="HF30" s="250">
        <f t="shared" si="154"/>
        <v>9.9239181128617737</v>
      </c>
      <c r="HG30" s="137">
        <v>3.1828193634223814</v>
      </c>
      <c r="HH30" s="251">
        <v>6.9505221484437207</v>
      </c>
      <c r="HI30" s="137">
        <f t="shared" ca="1" si="155"/>
        <v>0.89312030766653938</v>
      </c>
      <c r="HJ30" s="251">
        <f t="shared" ca="1" si="156"/>
        <v>1.7491410285648654</v>
      </c>
      <c r="HK30" s="137">
        <f t="shared" ca="1" si="157"/>
        <v>0.44443475240706359</v>
      </c>
      <c r="HL30" s="251">
        <f t="shared" ca="1" si="158"/>
        <v>1.1676755566867394</v>
      </c>
      <c r="HM30" s="137">
        <f t="shared" ca="1" si="159"/>
        <v>0.49964817030183767</v>
      </c>
      <c r="HN30" s="251">
        <f t="shared" ca="1" si="160"/>
        <v>1.2228889745815135</v>
      </c>
      <c r="HO30" s="137">
        <f t="shared" ca="1" si="161"/>
        <v>0.1607675762779526</v>
      </c>
      <c r="HP30" s="251">
        <f t="shared" ca="1" si="162"/>
        <v>1.0155277562149176</v>
      </c>
      <c r="JN30" s="143">
        <f t="shared" si="79"/>
        <v>19.24880025635273</v>
      </c>
      <c r="JO30" s="143">
        <f t="shared" si="80"/>
        <v>3182.8193634223812</v>
      </c>
      <c r="JP30" s="143">
        <f t="shared" si="81"/>
        <v>4564.8506000501347</v>
      </c>
      <c r="JQ30" s="143">
        <f t="shared" si="82"/>
        <v>0.58249400721655953</v>
      </c>
      <c r="JR30" s="143">
        <f t="shared" ca="1" si="83"/>
        <v>1.4256541733248398</v>
      </c>
      <c r="JS30" s="143">
        <f t="shared" si="84"/>
        <v>51.715888061523444</v>
      </c>
      <c r="JT30" s="143">
        <f t="shared" ca="1" si="85"/>
        <v>326.676068518818</v>
      </c>
      <c r="JU30" s="143">
        <f t="shared" si="166"/>
        <v>0.25577153606558983</v>
      </c>
      <c r="JV30" s="143">
        <f t="shared" si="86"/>
        <v>0.36683164093526016</v>
      </c>
      <c r="JW30" s="143">
        <f t="shared" ca="1" si="87"/>
        <v>0.12575826353525221</v>
      </c>
      <c r="JX30" s="143">
        <f t="shared" ca="1" si="88"/>
        <v>0.30779336957618131</v>
      </c>
      <c r="JY30" s="143">
        <f t="shared" si="89"/>
        <v>0.57840877151114511</v>
      </c>
      <c r="JZ30" s="143">
        <f t="shared" si="90"/>
        <v>0.34920210191581241</v>
      </c>
      <c r="KA30" s="143">
        <f t="shared" si="91"/>
        <v>0.24129390194866965</v>
      </c>
      <c r="KB30" s="143">
        <f t="shared" si="92"/>
        <v>0.3460675857879813</v>
      </c>
      <c r="KC30" s="143">
        <f t="shared" ca="1" si="93"/>
        <v>0.44897830801141675</v>
      </c>
      <c r="KD30" s="143">
        <f t="shared" ca="1" si="94"/>
        <v>0.66757084627120855</v>
      </c>
      <c r="KE30" s="143">
        <f t="shared" ca="1" si="95"/>
        <v>0.83043332413921123</v>
      </c>
      <c r="KF30" s="143">
        <f t="shared" ca="1" si="96"/>
        <v>0.32176156310315884</v>
      </c>
      <c r="KG30" s="142">
        <f t="shared" si="97"/>
        <v>0.13937669186325255</v>
      </c>
      <c r="KH30" s="142">
        <f t="shared" ca="1" si="98"/>
        <v>0.14112806683781087</v>
      </c>
      <c r="KI30" s="142">
        <f t="shared" ca="1" si="99"/>
        <v>473.43170069806217</v>
      </c>
      <c r="KJ30" s="142">
        <f t="shared" ca="1" si="100"/>
        <v>362.14100040895687</v>
      </c>
    </row>
    <row r="31" spans="1:296" x14ac:dyDescent="0.3">
      <c r="A31" s="201">
        <v>41318</v>
      </c>
      <c r="B31" s="196">
        <v>28</v>
      </c>
      <c r="C31" s="179">
        <v>24</v>
      </c>
      <c r="D31" s="152">
        <v>4.2</v>
      </c>
      <c r="E31" s="152">
        <v>50016</v>
      </c>
      <c r="F31" s="152">
        <v>300</v>
      </c>
      <c r="G31" s="152">
        <v>11.7</v>
      </c>
      <c r="H31" s="152">
        <v>0.85</v>
      </c>
      <c r="I31" s="152">
        <v>1.4</v>
      </c>
      <c r="J31" s="152">
        <v>1.33</v>
      </c>
      <c r="K31" s="152">
        <v>0.91</v>
      </c>
      <c r="L31" s="152">
        <v>33251.899236954749</v>
      </c>
      <c r="M31" s="155">
        <v>19</v>
      </c>
      <c r="N31" s="153">
        <v>74478.471112020314</v>
      </c>
      <c r="O31" s="178">
        <v>17</v>
      </c>
      <c r="P31" s="152">
        <v>2</v>
      </c>
      <c r="Q31" s="152">
        <v>5</v>
      </c>
      <c r="R31" s="154">
        <v>413.77822875976562</v>
      </c>
      <c r="S31" s="155">
        <v>84.769221374735935</v>
      </c>
      <c r="T31" s="152">
        <v>180</v>
      </c>
      <c r="U31" s="156">
        <v>3.2875001430511475</v>
      </c>
      <c r="V31" s="178">
        <v>17</v>
      </c>
      <c r="W31" s="152">
        <v>1250</v>
      </c>
      <c r="X31" s="155">
        <v>83530.896581843495</v>
      </c>
      <c r="Y31" s="155">
        <v>8231.7834397051483</v>
      </c>
      <c r="Z31" s="155">
        <v>258.53741455078125</v>
      </c>
      <c r="AA31" s="155">
        <v>11.175418853759766</v>
      </c>
      <c r="AB31" s="155">
        <v>13.841996192932129</v>
      </c>
      <c r="AC31" s="215">
        <v>37</v>
      </c>
      <c r="AD31" s="215">
        <v>29.508228302001953</v>
      </c>
      <c r="AE31" s="254">
        <v>20</v>
      </c>
      <c r="AF31" s="254">
        <v>10</v>
      </c>
      <c r="AG31" s="217">
        <v>5000000</v>
      </c>
      <c r="AH31" s="218">
        <v>300000</v>
      </c>
      <c r="AI31" s="219">
        <v>5000000</v>
      </c>
      <c r="AJ31" s="225">
        <f t="shared" si="0"/>
        <v>300000</v>
      </c>
      <c r="AK31" s="220">
        <v>2750000</v>
      </c>
      <c r="AL31" s="226">
        <f t="shared" si="1"/>
        <v>300000</v>
      </c>
      <c r="AM31" s="221">
        <v>14.407</v>
      </c>
      <c r="BM31" s="197">
        <f t="shared" si="2"/>
        <v>7.4917716979980469</v>
      </c>
      <c r="BN31" s="196">
        <f t="shared" si="3"/>
        <v>180</v>
      </c>
      <c r="BO31" s="197">
        <f t="shared" si="4"/>
        <v>2.6665773391723633</v>
      </c>
      <c r="BP31" s="196">
        <f t="shared" si="5"/>
        <v>12.720674170853995</v>
      </c>
      <c r="BQ31" s="115">
        <f t="shared" si="6"/>
        <v>659.74492511188635</v>
      </c>
      <c r="BR31" s="184">
        <f t="shared" si="7"/>
        <v>1.0041987768</v>
      </c>
      <c r="BS31" s="115">
        <f t="shared" si="8"/>
        <v>6863.8528613899143</v>
      </c>
      <c r="BT31" s="196">
        <v>900</v>
      </c>
      <c r="BU31" s="115">
        <f t="shared" si="101"/>
        <v>1.1850729520000001</v>
      </c>
      <c r="BV31" s="115">
        <f t="shared" si="102"/>
        <v>1.0850075542581703</v>
      </c>
      <c r="BW31" s="115">
        <f t="shared" si="103"/>
        <v>523.42805870765062</v>
      </c>
      <c r="BX31" s="115">
        <f t="shared" si="9"/>
        <v>1259.1905738186786</v>
      </c>
      <c r="BY31" s="115"/>
      <c r="BZ31" s="115">
        <f t="shared" si="10"/>
        <v>735.76251511102794</v>
      </c>
      <c r="CA31" s="115">
        <f t="shared" si="11"/>
        <v>11955.514723878647</v>
      </c>
      <c r="CB31" s="115">
        <f t="shared" si="12"/>
        <v>3103.2696296675131</v>
      </c>
      <c r="CC31" s="115">
        <f t="shared" si="13"/>
        <v>1385.4958015397813</v>
      </c>
      <c r="CD31" s="129">
        <f t="shared" si="104"/>
        <v>0.27374874371817298</v>
      </c>
      <c r="CE31" s="115">
        <f t="shared" si="14"/>
        <v>15.208083208869486</v>
      </c>
      <c r="CF31" s="115">
        <f t="shared" si="15"/>
        <v>23.54700593742665</v>
      </c>
      <c r="CG31" s="115">
        <f t="shared" si="16"/>
        <v>0.02</v>
      </c>
      <c r="CH31" s="115">
        <f t="shared" si="17"/>
        <v>0.05</v>
      </c>
      <c r="CI31" s="136">
        <v>30</v>
      </c>
      <c r="CJ31" s="115">
        <f t="shared" si="18"/>
        <v>165</v>
      </c>
      <c r="CK31" s="115">
        <f t="shared" si="19"/>
        <v>453</v>
      </c>
      <c r="CL31" s="115">
        <f t="shared" si="20"/>
        <v>686.77822875976562</v>
      </c>
      <c r="CM31" s="115">
        <f t="shared" ca="1" si="21"/>
        <v>2816.5993052117487</v>
      </c>
      <c r="CN31" s="115">
        <f t="shared" ca="1" si="22"/>
        <v>125.80344444444444</v>
      </c>
      <c r="CO31" s="115">
        <f t="shared" ca="1" si="23"/>
        <v>690.58718083896258</v>
      </c>
      <c r="CP31" s="115">
        <f t="shared" ca="1" si="24"/>
        <v>2790.6388281929471</v>
      </c>
      <c r="CQ31" s="115">
        <f t="shared" si="105"/>
        <v>1.072449112508886</v>
      </c>
      <c r="CR31" s="115">
        <f t="shared" ca="1" si="25"/>
        <v>541.54526247206593</v>
      </c>
      <c r="CS31" s="115">
        <f t="shared" ca="1" si="26"/>
        <v>26.73411413970522</v>
      </c>
      <c r="CT31" s="115">
        <f t="shared" si="106"/>
        <v>1.1279644065267851</v>
      </c>
      <c r="CU31" s="115">
        <f t="shared" ca="1" si="107"/>
        <v>1.0224333113760324</v>
      </c>
      <c r="CV31" s="115">
        <f t="shared" si="108"/>
        <v>262.76251511102794</v>
      </c>
      <c r="CW31" s="115">
        <f t="shared" si="27"/>
        <v>473</v>
      </c>
      <c r="CX31" s="115">
        <f t="shared" si="28"/>
        <v>438</v>
      </c>
      <c r="CY31" s="115">
        <f t="shared" ca="1" si="109"/>
        <v>446.26588586029476</v>
      </c>
      <c r="CZ31" s="115">
        <f t="shared" ca="1" si="29"/>
        <v>240.51234289947087</v>
      </c>
      <c r="DA31" s="115">
        <v>0.21890000000000001</v>
      </c>
      <c r="DB31" s="115">
        <v>2.7E-2</v>
      </c>
      <c r="DC31" s="115">
        <v>1.06</v>
      </c>
      <c r="DD31" s="138">
        <f t="shared" si="30"/>
        <v>14.513326195756628</v>
      </c>
      <c r="DE31" s="138">
        <f t="shared" si="110"/>
        <v>14.513326195756628</v>
      </c>
      <c r="DF31" s="115">
        <f t="shared" si="31"/>
        <v>686.77822875976562</v>
      </c>
      <c r="DG31" s="115">
        <v>735.76251511102794</v>
      </c>
      <c r="DH31" s="115">
        <f t="shared" si="111"/>
        <v>1.1279644065267851</v>
      </c>
      <c r="DI31" s="115">
        <f t="shared" si="112"/>
        <v>1.1411894619265233</v>
      </c>
      <c r="DJ31" s="138">
        <f t="shared" si="32"/>
        <v>3.0402986009011403</v>
      </c>
      <c r="DK31" s="138">
        <f t="shared" si="33"/>
        <v>3.7015479523949479</v>
      </c>
      <c r="DL31" s="115">
        <f t="shared" si="113"/>
        <v>686.77822875976562</v>
      </c>
      <c r="DM31" s="115">
        <f t="shared" si="167"/>
        <v>735.76251511102794</v>
      </c>
      <c r="DN31" s="115">
        <f t="shared" si="34"/>
        <v>12.836316663316303</v>
      </c>
      <c r="DO31" s="115">
        <f t="shared" si="114"/>
        <v>1.1279644065267851</v>
      </c>
      <c r="DP31" s="115">
        <f t="shared" si="115"/>
        <v>1.1411894619265233</v>
      </c>
      <c r="DQ31" s="115">
        <v>298.14999999999998</v>
      </c>
      <c r="DR31" s="138">
        <f t="shared" si="116"/>
        <v>2.0248388682001592</v>
      </c>
      <c r="DS31" s="138">
        <f t="shared" si="117"/>
        <v>2.4652309362950353</v>
      </c>
      <c r="DT31" s="115">
        <f t="shared" si="35"/>
        <v>686.77822875976562</v>
      </c>
      <c r="DU31" s="139">
        <f t="shared" si="118"/>
        <v>6.4374320804018694</v>
      </c>
      <c r="DV31" s="115">
        <f t="shared" si="119"/>
        <v>1.1279644065267851</v>
      </c>
      <c r="DW31" s="115">
        <v>298.14999999999998</v>
      </c>
      <c r="DX31" s="138">
        <f t="shared" si="36"/>
        <v>1.0154597327009807</v>
      </c>
      <c r="DY31" s="138">
        <f t="shared" si="37"/>
        <v>1.2363170160999126</v>
      </c>
      <c r="DZ31" s="138">
        <f t="shared" si="38"/>
        <v>3.1032696296675133</v>
      </c>
      <c r="EA31" s="138">
        <f t="shared" si="168"/>
        <v>5.0916618624887322</v>
      </c>
      <c r="EB31" s="115">
        <f t="shared" si="120"/>
        <v>23.54700593742665</v>
      </c>
      <c r="EC31" s="115">
        <v>30</v>
      </c>
      <c r="ED31" s="198">
        <f t="shared" ca="1" si="40"/>
        <v>125.80344444444444</v>
      </c>
      <c r="EE31" s="198">
        <v>104.83</v>
      </c>
      <c r="EF31" s="198">
        <f t="shared" ca="1" si="41"/>
        <v>0.42491111111111107</v>
      </c>
      <c r="EG31" s="199">
        <v>0.36720000000000003</v>
      </c>
      <c r="EH31" s="138">
        <f t="shared" ca="1" si="121"/>
        <v>8.8698667235554279E-2</v>
      </c>
      <c r="EI31" s="138">
        <f t="shared" ca="1" si="122"/>
        <v>8.8698667235554279E-2</v>
      </c>
      <c r="EJ31" s="115">
        <f t="shared" si="42"/>
        <v>12.836316663316303</v>
      </c>
      <c r="EK31" s="115">
        <v>435</v>
      </c>
      <c r="EL31" s="115">
        <f t="shared" ca="1" si="43"/>
        <v>446.26588586029476</v>
      </c>
      <c r="EM31" s="115">
        <f t="shared" ca="1" si="123"/>
        <v>1.0625048615778572</v>
      </c>
      <c r="EN31" s="115">
        <f t="shared" ca="1" si="124"/>
        <v>1.0659865714603285</v>
      </c>
      <c r="EO31" s="115">
        <v>298.14999999999998</v>
      </c>
      <c r="EP31" s="138">
        <f t="shared" ca="1" si="125"/>
        <v>0.33038319703873475</v>
      </c>
      <c r="EQ31" s="138">
        <f t="shared" ca="1" si="126"/>
        <v>0.38130764720195881</v>
      </c>
      <c r="ER31" s="115">
        <f t="shared" si="44"/>
        <v>0.91319448418087434</v>
      </c>
      <c r="ES31" s="115">
        <f t="shared" si="45"/>
        <v>453</v>
      </c>
      <c r="ET31" s="115">
        <f t="shared" ca="1" si="46"/>
        <v>2816.5993052117487</v>
      </c>
      <c r="EU31" s="115">
        <f t="shared" ca="1" si="47"/>
        <v>6.5855309782608691</v>
      </c>
      <c r="EV31" s="138">
        <f t="shared" ca="1" si="48"/>
        <v>0.78331441611049923</v>
      </c>
      <c r="EW31" s="138">
        <f t="shared" ca="1" si="49"/>
        <v>1.4205790860868641</v>
      </c>
      <c r="EX31" s="115">
        <v>21.47</v>
      </c>
      <c r="EY31" s="115">
        <f t="shared" ca="1" si="50"/>
        <v>123.57965858035617</v>
      </c>
      <c r="EZ31" s="115">
        <f t="shared" ca="1" si="51"/>
        <v>0.41805362798902723</v>
      </c>
      <c r="FA31" s="138">
        <f t="shared" ca="1" si="127"/>
        <v>7.7026832519832916E-2</v>
      </c>
      <c r="FB31" s="138">
        <f t="shared" ca="1" si="128"/>
        <v>7.7026832519832916E-2</v>
      </c>
      <c r="FC31" s="115">
        <f t="shared" si="52"/>
        <v>21.47</v>
      </c>
      <c r="FD31" s="115">
        <v>37</v>
      </c>
      <c r="FE31" s="115">
        <f t="shared" ca="1" si="53"/>
        <v>154.93355555555553</v>
      </c>
      <c r="FF31" s="115">
        <f t="shared" ca="1" si="54"/>
        <v>0.52252222222222222</v>
      </c>
      <c r="FG31" s="138">
        <f t="shared" ca="1" si="55"/>
        <v>8.1462225449999703E-2</v>
      </c>
      <c r="FH31" s="138">
        <f t="shared" ca="1" si="129"/>
        <v>8.1462225449999703E-2</v>
      </c>
      <c r="FI31" s="115">
        <f t="shared" si="56"/>
        <v>72.390476074218753</v>
      </c>
      <c r="FJ31" s="115">
        <f t="shared" ca="1" si="57"/>
        <v>46.854814060635043</v>
      </c>
      <c r="FK31" s="115">
        <f t="shared" ca="1" si="58"/>
        <v>0.16241278512742785</v>
      </c>
      <c r="FL31" s="138">
        <f t="shared" ca="1" si="59"/>
        <v>0.22311629155936974</v>
      </c>
      <c r="FM31" s="138">
        <f t="shared" ca="1" si="60"/>
        <v>1.1023542290700603</v>
      </c>
      <c r="FN31" s="115">
        <f t="shared" si="130"/>
        <v>72.390476074218753</v>
      </c>
      <c r="FO31" s="115">
        <f t="shared" ca="1" si="61"/>
        <v>58.014736511442401</v>
      </c>
      <c r="FP31" s="115">
        <f t="shared" ca="1" si="62"/>
        <v>0.19959672469033135</v>
      </c>
      <c r="FQ31" s="138">
        <f t="shared" ca="1" si="63"/>
        <v>0.22843922625406429</v>
      </c>
      <c r="FR31" s="138">
        <f t="shared" ca="1" si="64"/>
        <v>1.1286533376234977</v>
      </c>
      <c r="FS31" s="139">
        <f t="shared" si="131"/>
        <v>8.3697579651879739</v>
      </c>
      <c r="FT31" s="249">
        <f t="shared" si="132"/>
        <v>5.7201163808729474</v>
      </c>
      <c r="FU31" s="139">
        <f t="shared" ca="1" si="133"/>
        <v>0.99983992228647955</v>
      </c>
      <c r="FV31" s="249">
        <f t="shared" ca="1" si="134"/>
        <v>0.75204287024176675</v>
      </c>
      <c r="FW31" s="139">
        <f t="shared" ca="1" si="135"/>
        <v>0.78420195787502689</v>
      </c>
      <c r="FX31" s="249">
        <f t="shared" ca="1" si="136"/>
        <v>1.4424428017101345</v>
      </c>
      <c r="FY31" s="249">
        <f t="shared" si="65"/>
        <v>0.15000000000000002</v>
      </c>
      <c r="FZ31" s="139">
        <f t="shared" si="66"/>
        <v>1050000</v>
      </c>
      <c r="GA31" s="139">
        <f t="shared" si="137"/>
        <v>3.3757716049382713E-2</v>
      </c>
      <c r="GB31" s="139">
        <f t="shared" si="138"/>
        <v>121.52777777777777</v>
      </c>
      <c r="GC31" s="139">
        <f t="shared" si="67"/>
        <v>1050000</v>
      </c>
      <c r="GD31" s="139">
        <f t="shared" si="139"/>
        <v>6.7515432098765427E-2</v>
      </c>
      <c r="GE31" s="139">
        <f t="shared" si="140"/>
        <v>243.05555555555554</v>
      </c>
      <c r="GF31" s="139">
        <f t="shared" si="141"/>
        <v>4.5814043209876545E-2</v>
      </c>
      <c r="GG31" s="139">
        <f t="shared" si="68"/>
        <v>712500</v>
      </c>
      <c r="GH31" s="139">
        <f t="shared" si="142"/>
        <v>164.93055555555554</v>
      </c>
      <c r="GI31" s="137">
        <f t="shared" si="69"/>
        <v>64.1419046239279</v>
      </c>
      <c r="GJ31" s="137">
        <f t="shared" si="143"/>
        <v>0.23091085664613861</v>
      </c>
      <c r="GK31" s="251">
        <f t="shared" si="70"/>
        <v>37.222229268158486</v>
      </c>
      <c r="GL31" s="137">
        <f t="shared" si="164"/>
        <v>0.13400002536536948</v>
      </c>
      <c r="GM31" s="137">
        <f t="shared" ca="1" si="71"/>
        <v>10.317858034483214</v>
      </c>
      <c r="GN31" s="137">
        <f t="shared" ca="1" si="144"/>
        <v>3.7144288924139277E-2</v>
      </c>
      <c r="GO31" s="137">
        <f t="shared" ca="1" si="145"/>
        <v>0.13060579790484977</v>
      </c>
      <c r="GP31" s="137">
        <f t="shared" ca="1" si="72"/>
        <v>12.103075908561078</v>
      </c>
      <c r="GQ31" s="137">
        <f t="shared" ca="1" si="146"/>
        <v>4.3571073270819535E-2</v>
      </c>
      <c r="GR31" s="137">
        <f t="shared" ca="1" si="147"/>
        <v>0.15320349251343016</v>
      </c>
      <c r="GS31" s="140">
        <f t="shared" si="73"/>
        <v>0.12058310300446315</v>
      </c>
      <c r="GT31" s="140">
        <f t="shared" si="74"/>
        <v>8.2409716699236552E-2</v>
      </c>
      <c r="GU31" s="140">
        <f t="shared" si="148"/>
        <v>434.09917081606733</v>
      </c>
      <c r="GV31" s="140">
        <f t="shared" si="149"/>
        <v>296.67498011725161</v>
      </c>
      <c r="GW31" s="141">
        <f t="shared" ca="1" si="75"/>
        <v>9.5935260444139515E-3</v>
      </c>
      <c r="GX31" s="141">
        <f t="shared" ca="1" si="76"/>
        <v>7.2158979666277056E-3</v>
      </c>
      <c r="GY31" s="141">
        <f t="shared" ca="1" si="150"/>
        <v>34.536693759890227</v>
      </c>
      <c r="GZ31" s="141">
        <f t="shared" ca="1" si="165"/>
        <v>25.977232679859739</v>
      </c>
      <c r="HA31" s="141">
        <f t="shared" ca="1" si="77"/>
        <v>1.8355291821880015E-2</v>
      </c>
      <c r="HB31" s="141">
        <f t="shared" ca="1" si="78"/>
        <v>2.1655233966156481E-2</v>
      </c>
      <c r="HC31" s="141">
        <f t="shared" ca="1" si="151"/>
        <v>66.07905055876806</v>
      </c>
      <c r="HD31" s="141">
        <f t="shared" ca="1" si="152"/>
        <v>77.958842278163331</v>
      </c>
      <c r="HE31" s="137">
        <f t="shared" si="153"/>
        <v>11.473027594855488</v>
      </c>
      <c r="HF31" s="250">
        <f t="shared" si="154"/>
        <v>10.81177824336168</v>
      </c>
      <c r="HG31" s="137">
        <v>3.1032696296675133</v>
      </c>
      <c r="HH31" s="251">
        <v>6.2105020678784424</v>
      </c>
      <c r="HI31" s="137">
        <f t="shared" ca="1" si="155"/>
        <v>1.6435312209982005</v>
      </c>
      <c r="HJ31" s="251">
        <f t="shared" ca="1" si="156"/>
        <v>2.0839232890930766</v>
      </c>
      <c r="HK31" s="137">
        <f t="shared" ca="1" si="157"/>
        <v>0.69461574887494493</v>
      </c>
      <c r="HL31" s="251">
        <f t="shared" ca="1" si="158"/>
        <v>1.3318804188513098</v>
      </c>
      <c r="HM31" s="137">
        <f t="shared" ca="1" si="159"/>
        <v>0.78331441611049923</v>
      </c>
      <c r="HN31" s="251">
        <f t="shared" ca="1" si="160"/>
        <v>1.4205790860868641</v>
      </c>
      <c r="HO31" s="137">
        <f t="shared" ca="1" si="161"/>
        <v>0.22311629155936974</v>
      </c>
      <c r="HP31" s="251">
        <f t="shared" ca="1" si="162"/>
        <v>1.1023542290700603</v>
      </c>
      <c r="JN31" s="143">
        <f t="shared" si="79"/>
        <v>19.273748743718173</v>
      </c>
      <c r="JO31" s="143">
        <f t="shared" si="80"/>
        <v>3103.2696296675131</v>
      </c>
      <c r="JP31" s="143">
        <f t="shared" si="81"/>
        <v>5091.6618624887324</v>
      </c>
      <c r="JQ31" s="143">
        <f t="shared" si="82"/>
        <v>0.91319448418087434</v>
      </c>
      <c r="JR31" s="143">
        <f t="shared" ca="1" si="83"/>
        <v>1.6561229553245338</v>
      </c>
      <c r="JS31" s="143">
        <f t="shared" si="84"/>
        <v>72.390476074218753</v>
      </c>
      <c r="JT31" s="143">
        <f t="shared" ca="1" si="85"/>
        <v>357.66078257703481</v>
      </c>
      <c r="JU31" s="143">
        <f t="shared" si="166"/>
        <v>0.22665140733964417</v>
      </c>
      <c r="JV31" s="143">
        <f t="shared" si="86"/>
        <v>0.37187626746900143</v>
      </c>
      <c r="JW31" s="143">
        <f t="shared" ca="1" si="87"/>
        <v>0.17920838453884902</v>
      </c>
      <c r="JX31" s="143">
        <f t="shared" ca="1" si="88"/>
        <v>0.32500318887452823</v>
      </c>
      <c r="JY31" s="143">
        <f t="shared" si="89"/>
        <v>0.51353709364079403</v>
      </c>
      <c r="JZ31" s="143">
        <f t="shared" si="90"/>
        <v>0.5296350067335176</v>
      </c>
      <c r="KA31" s="143">
        <f t="shared" si="91"/>
        <v>0.21382208239589073</v>
      </c>
      <c r="KB31" s="143">
        <f t="shared" si="92"/>
        <v>0.3508266674235862</v>
      </c>
      <c r="KC31" s="143">
        <f t="shared" ca="1" si="93"/>
        <v>0.40993444720736605</v>
      </c>
      <c r="KD31" s="143">
        <f t="shared" ca="1" si="94"/>
        <v>0.6391216153791075</v>
      </c>
      <c r="KE31" s="143">
        <f t="shared" ca="1" si="95"/>
        <v>0.77598934115425566</v>
      </c>
      <c r="KF31" s="143">
        <f t="shared" ca="1" si="96"/>
        <v>0.28483618706679792</v>
      </c>
      <c r="KG31" s="142">
        <f t="shared" si="97"/>
        <v>0.13400002536536948</v>
      </c>
      <c r="KH31" s="142">
        <f t="shared" ca="1" si="98"/>
        <v>0.15320349251343016</v>
      </c>
      <c r="KI31" s="142">
        <f t="shared" ca="1" si="99"/>
        <v>534.71491513472563</v>
      </c>
      <c r="KJ31" s="142">
        <f t="shared" ca="1" si="100"/>
        <v>400.61105507527469</v>
      </c>
    </row>
    <row r="32" spans="1:296" x14ac:dyDescent="0.3">
      <c r="A32" s="201">
        <v>41319</v>
      </c>
      <c r="B32" s="196">
        <v>29</v>
      </c>
      <c r="C32" s="179">
        <v>24</v>
      </c>
      <c r="D32" s="152">
        <v>4.2</v>
      </c>
      <c r="E32" s="152">
        <v>50016</v>
      </c>
      <c r="F32" s="152">
        <v>300</v>
      </c>
      <c r="G32" s="152">
        <v>11.7</v>
      </c>
      <c r="H32" s="152">
        <v>0.85</v>
      </c>
      <c r="I32" s="152">
        <v>1.4</v>
      </c>
      <c r="J32" s="152">
        <v>1.33</v>
      </c>
      <c r="K32" s="152">
        <v>0.91</v>
      </c>
      <c r="L32" s="152">
        <v>32774.043684050441</v>
      </c>
      <c r="M32" s="155">
        <v>19</v>
      </c>
      <c r="N32" s="153">
        <v>75137.976388163865</v>
      </c>
      <c r="O32" s="178">
        <v>17</v>
      </c>
      <c r="P32" s="152">
        <v>2</v>
      </c>
      <c r="Q32" s="152">
        <v>5</v>
      </c>
      <c r="R32" s="154">
        <v>412.62484741210937</v>
      </c>
      <c r="S32" s="155">
        <v>84.296719793375814</v>
      </c>
      <c r="T32" s="152">
        <v>180</v>
      </c>
      <c r="U32" s="156">
        <v>3.2944545745849609</v>
      </c>
      <c r="V32" s="178">
        <v>17</v>
      </c>
      <c r="W32" s="152">
        <v>1250</v>
      </c>
      <c r="X32" s="155">
        <v>85472.540087282658</v>
      </c>
      <c r="Y32" s="155">
        <v>7900.6789863146842</v>
      </c>
      <c r="Z32" s="155">
        <v>237.65545654296875</v>
      </c>
      <c r="AA32" s="155">
        <v>10.855979919433594</v>
      </c>
      <c r="AB32" s="155">
        <v>13.930826187133789</v>
      </c>
      <c r="AC32" s="215">
        <v>37</v>
      </c>
      <c r="AD32" s="215">
        <v>29.351726531982422</v>
      </c>
      <c r="AE32" s="254">
        <v>20</v>
      </c>
      <c r="AF32" s="254">
        <v>10</v>
      </c>
      <c r="AG32" s="217">
        <v>5000000</v>
      </c>
      <c r="AH32" s="218">
        <v>300000</v>
      </c>
      <c r="AI32" s="219">
        <v>5000000</v>
      </c>
      <c r="AJ32" s="225">
        <f t="shared" si="0"/>
        <v>300000</v>
      </c>
      <c r="AK32" s="220">
        <v>2750000</v>
      </c>
      <c r="AL32" s="226">
        <f t="shared" si="1"/>
        <v>300000</v>
      </c>
      <c r="AM32" s="221">
        <v>14.407</v>
      </c>
      <c r="BM32" s="197">
        <f t="shared" si="2"/>
        <v>7.6482734680175781</v>
      </c>
      <c r="BN32" s="196">
        <f t="shared" si="3"/>
        <v>180</v>
      </c>
      <c r="BO32" s="197">
        <f t="shared" si="4"/>
        <v>3.0748462677001953</v>
      </c>
      <c r="BP32" s="196">
        <f t="shared" si="5"/>
        <v>12.718077743047159</v>
      </c>
      <c r="BQ32" s="115">
        <f t="shared" si="6"/>
        <v>659.74492511188635</v>
      </c>
      <c r="BR32" s="184">
        <f t="shared" si="7"/>
        <v>1.0041987768</v>
      </c>
      <c r="BS32" s="115">
        <f t="shared" si="8"/>
        <v>6863.8528613899143</v>
      </c>
      <c r="BT32" s="196">
        <v>900</v>
      </c>
      <c r="BU32" s="115">
        <f t="shared" si="101"/>
        <v>1.1850729520000001</v>
      </c>
      <c r="BV32" s="115">
        <f t="shared" si="102"/>
        <v>1.0841140795934188</v>
      </c>
      <c r="BW32" s="115">
        <f t="shared" si="103"/>
        <v>519.89727112901733</v>
      </c>
      <c r="BX32" s="115">
        <f t="shared" si="9"/>
        <v>1250.6966951218656</v>
      </c>
      <c r="BY32" s="115"/>
      <c r="BZ32" s="115">
        <f t="shared" si="10"/>
        <v>730.79942399284823</v>
      </c>
      <c r="CA32" s="115">
        <f t="shared" si="11"/>
        <v>11872.444927160836</v>
      </c>
      <c r="CB32" s="115">
        <f t="shared" si="12"/>
        <v>3130.7490161734945</v>
      </c>
      <c r="CC32" s="115">
        <f t="shared" si="13"/>
        <v>1365.5851535021018</v>
      </c>
      <c r="CD32" s="129">
        <f t="shared" si="104"/>
        <v>0.26981476219266276</v>
      </c>
      <c r="CE32" s="115">
        <f t="shared" si="14"/>
        <v>13.979732737821692</v>
      </c>
      <c r="CF32" s="115">
        <f t="shared" si="15"/>
        <v>23.41575549815995</v>
      </c>
      <c r="CG32" s="115">
        <f t="shared" si="16"/>
        <v>0.02</v>
      </c>
      <c r="CH32" s="115">
        <f t="shared" si="17"/>
        <v>0.05</v>
      </c>
      <c r="CI32" s="136">
        <v>30</v>
      </c>
      <c r="CJ32" s="115">
        <f t="shared" si="18"/>
        <v>165</v>
      </c>
      <c r="CK32" s="115">
        <f t="shared" si="19"/>
        <v>453</v>
      </c>
      <c r="CL32" s="115">
        <f t="shared" si="20"/>
        <v>685.62484741210937</v>
      </c>
      <c r="CM32" s="115">
        <f t="shared" ca="1" si="21"/>
        <v>2816.5993052117487</v>
      </c>
      <c r="CN32" s="115">
        <f t="shared" ca="1" si="22"/>
        <v>125.80344444444444</v>
      </c>
      <c r="CO32" s="115">
        <f t="shared" ca="1" si="23"/>
        <v>690.58718083896258</v>
      </c>
      <c r="CP32" s="115">
        <f t="shared" ca="1" si="24"/>
        <v>2790.6388281929471</v>
      </c>
      <c r="CQ32" s="115">
        <f t="shared" si="105"/>
        <v>1.072449112508886</v>
      </c>
      <c r="CR32" s="115">
        <f t="shared" ca="1" si="25"/>
        <v>542.69085617136466</v>
      </c>
      <c r="CS32" s="115">
        <f t="shared" ca="1" si="26"/>
        <v>26.796137304461748</v>
      </c>
      <c r="CT32" s="115">
        <f t="shared" si="106"/>
        <v>1.127653771219689</v>
      </c>
      <c r="CU32" s="115">
        <f t="shared" ca="1" si="107"/>
        <v>1.0222379372245989</v>
      </c>
      <c r="CV32" s="115">
        <f t="shared" si="108"/>
        <v>257.79942399284823</v>
      </c>
      <c r="CW32" s="115">
        <f t="shared" si="27"/>
        <v>473</v>
      </c>
      <c r="CX32" s="115">
        <f t="shared" si="28"/>
        <v>438</v>
      </c>
      <c r="CY32" s="115">
        <f t="shared" ca="1" si="109"/>
        <v>446.20386269553825</v>
      </c>
      <c r="CZ32" s="115">
        <f t="shared" ca="1" si="29"/>
        <v>239.42098471657113</v>
      </c>
      <c r="DA32" s="115">
        <v>0.21890000000000001</v>
      </c>
      <c r="DB32" s="115">
        <v>2.7E-2</v>
      </c>
      <c r="DC32" s="115">
        <v>1.06</v>
      </c>
      <c r="DD32" s="138">
        <f t="shared" si="30"/>
        <v>14.304758454577915</v>
      </c>
      <c r="DE32" s="138">
        <f t="shared" si="110"/>
        <v>14.304758454577915</v>
      </c>
      <c r="DF32" s="115">
        <f t="shared" si="31"/>
        <v>685.62484741210937</v>
      </c>
      <c r="DG32" s="115">
        <v>730.79942399284823</v>
      </c>
      <c r="DH32" s="115">
        <f t="shared" si="111"/>
        <v>1.127653771219689</v>
      </c>
      <c r="DI32" s="115">
        <f t="shared" si="112"/>
        <v>1.1398478312731215</v>
      </c>
      <c r="DJ32" s="138">
        <f t="shared" si="32"/>
        <v>3.0246678635822559</v>
      </c>
      <c r="DK32" s="138">
        <f t="shared" si="33"/>
        <v>3.6317534115230141</v>
      </c>
      <c r="DL32" s="115">
        <f t="shared" si="113"/>
        <v>685.62484741210937</v>
      </c>
      <c r="DM32" s="115">
        <f t="shared" si="167"/>
        <v>730.79942399284823</v>
      </c>
      <c r="DN32" s="115">
        <f t="shared" si="34"/>
        <v>12.833696631620315</v>
      </c>
      <c r="DO32" s="115">
        <f t="shared" si="114"/>
        <v>1.127653771219689</v>
      </c>
      <c r="DP32" s="115">
        <f t="shared" si="115"/>
        <v>1.1398478312731215</v>
      </c>
      <c r="DQ32" s="115">
        <v>298.14999999999998</v>
      </c>
      <c r="DR32" s="138">
        <f t="shared" si="116"/>
        <v>2.0144287971457828</v>
      </c>
      <c r="DS32" s="138">
        <f t="shared" si="117"/>
        <v>2.4187477720743278</v>
      </c>
      <c r="DT32" s="115">
        <f t="shared" si="35"/>
        <v>685.62484741210937</v>
      </c>
      <c r="DU32" s="139">
        <f t="shared" si="118"/>
        <v>6.4361181305723481</v>
      </c>
      <c r="DV32" s="115">
        <f t="shared" si="119"/>
        <v>1.127653771219689</v>
      </c>
      <c r="DW32" s="115">
        <v>298.14999999999998</v>
      </c>
      <c r="DX32" s="138">
        <f t="shared" si="36"/>
        <v>1.0102390664364735</v>
      </c>
      <c r="DY32" s="138">
        <f t="shared" si="37"/>
        <v>1.2130056394486866</v>
      </c>
      <c r="DZ32" s="138">
        <f t="shared" si="38"/>
        <v>3.1307490161734948</v>
      </c>
      <c r="EA32" s="138">
        <f t="shared" si="168"/>
        <v>5.0085920657709213</v>
      </c>
      <c r="EB32" s="115">
        <f t="shared" si="120"/>
        <v>23.41575549815995</v>
      </c>
      <c r="EC32" s="115">
        <v>30</v>
      </c>
      <c r="ED32" s="198">
        <f t="shared" ca="1" si="40"/>
        <v>125.80344444444444</v>
      </c>
      <c r="EE32" s="198">
        <v>104.83</v>
      </c>
      <c r="EF32" s="198">
        <f t="shared" ca="1" si="41"/>
        <v>0.42491111111111107</v>
      </c>
      <c r="EG32" s="199">
        <v>0.36720000000000003</v>
      </c>
      <c r="EH32" s="138">
        <f t="shared" ca="1" si="121"/>
        <v>8.8204263018390808E-2</v>
      </c>
      <c r="EI32" s="138">
        <f t="shared" ca="1" si="122"/>
        <v>8.8204263018390808E-2</v>
      </c>
      <c r="EJ32" s="115">
        <f t="shared" si="42"/>
        <v>12.833696631620315</v>
      </c>
      <c r="EK32" s="115">
        <v>435</v>
      </c>
      <c r="EL32" s="115">
        <f t="shared" ca="1" si="43"/>
        <v>446.20386269553825</v>
      </c>
      <c r="EM32" s="115">
        <f t="shared" ca="1" si="123"/>
        <v>1.0625093982000142</v>
      </c>
      <c r="EN32" s="115">
        <f t="shared" ca="1" si="124"/>
        <v>1.065971751371112</v>
      </c>
      <c r="EO32" s="115">
        <v>298.14999999999998</v>
      </c>
      <c r="EP32" s="138">
        <f t="shared" ca="1" si="125"/>
        <v>0.33031717260189258</v>
      </c>
      <c r="EQ32" s="138">
        <f t="shared" ca="1" si="126"/>
        <v>0.38094294013692298</v>
      </c>
      <c r="ER32" s="115">
        <f t="shared" si="44"/>
        <v>0.91512627071804475</v>
      </c>
      <c r="ES32" s="115">
        <f t="shared" si="45"/>
        <v>453</v>
      </c>
      <c r="ET32" s="115">
        <f t="shared" ca="1" si="46"/>
        <v>2816.5993052117487</v>
      </c>
      <c r="EU32" s="115">
        <f t="shared" ca="1" si="47"/>
        <v>6.5855309782608691</v>
      </c>
      <c r="EV32" s="138">
        <f t="shared" ca="1" si="48"/>
        <v>0.78497145222890186</v>
      </c>
      <c r="EW32" s="138">
        <f t="shared" ca="1" si="49"/>
        <v>1.3930787803796445</v>
      </c>
      <c r="EX32" s="115">
        <v>21.47</v>
      </c>
      <c r="EY32" s="115">
        <f t="shared" ca="1" si="50"/>
        <v>122.92468128373888</v>
      </c>
      <c r="EZ32" s="115">
        <f t="shared" ca="1" si="51"/>
        <v>0.41587129775153264</v>
      </c>
      <c r="FA32" s="138">
        <f t="shared" ca="1" si="127"/>
        <v>7.6934177955294183E-2</v>
      </c>
      <c r="FB32" s="138">
        <f t="shared" ca="1" si="128"/>
        <v>7.6934177955294183E-2</v>
      </c>
      <c r="FC32" s="115">
        <f t="shared" si="52"/>
        <v>21.47</v>
      </c>
      <c r="FD32" s="115">
        <v>37</v>
      </c>
      <c r="FE32" s="115">
        <f t="shared" ca="1" si="53"/>
        <v>154.93355555555553</v>
      </c>
      <c r="FF32" s="115">
        <f t="shared" ca="1" si="54"/>
        <v>0.52252222222222222</v>
      </c>
      <c r="FG32" s="138">
        <f t="shared" ca="1" si="55"/>
        <v>8.1462225449999703E-2</v>
      </c>
      <c r="FH32" s="138">
        <f t="shared" ca="1" si="129"/>
        <v>8.1462225449999703E-2</v>
      </c>
      <c r="FI32" s="115">
        <f t="shared" si="56"/>
        <v>66.543527832031259</v>
      </c>
      <c r="FJ32" s="115">
        <f t="shared" ca="1" si="57"/>
        <v>45.517926627265091</v>
      </c>
      <c r="FK32" s="115">
        <f t="shared" ca="1" si="58"/>
        <v>0.15795838665432402</v>
      </c>
      <c r="FL32" s="138">
        <f t="shared" ca="1" si="59"/>
        <v>0.20450913215768726</v>
      </c>
      <c r="FM32" s="138">
        <f t="shared" ca="1" si="60"/>
        <v>0.92833051119686916</v>
      </c>
      <c r="FN32" s="115">
        <f t="shared" si="130"/>
        <v>66.543527832031259</v>
      </c>
      <c r="FO32" s="115">
        <f t="shared" ca="1" si="61"/>
        <v>58.386499907175704</v>
      </c>
      <c r="FP32" s="115">
        <f t="shared" ca="1" si="62"/>
        <v>0.20083540960947674</v>
      </c>
      <c r="FQ32" s="138">
        <f t="shared" ca="1" si="63"/>
        <v>0.21015128374188485</v>
      </c>
      <c r="FR32" s="138">
        <f t="shared" ca="1" si="64"/>
        <v>0.95394199078776465</v>
      </c>
      <c r="FS32" s="139">
        <f t="shared" si="131"/>
        <v>8.1493415748221647</v>
      </c>
      <c r="FT32" s="249">
        <f t="shared" si="132"/>
        <v>5.6644129772839786</v>
      </c>
      <c r="FU32" s="139">
        <f t="shared" ca="1" si="133"/>
        <v>0.98734443533337912</v>
      </c>
      <c r="FV32" s="249">
        <f t="shared" ca="1" si="134"/>
        <v>0.73293031457615099</v>
      </c>
      <c r="FW32" s="139">
        <f t="shared" ca="1" si="135"/>
        <v>0.78608555631839394</v>
      </c>
      <c r="FX32" s="249">
        <f t="shared" ca="1" si="136"/>
        <v>1.4141622124758344</v>
      </c>
      <c r="FY32" s="249">
        <f t="shared" si="65"/>
        <v>0.15000000000000002</v>
      </c>
      <c r="FZ32" s="139">
        <f t="shared" si="66"/>
        <v>1050000</v>
      </c>
      <c r="GA32" s="139">
        <f t="shared" si="137"/>
        <v>3.3757716049382713E-2</v>
      </c>
      <c r="GB32" s="139">
        <f t="shared" si="138"/>
        <v>121.52777777777777</v>
      </c>
      <c r="GC32" s="139">
        <f t="shared" si="67"/>
        <v>1050000</v>
      </c>
      <c r="GD32" s="139">
        <f t="shared" si="139"/>
        <v>6.7515432098765427E-2</v>
      </c>
      <c r="GE32" s="139">
        <f t="shared" si="140"/>
        <v>243.05555555555554</v>
      </c>
      <c r="GF32" s="139">
        <f t="shared" si="141"/>
        <v>4.5814043209876545E-2</v>
      </c>
      <c r="GG32" s="139">
        <f t="shared" si="68"/>
        <v>712500</v>
      </c>
      <c r="GH32" s="139">
        <f t="shared" si="142"/>
        <v>164.93055555555554</v>
      </c>
      <c r="GI32" s="137">
        <f t="shared" si="69"/>
        <v>62.691062164333083</v>
      </c>
      <c r="GJ32" s="137">
        <f t="shared" si="143"/>
        <v>0.2256878237915973</v>
      </c>
      <c r="GK32" s="251">
        <f t="shared" si="70"/>
        <v>37.440401861877532</v>
      </c>
      <c r="GL32" s="137">
        <f t="shared" si="164"/>
        <v>0.13478544670275805</v>
      </c>
      <c r="GM32" s="137">
        <f t="shared" ca="1" si="71"/>
        <v>10.000745546951004</v>
      </c>
      <c r="GN32" s="137">
        <f t="shared" ca="1" si="144"/>
        <v>3.6002683969023327E-2</v>
      </c>
      <c r="GO32" s="137">
        <f t="shared" ca="1" si="145"/>
        <v>0.12659171578418893</v>
      </c>
      <c r="GP32" s="137">
        <f t="shared" ca="1" si="72"/>
        <v>11.878924684864819</v>
      </c>
      <c r="GQ32" s="137">
        <f t="shared" ca="1" si="146"/>
        <v>4.2764128865513007E-2</v>
      </c>
      <c r="GR32" s="137">
        <f t="shared" ca="1" si="147"/>
        <v>0.1503661352514522</v>
      </c>
      <c r="GS32" s="140">
        <f t="shared" si="73"/>
        <v>0.11740756406846292</v>
      </c>
      <c r="GT32" s="140">
        <f t="shared" si="74"/>
        <v>8.1607197763730294E-2</v>
      </c>
      <c r="GU32" s="140">
        <f t="shared" si="148"/>
        <v>422.66723064646652</v>
      </c>
      <c r="GV32" s="140">
        <f t="shared" si="149"/>
        <v>293.78591194942908</v>
      </c>
      <c r="GW32" s="141">
        <f t="shared" ca="1" si="75"/>
        <v>9.4736310723787624E-3</v>
      </c>
      <c r="GX32" s="141">
        <f t="shared" ca="1" si="76"/>
        <v>7.0325118100376715E-3</v>
      </c>
      <c r="GY32" s="141">
        <f t="shared" ca="1" si="150"/>
        <v>34.105071860563548</v>
      </c>
      <c r="GZ32" s="141">
        <f t="shared" ca="1" si="165"/>
        <v>25.317042516135619</v>
      </c>
      <c r="HA32" s="141">
        <f t="shared" ca="1" si="77"/>
        <v>1.8230592513753873E-2</v>
      </c>
      <c r="HB32" s="141">
        <f t="shared" ca="1" si="78"/>
        <v>2.1190482786889793E-2</v>
      </c>
      <c r="HC32" s="141">
        <f t="shared" ca="1" si="151"/>
        <v>65.630133049513944</v>
      </c>
      <c r="HD32" s="141">
        <f t="shared" ca="1" si="152"/>
        <v>76.285738032803252</v>
      </c>
      <c r="HE32" s="137">
        <f t="shared" si="153"/>
        <v>11.280090590995659</v>
      </c>
      <c r="HF32" s="250">
        <f t="shared" si="154"/>
        <v>10.6730050430549</v>
      </c>
      <c r="HG32" s="137">
        <v>3.1307490161734948</v>
      </c>
      <c r="HH32" s="251">
        <v>6.0402048522699205</v>
      </c>
      <c r="HI32" s="137">
        <f t="shared" ca="1" si="155"/>
        <v>1.6334858570088597</v>
      </c>
      <c r="HJ32" s="251">
        <f t="shared" ca="1" si="156"/>
        <v>2.0378048319374047</v>
      </c>
      <c r="HK32" s="137">
        <f t="shared" ca="1" si="157"/>
        <v>0.69676718921051106</v>
      </c>
      <c r="HL32" s="251">
        <f t="shared" ca="1" si="158"/>
        <v>1.3048745173612537</v>
      </c>
      <c r="HM32" s="137">
        <f t="shared" ca="1" si="159"/>
        <v>0.78497145222890186</v>
      </c>
      <c r="HN32" s="251">
        <f t="shared" ca="1" si="160"/>
        <v>1.3930787803796445</v>
      </c>
      <c r="HO32" s="137">
        <f t="shared" ca="1" si="161"/>
        <v>0.20450913215768726</v>
      </c>
      <c r="HP32" s="251">
        <f t="shared" ca="1" si="162"/>
        <v>0.92833051119686916</v>
      </c>
      <c r="JN32" s="143">
        <f t="shared" si="79"/>
        <v>19.269814762192663</v>
      </c>
      <c r="JO32" s="143">
        <f t="shared" si="80"/>
        <v>3130.7490161734945</v>
      </c>
      <c r="JP32" s="143">
        <f t="shared" si="81"/>
        <v>5008.5920657709212</v>
      </c>
      <c r="JQ32" s="143">
        <f t="shared" si="82"/>
        <v>0.91512627071804475</v>
      </c>
      <c r="JR32" s="143">
        <f t="shared" ca="1" si="83"/>
        <v>1.6240628694016699</v>
      </c>
      <c r="JS32" s="143">
        <f t="shared" si="84"/>
        <v>66.543527832031259</v>
      </c>
      <c r="JT32" s="143">
        <f t="shared" ca="1" si="85"/>
        <v>302.06175419844516</v>
      </c>
      <c r="JU32" s="143">
        <f t="shared" si="166"/>
        <v>0.2319923099492717</v>
      </c>
      <c r="JV32" s="143">
        <f t="shared" si="86"/>
        <v>0.37114276389743001</v>
      </c>
      <c r="JW32" s="143">
        <f t="shared" ca="1" si="87"/>
        <v>0.18220221217459659</v>
      </c>
      <c r="JX32" s="143">
        <f t="shared" ca="1" si="88"/>
        <v>0.32335193184152178</v>
      </c>
      <c r="JY32" s="143">
        <f t="shared" si="89"/>
        <v>0.48168467685691857</v>
      </c>
      <c r="JZ32" s="143">
        <f t="shared" si="90"/>
        <v>0.64376115893249775</v>
      </c>
      <c r="KA32" s="143">
        <f t="shared" si="91"/>
        <v>0.21886066976346388</v>
      </c>
      <c r="KB32" s="143">
        <f t="shared" si="92"/>
        <v>0.35013468292210376</v>
      </c>
      <c r="KC32" s="143">
        <f t="shared" ca="1" si="93"/>
        <v>0.41372981401943426</v>
      </c>
      <c r="KD32" s="143">
        <f t="shared" ca="1" si="94"/>
        <v>0.64033341020232482</v>
      </c>
      <c r="KE32" s="143">
        <f t="shared" ca="1" si="95"/>
        <v>0.66638766182618814</v>
      </c>
      <c r="KF32" s="143">
        <f t="shared" ca="1" si="96"/>
        <v>0.26053066207311104</v>
      </c>
      <c r="KG32" s="142">
        <f t="shared" si="97"/>
        <v>0.13478544670275805</v>
      </c>
      <c r="KH32" s="142">
        <f t="shared" ca="1" si="98"/>
        <v>0.1503661352514522</v>
      </c>
      <c r="KI32" s="142">
        <f t="shared" ca="1" si="99"/>
        <v>522.40243555654399</v>
      </c>
      <c r="KJ32" s="142">
        <f t="shared" ca="1" si="100"/>
        <v>395.38869249836796</v>
      </c>
    </row>
    <row r="33" spans="1:296" x14ac:dyDescent="0.3">
      <c r="A33" s="201">
        <v>41320</v>
      </c>
      <c r="B33" s="196">
        <v>30</v>
      </c>
      <c r="C33" s="179">
        <v>24</v>
      </c>
      <c r="D33" s="152">
        <v>4.2</v>
      </c>
      <c r="E33" s="152">
        <v>50016</v>
      </c>
      <c r="F33" s="152">
        <v>300</v>
      </c>
      <c r="G33" s="152">
        <v>11.7</v>
      </c>
      <c r="H33" s="152">
        <v>0.85</v>
      </c>
      <c r="I33" s="152">
        <v>1.4</v>
      </c>
      <c r="J33" s="152">
        <v>1.33</v>
      </c>
      <c r="K33" s="152">
        <v>0.91</v>
      </c>
      <c r="L33" s="152">
        <v>32584.637197718024</v>
      </c>
      <c r="M33" s="155">
        <v>19</v>
      </c>
      <c r="N33" s="153">
        <v>73256.316110163927</v>
      </c>
      <c r="O33" s="178">
        <v>17</v>
      </c>
      <c r="P33" s="152">
        <v>2</v>
      </c>
      <c r="Q33" s="152">
        <v>5</v>
      </c>
      <c r="R33" s="154">
        <v>411.42971801757812</v>
      </c>
      <c r="S33" s="155">
        <v>83.93207599161542</v>
      </c>
      <c r="T33" s="152">
        <v>180</v>
      </c>
      <c r="U33" s="156">
        <v>3.3416833877563477</v>
      </c>
      <c r="V33" s="178">
        <v>17</v>
      </c>
      <c r="W33" s="152">
        <v>1250</v>
      </c>
      <c r="X33" s="155">
        <v>85530.184405580163</v>
      </c>
      <c r="Y33" s="155">
        <v>7711.4590364489704</v>
      </c>
      <c r="Z33" s="155">
        <v>308.55783081054687</v>
      </c>
      <c r="AA33" s="155">
        <v>11.465728759765625</v>
      </c>
      <c r="AB33" s="155">
        <v>13.902543067932129</v>
      </c>
      <c r="AC33" s="215">
        <v>37</v>
      </c>
      <c r="AD33" s="215">
        <v>29.431526184082031</v>
      </c>
      <c r="AE33" s="254">
        <v>20</v>
      </c>
      <c r="AF33" s="254">
        <v>10</v>
      </c>
      <c r="AG33" s="217">
        <v>5000000</v>
      </c>
      <c r="AH33" s="218">
        <v>300000</v>
      </c>
      <c r="AI33" s="219">
        <v>5000000</v>
      </c>
      <c r="AJ33" s="225">
        <f t="shared" si="0"/>
        <v>300000</v>
      </c>
      <c r="AK33" s="220">
        <v>2750000</v>
      </c>
      <c r="AL33" s="226">
        <f t="shared" si="1"/>
        <v>300000</v>
      </c>
      <c r="AM33" s="221">
        <v>14.407</v>
      </c>
      <c r="BM33" s="197">
        <f t="shared" si="2"/>
        <v>7.5684738159179687</v>
      </c>
      <c r="BN33" s="196">
        <f t="shared" si="3"/>
        <v>180</v>
      </c>
      <c r="BO33" s="197">
        <f t="shared" si="4"/>
        <v>2.4368143081665039</v>
      </c>
      <c r="BP33" s="196">
        <f t="shared" si="5"/>
        <v>12.717048603038386</v>
      </c>
      <c r="BQ33" s="115">
        <f t="shared" si="6"/>
        <v>659.74492511188635</v>
      </c>
      <c r="BR33" s="184">
        <f t="shared" si="7"/>
        <v>1.0041987768</v>
      </c>
      <c r="BS33" s="115">
        <f t="shared" si="8"/>
        <v>6863.8528613899143</v>
      </c>
      <c r="BT33" s="196">
        <v>900</v>
      </c>
      <c r="BU33" s="115">
        <f t="shared" si="101"/>
        <v>1.1850729520000001</v>
      </c>
      <c r="BV33" s="115">
        <f t="shared" si="102"/>
        <v>1.0837603867558145</v>
      </c>
      <c r="BW33" s="115">
        <f t="shared" si="103"/>
        <v>518.49738213813896</v>
      </c>
      <c r="BX33" s="115">
        <f t="shared" si="9"/>
        <v>1247.3290364868685</v>
      </c>
      <c r="BY33" s="115"/>
      <c r="BZ33" s="115">
        <f t="shared" si="10"/>
        <v>728.83165434872956</v>
      </c>
      <c r="CA33" s="115">
        <f t="shared" si="11"/>
        <v>11839.518746391268</v>
      </c>
      <c r="CB33" s="115">
        <f t="shared" si="12"/>
        <v>3052.3465045901635</v>
      </c>
      <c r="CC33" s="115">
        <f t="shared" si="13"/>
        <v>1357.6932165715843</v>
      </c>
      <c r="CD33" s="129">
        <f t="shared" si="104"/>
        <v>0.26825545914906551</v>
      </c>
      <c r="CE33" s="115">
        <f t="shared" si="14"/>
        <v>18.150460635914524</v>
      </c>
      <c r="CF33" s="115">
        <f t="shared" si="15"/>
        <v>23.314465553226508</v>
      </c>
      <c r="CG33" s="115">
        <f t="shared" si="16"/>
        <v>0.02</v>
      </c>
      <c r="CH33" s="115">
        <f t="shared" si="17"/>
        <v>0.05</v>
      </c>
      <c r="CI33" s="136">
        <v>30</v>
      </c>
      <c r="CJ33" s="115">
        <f t="shared" si="18"/>
        <v>165</v>
      </c>
      <c r="CK33" s="115">
        <f t="shared" si="19"/>
        <v>453</v>
      </c>
      <c r="CL33" s="115">
        <f t="shared" si="20"/>
        <v>684.42971801757812</v>
      </c>
      <c r="CM33" s="115">
        <f t="shared" ca="1" si="21"/>
        <v>2816.5993052117487</v>
      </c>
      <c r="CN33" s="115">
        <f t="shared" ca="1" si="22"/>
        <v>125.80344444444444</v>
      </c>
      <c r="CO33" s="115">
        <f t="shared" ca="1" si="23"/>
        <v>690.58718083896258</v>
      </c>
      <c r="CP33" s="115">
        <f t="shared" ca="1" si="24"/>
        <v>2790.6388281929471</v>
      </c>
      <c r="CQ33" s="115">
        <f t="shared" si="105"/>
        <v>1.072449112508886</v>
      </c>
      <c r="CR33" s="115">
        <f t="shared" ca="1" si="25"/>
        <v>550.47079196215225</v>
      </c>
      <c r="CS33" s="115">
        <f t="shared" ca="1" si="26"/>
        <v>27.182482354629652</v>
      </c>
      <c r="CT33" s="115">
        <f t="shared" si="106"/>
        <v>1.1273319466722951</v>
      </c>
      <c r="CU33" s="115">
        <f t="shared" ca="1" si="107"/>
        <v>1.0220934309486605</v>
      </c>
      <c r="CV33" s="115">
        <f t="shared" si="108"/>
        <v>255.83165434872956</v>
      </c>
      <c r="CW33" s="115">
        <f t="shared" si="27"/>
        <v>473</v>
      </c>
      <c r="CX33" s="115">
        <f t="shared" si="28"/>
        <v>438</v>
      </c>
      <c r="CY33" s="115">
        <f t="shared" ca="1" si="109"/>
        <v>445.81751764537034</v>
      </c>
      <c r="CZ33" s="115">
        <f t="shared" ca="1" si="29"/>
        <v>238.61220037220778</v>
      </c>
      <c r="DA33" s="115">
        <v>0.21890000000000001</v>
      </c>
      <c r="DB33" s="115">
        <v>2.7E-2</v>
      </c>
      <c r="DC33" s="115">
        <v>1.06</v>
      </c>
      <c r="DD33" s="138">
        <f t="shared" si="30"/>
        <v>14.22208894748764</v>
      </c>
      <c r="DE33" s="138">
        <f t="shared" si="110"/>
        <v>14.22208894748764</v>
      </c>
      <c r="DF33" s="115">
        <f t="shared" si="31"/>
        <v>684.42971801757812</v>
      </c>
      <c r="DG33" s="115">
        <v>728.83165434872956</v>
      </c>
      <c r="DH33" s="115">
        <f t="shared" si="111"/>
        <v>1.1273319466722951</v>
      </c>
      <c r="DI33" s="115">
        <f t="shared" si="112"/>
        <v>1.1393159345107979</v>
      </c>
      <c r="DJ33" s="138">
        <f t="shared" si="32"/>
        <v>3.0088985944971984</v>
      </c>
      <c r="DK33" s="138">
        <f t="shared" si="33"/>
        <v>3.6042147175875829</v>
      </c>
      <c r="DL33" s="115">
        <f t="shared" si="113"/>
        <v>684.42971801757812</v>
      </c>
      <c r="DM33" s="115">
        <f t="shared" si="167"/>
        <v>728.83165434872956</v>
      </c>
      <c r="DN33" s="115">
        <f t="shared" si="34"/>
        <v>12.832658135793279</v>
      </c>
      <c r="DO33" s="115">
        <f t="shared" si="114"/>
        <v>1.1273319466722951</v>
      </c>
      <c r="DP33" s="115">
        <f t="shared" si="115"/>
        <v>1.1393159345107979</v>
      </c>
      <c r="DQ33" s="115">
        <v>298.14999999999998</v>
      </c>
      <c r="DR33" s="138">
        <f t="shared" si="116"/>
        <v>2.0039264639351342</v>
      </c>
      <c r="DS33" s="138">
        <f t="shared" si="117"/>
        <v>2.4004070019133303</v>
      </c>
      <c r="DT33" s="115">
        <f t="shared" si="35"/>
        <v>684.42971801757812</v>
      </c>
      <c r="DU33" s="139">
        <f t="shared" si="118"/>
        <v>6.4355973233557879</v>
      </c>
      <c r="DV33" s="115">
        <f t="shared" si="119"/>
        <v>1.1273319466722951</v>
      </c>
      <c r="DW33" s="115">
        <v>298.14999999999998</v>
      </c>
      <c r="DX33" s="138">
        <f t="shared" si="36"/>
        <v>1.004972130562064</v>
      </c>
      <c r="DY33" s="138">
        <f t="shared" si="37"/>
        <v>1.2038077156742526</v>
      </c>
      <c r="DZ33" s="138">
        <f t="shared" si="38"/>
        <v>3.0523465045901634</v>
      </c>
      <c r="EA33" s="138">
        <f t="shared" si="168"/>
        <v>4.9756658850013542</v>
      </c>
      <c r="EB33" s="115">
        <f t="shared" si="120"/>
        <v>23.314465553226508</v>
      </c>
      <c r="EC33" s="115">
        <v>30</v>
      </c>
      <c r="ED33" s="198">
        <f t="shared" ca="1" si="40"/>
        <v>125.80344444444444</v>
      </c>
      <c r="EE33" s="198">
        <v>104.83</v>
      </c>
      <c r="EF33" s="198">
        <f t="shared" ca="1" si="41"/>
        <v>0.42491111111111107</v>
      </c>
      <c r="EG33" s="199">
        <v>0.36720000000000003</v>
      </c>
      <c r="EH33" s="138">
        <f t="shared" ca="1" si="121"/>
        <v>8.7822716288253069E-2</v>
      </c>
      <c r="EI33" s="138">
        <f t="shared" ca="1" si="122"/>
        <v>8.7822716288253069E-2</v>
      </c>
      <c r="EJ33" s="115">
        <f t="shared" si="42"/>
        <v>12.832658135793279</v>
      </c>
      <c r="EK33" s="115">
        <v>435</v>
      </c>
      <c r="EL33" s="115">
        <f t="shared" ca="1" si="43"/>
        <v>445.81751764537034</v>
      </c>
      <c r="EM33" s="115">
        <f t="shared" ca="1" si="123"/>
        <v>1.0625376286360138</v>
      </c>
      <c r="EN33" s="115">
        <f t="shared" ca="1" si="124"/>
        <v>1.0658794549857362</v>
      </c>
      <c r="EO33" s="115">
        <v>298.14999999999998</v>
      </c>
      <c r="EP33" s="138">
        <f t="shared" ca="1" si="125"/>
        <v>0.33029921919469996</v>
      </c>
      <c r="EQ33" s="138">
        <f t="shared" ca="1" si="126"/>
        <v>0.3791272408569219</v>
      </c>
      <c r="ER33" s="115">
        <f t="shared" si="44"/>
        <v>0.92824538548787439</v>
      </c>
      <c r="ES33" s="115">
        <f t="shared" si="45"/>
        <v>453</v>
      </c>
      <c r="ET33" s="115">
        <f t="shared" ca="1" si="46"/>
        <v>2816.5993052117487</v>
      </c>
      <c r="EU33" s="115">
        <f t="shared" ca="1" si="47"/>
        <v>6.5855309782608691</v>
      </c>
      <c r="EV33" s="138">
        <f t="shared" ca="1" si="48"/>
        <v>0.7962246867849927</v>
      </c>
      <c r="EW33" s="138">
        <f t="shared" ca="1" si="49"/>
        <v>1.3819391070894151</v>
      </c>
      <c r="EX33" s="115">
        <v>21.47</v>
      </c>
      <c r="EY33" s="115">
        <f t="shared" ca="1" si="50"/>
        <v>123.25865169440375</v>
      </c>
      <c r="EZ33" s="115">
        <f t="shared" ca="1" si="51"/>
        <v>0.41698405956692164</v>
      </c>
      <c r="FA33" s="138">
        <f t="shared" ca="1" si="127"/>
        <v>7.6981422162274868E-2</v>
      </c>
      <c r="FB33" s="138">
        <f t="shared" ca="1" si="128"/>
        <v>7.6981422162274868E-2</v>
      </c>
      <c r="FC33" s="115">
        <f t="shared" si="52"/>
        <v>21.47</v>
      </c>
      <c r="FD33" s="115">
        <v>37</v>
      </c>
      <c r="FE33" s="115">
        <f t="shared" ca="1" si="53"/>
        <v>154.93355555555553</v>
      </c>
      <c r="FF33" s="115">
        <f t="shared" ca="1" si="54"/>
        <v>0.52252222222222222</v>
      </c>
      <c r="FG33" s="138">
        <f t="shared" ca="1" si="55"/>
        <v>8.1462225449999703E-2</v>
      </c>
      <c r="FH33" s="138">
        <f t="shared" ca="1" si="129"/>
        <v>8.1462225449999703E-2</v>
      </c>
      <c r="FI33" s="115">
        <f t="shared" si="56"/>
        <v>86.396192626953138</v>
      </c>
      <c r="FJ33" s="115">
        <f t="shared" ca="1" si="57"/>
        <v>48.069793273925789</v>
      </c>
      <c r="FK33" s="115">
        <f t="shared" ca="1" si="58"/>
        <v>0.16646099548339843</v>
      </c>
      <c r="FL33" s="138">
        <f t="shared" ca="1" si="59"/>
        <v>0.26697524818752466</v>
      </c>
      <c r="FM33" s="138">
        <f t="shared" ca="1" si="60"/>
        <v>1.1688934916599143</v>
      </c>
      <c r="FN33" s="115">
        <f t="shared" si="130"/>
        <v>86.396192626953138</v>
      </c>
      <c r="FO33" s="115">
        <f t="shared" ca="1" si="61"/>
        <v>58.268131910747961</v>
      </c>
      <c r="FP33" s="115">
        <f t="shared" ca="1" si="62"/>
        <v>0.20044101722505359</v>
      </c>
      <c r="FQ33" s="138">
        <f t="shared" ca="1" si="63"/>
        <v>0.2727806537034248</v>
      </c>
      <c r="FR33" s="138">
        <f t="shared" ca="1" si="64"/>
        <v>1.1943112064857313</v>
      </c>
      <c r="FS33" s="139">
        <f t="shared" si="131"/>
        <v>8.1608438484002779</v>
      </c>
      <c r="FT33" s="249">
        <f t="shared" si="132"/>
        <v>5.6422083448987026</v>
      </c>
      <c r="FU33" s="139">
        <f t="shared" ca="1" si="133"/>
        <v>0.96522527424369464</v>
      </c>
      <c r="FV33" s="249">
        <f t="shared" ca="1" si="134"/>
        <v>0.72716337025524647</v>
      </c>
      <c r="FW33" s="139">
        <f t="shared" ca="1" si="135"/>
        <v>0.79754928901316791</v>
      </c>
      <c r="FX33" s="249">
        <f t="shared" ca="1" si="136"/>
        <v>1.4028760186275071</v>
      </c>
      <c r="FY33" s="249">
        <f t="shared" si="65"/>
        <v>0.15000000000000002</v>
      </c>
      <c r="FZ33" s="139">
        <f t="shared" si="66"/>
        <v>1050000</v>
      </c>
      <c r="GA33" s="139">
        <f t="shared" si="137"/>
        <v>3.3757716049382713E-2</v>
      </c>
      <c r="GB33" s="139">
        <f t="shared" si="138"/>
        <v>121.52777777777777</v>
      </c>
      <c r="GC33" s="139">
        <f t="shared" si="67"/>
        <v>1050000</v>
      </c>
      <c r="GD33" s="139">
        <f t="shared" si="139"/>
        <v>6.7515432098765427E-2</v>
      </c>
      <c r="GE33" s="139">
        <f t="shared" si="140"/>
        <v>243.05555555555554</v>
      </c>
      <c r="GF33" s="139">
        <f t="shared" si="141"/>
        <v>4.5814043209876545E-2</v>
      </c>
      <c r="GG33" s="139">
        <f t="shared" si="68"/>
        <v>712500</v>
      </c>
      <c r="GH33" s="139">
        <f t="shared" si="142"/>
        <v>164.93055555555554</v>
      </c>
      <c r="GI33" s="137">
        <f t="shared" si="69"/>
        <v>63.985576071134702</v>
      </c>
      <c r="GJ33" s="137">
        <f t="shared" si="143"/>
        <v>0.23034807385608308</v>
      </c>
      <c r="GK33" s="251">
        <f t="shared" si="70"/>
        <v>37.528530732425175</v>
      </c>
      <c r="GL33" s="137">
        <f t="shared" si="164"/>
        <v>0.13510271063672954</v>
      </c>
      <c r="GM33" s="137">
        <f t="shared" ca="1" si="71"/>
        <v>10.507002820832751</v>
      </c>
      <c r="GN33" s="137">
        <f t="shared" ca="1" si="144"/>
        <v>3.7825210154997603E-2</v>
      </c>
      <c r="GO33" s="137">
        <f t="shared" ca="1" si="145"/>
        <v>0.13300003570674263</v>
      </c>
      <c r="GP33" s="137">
        <f t="shared" ca="1" si="72"/>
        <v>11.924359858885827</v>
      </c>
      <c r="GQ33" s="137">
        <f t="shared" ca="1" si="146"/>
        <v>4.2927695491988639E-2</v>
      </c>
      <c r="GR33" s="137">
        <f t="shared" ca="1" si="147"/>
        <v>0.15094126403652827</v>
      </c>
      <c r="GS33" s="140">
        <f t="shared" si="73"/>
        <v>0.11757327732390281</v>
      </c>
      <c r="GT33" s="140">
        <f t="shared" si="74"/>
        <v>8.1287295624955611E-2</v>
      </c>
      <c r="GU33" s="140">
        <f t="shared" si="148"/>
        <v>423.26379836605014</v>
      </c>
      <c r="GV33" s="140">
        <f t="shared" si="149"/>
        <v>292.63426424984021</v>
      </c>
      <c r="GW33" s="141">
        <f t="shared" ca="1" si="75"/>
        <v>9.261396350335252E-3</v>
      </c>
      <c r="GX33" s="141">
        <f t="shared" ca="1" si="76"/>
        <v>6.9771776217280443E-3</v>
      </c>
      <c r="GY33" s="141">
        <f t="shared" ca="1" si="150"/>
        <v>33.341026861206906</v>
      </c>
      <c r="GZ33" s="141">
        <f t="shared" ca="1" si="165"/>
        <v>25.117839438220958</v>
      </c>
      <c r="HA33" s="141">
        <f t="shared" ca="1" si="77"/>
        <v>1.8079411680700055E-2</v>
      </c>
      <c r="HB33" s="141">
        <f t="shared" ca="1" si="78"/>
        <v>2.1024233254540614E-2</v>
      </c>
      <c r="HC33" s="141">
        <f t="shared" ca="1" si="151"/>
        <v>65.085882050520198</v>
      </c>
      <c r="HD33" s="141">
        <f t="shared" ca="1" si="152"/>
        <v>75.687239716346213</v>
      </c>
      <c r="HE33" s="137">
        <f t="shared" si="153"/>
        <v>11.213190352990441</v>
      </c>
      <c r="HF33" s="250">
        <f t="shared" si="154"/>
        <v>10.617874229900057</v>
      </c>
      <c r="HG33" s="137">
        <v>3.0523465045901634</v>
      </c>
      <c r="HH33" s="251">
        <v>5.9895525036780164</v>
      </c>
      <c r="HI33" s="137">
        <f t="shared" ca="1" si="155"/>
        <v>1.6247992230782122</v>
      </c>
      <c r="HJ33" s="251">
        <f t="shared" ca="1" si="156"/>
        <v>2.0212797610564084</v>
      </c>
      <c r="HK33" s="137">
        <f t="shared" ca="1" si="157"/>
        <v>0.70840197049673959</v>
      </c>
      <c r="HL33" s="251">
        <f t="shared" ca="1" si="158"/>
        <v>1.2941163908011621</v>
      </c>
      <c r="HM33" s="137">
        <f t="shared" ca="1" si="159"/>
        <v>0.7962246867849927</v>
      </c>
      <c r="HN33" s="251">
        <f t="shared" ca="1" si="160"/>
        <v>1.3819391070894151</v>
      </c>
      <c r="HO33" s="137">
        <f t="shared" ca="1" si="161"/>
        <v>0.26697524818752466</v>
      </c>
      <c r="HP33" s="251">
        <f t="shared" ca="1" si="162"/>
        <v>1.1688934916599143</v>
      </c>
      <c r="JN33" s="143">
        <f t="shared" si="79"/>
        <v>19.268255459149067</v>
      </c>
      <c r="JO33" s="143">
        <f t="shared" si="80"/>
        <v>3052.3465045901635</v>
      </c>
      <c r="JP33" s="143">
        <f t="shared" si="81"/>
        <v>4975.6658850013537</v>
      </c>
      <c r="JQ33" s="143">
        <f t="shared" si="82"/>
        <v>0.92824538548787439</v>
      </c>
      <c r="JR33" s="143">
        <f t="shared" ca="1" si="83"/>
        <v>1.6110761453034126</v>
      </c>
      <c r="JS33" s="143">
        <f t="shared" si="84"/>
        <v>86.396192626953138</v>
      </c>
      <c r="JT33" s="143">
        <f t="shared" ca="1" si="85"/>
        <v>378.26707888256135</v>
      </c>
      <c r="JU33" s="143">
        <f t="shared" si="166"/>
        <v>0.22749733227038552</v>
      </c>
      <c r="JV33" s="143">
        <f t="shared" si="86"/>
        <v>0.37084607314547369</v>
      </c>
      <c r="JW33" s="143">
        <f t="shared" ca="1" si="87"/>
        <v>0.18588700151957244</v>
      </c>
      <c r="JX33" s="143">
        <f t="shared" ca="1" si="88"/>
        <v>0.32262817413604522</v>
      </c>
      <c r="JY33" s="143">
        <f t="shared" si="89"/>
        <v>0.46983154543275141</v>
      </c>
      <c r="JZ33" s="143">
        <f t="shared" si="90"/>
        <v>0.45489249362453188</v>
      </c>
      <c r="KA33" s="143">
        <f t="shared" si="91"/>
        <v>0.21462012478338258</v>
      </c>
      <c r="KB33" s="143">
        <f t="shared" si="92"/>
        <v>0.34985478598629605</v>
      </c>
      <c r="KC33" s="143">
        <f t="shared" ca="1" si="93"/>
        <v>0.42327344557933916</v>
      </c>
      <c r="KD33" s="143">
        <f t="shared" ca="1" si="94"/>
        <v>0.64024605387865796</v>
      </c>
      <c r="KE33" s="143">
        <f t="shared" ca="1" si="95"/>
        <v>0.8458357431694592</v>
      </c>
      <c r="KF33" s="143">
        <f t="shared" ca="1" si="96"/>
        <v>0.33530139496870048</v>
      </c>
      <c r="KG33" s="142">
        <f t="shared" si="97"/>
        <v>0.13510271063672954</v>
      </c>
      <c r="KH33" s="142">
        <f t="shared" ca="1" si="98"/>
        <v>0.15094126403652827</v>
      </c>
      <c r="KI33" s="142">
        <f t="shared" ca="1" si="99"/>
        <v>521.69070727777728</v>
      </c>
      <c r="KJ33" s="142">
        <f t="shared" ca="1" si="100"/>
        <v>393.4393434044074</v>
      </c>
    </row>
    <row r="34" spans="1:296" x14ac:dyDescent="0.3">
      <c r="A34" s="201">
        <v>41322</v>
      </c>
      <c r="B34" s="196">
        <v>31</v>
      </c>
      <c r="C34" s="179">
        <v>24</v>
      </c>
      <c r="D34" s="152">
        <v>4.2</v>
      </c>
      <c r="E34" s="152">
        <v>50016</v>
      </c>
      <c r="F34" s="152">
        <v>300</v>
      </c>
      <c r="G34" s="152">
        <v>11.7</v>
      </c>
      <c r="H34" s="152">
        <v>0.85</v>
      </c>
      <c r="I34" s="152">
        <v>1.4</v>
      </c>
      <c r="J34" s="152">
        <v>1.33</v>
      </c>
      <c r="K34" s="152">
        <v>0.91</v>
      </c>
      <c r="L34" s="152">
        <v>34548.69039785862</v>
      </c>
      <c r="M34" s="155">
        <v>19</v>
      </c>
      <c r="N34" s="153">
        <v>79296.13360914588</v>
      </c>
      <c r="O34" s="178">
        <v>17</v>
      </c>
      <c r="P34" s="152">
        <v>2</v>
      </c>
      <c r="Q34" s="152">
        <v>5</v>
      </c>
      <c r="R34" s="154">
        <v>400.03927612304688</v>
      </c>
      <c r="S34" s="155">
        <v>99.921275230066385</v>
      </c>
      <c r="T34" s="152">
        <v>180</v>
      </c>
      <c r="U34" s="156">
        <v>3.9468779563903809</v>
      </c>
      <c r="V34" s="178">
        <v>17</v>
      </c>
      <c r="W34" s="152">
        <v>1250</v>
      </c>
      <c r="X34" s="155">
        <v>93489.852802589536</v>
      </c>
      <c r="Y34" s="155">
        <v>6547.6717789862305</v>
      </c>
      <c r="Z34" s="155">
        <v>299.77243041992187</v>
      </c>
      <c r="AA34" s="155">
        <v>12.430012702941895</v>
      </c>
      <c r="AB34" s="155">
        <v>14.858606338500977</v>
      </c>
      <c r="AC34" s="215">
        <v>37</v>
      </c>
      <c r="AD34" s="215">
        <v>30.104335784912109</v>
      </c>
      <c r="AE34" s="254">
        <v>20</v>
      </c>
      <c r="AF34" s="254">
        <v>10</v>
      </c>
      <c r="AG34" s="217">
        <v>5000000</v>
      </c>
      <c r="AH34" s="218">
        <v>300000</v>
      </c>
      <c r="AI34" s="219">
        <v>5000000</v>
      </c>
      <c r="AJ34" s="225">
        <f t="shared" si="0"/>
        <v>300000</v>
      </c>
      <c r="AK34" s="220">
        <v>2750000</v>
      </c>
      <c r="AL34" s="226">
        <f t="shared" si="1"/>
        <v>300000</v>
      </c>
      <c r="AM34" s="221">
        <v>14.407</v>
      </c>
      <c r="BM34" s="197">
        <f t="shared" si="2"/>
        <v>6.8956642150878906</v>
      </c>
      <c r="BN34" s="196">
        <f t="shared" si="3"/>
        <v>180</v>
      </c>
      <c r="BO34" s="197">
        <f t="shared" si="4"/>
        <v>2.428593635559082</v>
      </c>
      <c r="BP34" s="196">
        <f t="shared" si="5"/>
        <v>12.727720284704439</v>
      </c>
      <c r="BQ34" s="115">
        <f t="shared" si="6"/>
        <v>659.74492511188635</v>
      </c>
      <c r="BR34" s="184">
        <f t="shared" si="7"/>
        <v>1.0041987768</v>
      </c>
      <c r="BS34" s="115">
        <f t="shared" si="8"/>
        <v>6863.8528613899143</v>
      </c>
      <c r="BT34" s="196">
        <v>900</v>
      </c>
      <c r="BU34" s="115">
        <f t="shared" si="101"/>
        <v>1.1850729520000001</v>
      </c>
      <c r="BV34" s="115">
        <f t="shared" si="102"/>
        <v>1.087440226558396</v>
      </c>
      <c r="BW34" s="115">
        <f t="shared" si="103"/>
        <v>533.00255306908298</v>
      </c>
      <c r="BX34" s="115">
        <f t="shared" si="9"/>
        <v>1282.223563450076</v>
      </c>
      <c r="BY34" s="115"/>
      <c r="BZ34" s="115">
        <f t="shared" si="10"/>
        <v>749.22101038099299</v>
      </c>
      <c r="CA34" s="115">
        <f t="shared" si="11"/>
        <v>12180.94723683578</v>
      </c>
      <c r="CB34" s="115">
        <f t="shared" si="12"/>
        <v>3304.005567047745</v>
      </c>
      <c r="CC34" s="115">
        <f t="shared" si="13"/>
        <v>1439.5287665774424</v>
      </c>
      <c r="CD34" s="129">
        <f t="shared" si="104"/>
        <v>0.28442467379460418</v>
      </c>
      <c r="CE34" s="115">
        <f t="shared" si="14"/>
        <v>17.633672377642462</v>
      </c>
      <c r="CF34" s="115">
        <f t="shared" si="15"/>
        <v>27.755909786129553</v>
      </c>
      <c r="CG34" s="115">
        <f t="shared" si="16"/>
        <v>0.02</v>
      </c>
      <c r="CH34" s="115">
        <f t="shared" si="17"/>
        <v>0.05</v>
      </c>
      <c r="CI34" s="136">
        <v>30</v>
      </c>
      <c r="CJ34" s="115">
        <f t="shared" si="18"/>
        <v>165</v>
      </c>
      <c r="CK34" s="115">
        <f t="shared" si="19"/>
        <v>453</v>
      </c>
      <c r="CL34" s="115">
        <f t="shared" si="20"/>
        <v>673.03927612304687</v>
      </c>
      <c r="CM34" s="115">
        <f t="shared" ca="1" si="21"/>
        <v>2816.5993052117487</v>
      </c>
      <c r="CN34" s="115">
        <f t="shared" ca="1" si="22"/>
        <v>125.80344444444444</v>
      </c>
      <c r="CO34" s="115">
        <f t="shared" ca="1" si="23"/>
        <v>690.58718083896258</v>
      </c>
      <c r="CP34" s="115">
        <f t="shared" ca="1" si="24"/>
        <v>2790.6388281929471</v>
      </c>
      <c r="CQ34" s="115">
        <f t="shared" si="105"/>
        <v>1.072449112508886</v>
      </c>
      <c r="CR34" s="115">
        <f t="shared" ca="1" si="25"/>
        <v>650.16363979680159</v>
      </c>
      <c r="CS34" s="115">
        <f t="shared" ca="1" si="26"/>
        <v>32.078438625049358</v>
      </c>
      <c r="CT34" s="115">
        <f t="shared" si="106"/>
        <v>1.1242677565120529</v>
      </c>
      <c r="CU34" s="115">
        <f t="shared" ca="1" si="107"/>
        <v>1.0209417982801536</v>
      </c>
      <c r="CV34" s="115">
        <f t="shared" si="108"/>
        <v>276.22101038099299</v>
      </c>
      <c r="CW34" s="115">
        <f t="shared" si="27"/>
        <v>473</v>
      </c>
      <c r="CX34" s="115">
        <f t="shared" si="28"/>
        <v>438</v>
      </c>
      <c r="CY34" s="115">
        <f t="shared" ca="1" si="109"/>
        <v>440.92156137495067</v>
      </c>
      <c r="CZ34" s="115">
        <f t="shared" ca="1" si="29"/>
        <v>232.1177147480962</v>
      </c>
      <c r="DA34" s="115">
        <v>0.21890000000000001</v>
      </c>
      <c r="DB34" s="115">
        <v>2.7E-2</v>
      </c>
      <c r="DC34" s="115">
        <v>1.06</v>
      </c>
      <c r="DD34" s="138">
        <f t="shared" si="30"/>
        <v>15.079331553581579</v>
      </c>
      <c r="DE34" s="138">
        <f t="shared" si="110"/>
        <v>15.079331553581579</v>
      </c>
      <c r="DF34" s="115">
        <f t="shared" si="31"/>
        <v>673.03927612304687</v>
      </c>
      <c r="DG34" s="115">
        <v>749.22101038099299</v>
      </c>
      <c r="DH34" s="115">
        <f t="shared" si="111"/>
        <v>1.1242677565120529</v>
      </c>
      <c r="DI34" s="115">
        <f t="shared" si="112"/>
        <v>1.1448275799952303</v>
      </c>
      <c r="DJ34" s="138">
        <f t="shared" si="32"/>
        <v>2.8647667931535663</v>
      </c>
      <c r="DK34" s="138">
        <f t="shared" si="33"/>
        <v>3.8932172563702618</v>
      </c>
      <c r="DL34" s="115">
        <f t="shared" si="113"/>
        <v>673.03927612304687</v>
      </c>
      <c r="DM34" s="115">
        <f t="shared" si="167"/>
        <v>749.22101038099299</v>
      </c>
      <c r="DN34" s="115">
        <f t="shared" si="34"/>
        <v>12.843426832747207</v>
      </c>
      <c r="DO34" s="115">
        <f t="shared" si="114"/>
        <v>1.1242677565120529</v>
      </c>
      <c r="DP34" s="115">
        <f t="shared" si="115"/>
        <v>1.1448275799952303</v>
      </c>
      <c r="DQ34" s="115">
        <v>298.14999999999998</v>
      </c>
      <c r="DR34" s="138">
        <f t="shared" si="116"/>
        <v>1.9079346842402753</v>
      </c>
      <c r="DS34" s="138">
        <f t="shared" si="117"/>
        <v>2.5928826927425943</v>
      </c>
      <c r="DT34" s="115">
        <f t="shared" si="35"/>
        <v>673.03927612304687</v>
      </c>
      <c r="DU34" s="139">
        <f t="shared" si="118"/>
        <v>6.4409978410473965</v>
      </c>
      <c r="DV34" s="115">
        <f t="shared" si="119"/>
        <v>1.1242677565120529</v>
      </c>
      <c r="DW34" s="115">
        <v>298.14999999999998</v>
      </c>
      <c r="DX34" s="138">
        <f t="shared" si="36"/>
        <v>0.95683210891329107</v>
      </c>
      <c r="DY34" s="138">
        <f t="shared" si="37"/>
        <v>1.3003345636276673</v>
      </c>
      <c r="DZ34" s="138">
        <f t="shared" si="38"/>
        <v>3.3040055670477448</v>
      </c>
      <c r="EA34" s="138">
        <f t="shared" si="168"/>
        <v>5.3170943754458655</v>
      </c>
      <c r="EB34" s="115">
        <f t="shared" si="120"/>
        <v>27.755909786129553</v>
      </c>
      <c r="EC34" s="115">
        <v>30</v>
      </c>
      <c r="ED34" s="198">
        <f t="shared" ca="1" si="40"/>
        <v>125.80344444444444</v>
      </c>
      <c r="EE34" s="198">
        <v>104.83</v>
      </c>
      <c r="EF34" s="198">
        <f t="shared" ca="1" si="41"/>
        <v>0.42491111111111107</v>
      </c>
      <c r="EG34" s="199">
        <v>0.36720000000000003</v>
      </c>
      <c r="EH34" s="138">
        <f t="shared" ca="1" si="121"/>
        <v>0.10455308893547685</v>
      </c>
      <c r="EI34" s="138">
        <f t="shared" ca="1" si="122"/>
        <v>0.10455308893547685</v>
      </c>
      <c r="EJ34" s="115">
        <f t="shared" si="42"/>
        <v>12.843426832747207</v>
      </c>
      <c r="EK34" s="115">
        <v>435</v>
      </c>
      <c r="EL34" s="115">
        <f t="shared" ca="1" si="43"/>
        <v>440.92156137495067</v>
      </c>
      <c r="EM34" s="115">
        <f t="shared" ca="1" si="123"/>
        <v>1.0628911578587432</v>
      </c>
      <c r="EN34" s="115">
        <f t="shared" ca="1" si="124"/>
        <v>1.0647126245736926</v>
      </c>
      <c r="EO34" s="115">
        <v>298.14999999999998</v>
      </c>
      <c r="EP34" s="138">
        <f t="shared" ca="1" si="125"/>
        <v>0.33068638411617629</v>
      </c>
      <c r="EQ34" s="138">
        <f t="shared" ca="1" si="126"/>
        <v>0.3571019079479727</v>
      </c>
      <c r="ER34" s="115">
        <f t="shared" si="44"/>
        <v>1.0963549878862169</v>
      </c>
      <c r="ES34" s="115">
        <f t="shared" si="45"/>
        <v>453</v>
      </c>
      <c r="ET34" s="115">
        <f t="shared" ca="1" si="46"/>
        <v>2816.5993052117487</v>
      </c>
      <c r="EU34" s="115">
        <f t="shared" ca="1" si="47"/>
        <v>6.5855309782608691</v>
      </c>
      <c r="EV34" s="138">
        <f t="shared" ca="1" si="48"/>
        <v>0.94042472010357303</v>
      </c>
      <c r="EW34" s="138">
        <f t="shared" ca="1" si="49"/>
        <v>1.4892704405909833</v>
      </c>
      <c r="EX34" s="115">
        <v>21.47</v>
      </c>
      <c r="EY34" s="115">
        <f t="shared" ca="1" si="50"/>
        <v>126.07443463049994</v>
      </c>
      <c r="EZ34" s="115">
        <f t="shared" ca="1" si="51"/>
        <v>0.42636601566738552</v>
      </c>
      <c r="FA34" s="138">
        <f t="shared" ca="1" si="127"/>
        <v>7.737974916250448E-2</v>
      </c>
      <c r="FB34" s="138">
        <f t="shared" ca="1" si="128"/>
        <v>7.737974916250448E-2</v>
      </c>
      <c r="FC34" s="115">
        <f t="shared" si="52"/>
        <v>21.47</v>
      </c>
      <c r="FD34" s="115">
        <v>37</v>
      </c>
      <c r="FE34" s="115">
        <f t="shared" ca="1" si="53"/>
        <v>154.93355555555553</v>
      </c>
      <c r="FF34" s="115">
        <f t="shared" ca="1" si="54"/>
        <v>0.52252222222222222</v>
      </c>
      <c r="FG34" s="138">
        <f t="shared" ca="1" si="55"/>
        <v>8.1462225449999703E-2</v>
      </c>
      <c r="FH34" s="138">
        <f t="shared" ca="1" si="129"/>
        <v>8.1462225449999703E-2</v>
      </c>
      <c r="FI34" s="115">
        <f t="shared" si="56"/>
        <v>83.936280517578126</v>
      </c>
      <c r="FJ34" s="115">
        <f t="shared" ca="1" si="57"/>
        <v>52.105428718778832</v>
      </c>
      <c r="FK34" s="115">
        <f t="shared" ca="1" si="58"/>
        <v>0.17990739935768976</v>
      </c>
      <c r="FL34" s="138">
        <f t="shared" ca="1" si="59"/>
        <v>0.26160568279148017</v>
      </c>
      <c r="FM34" s="138">
        <f t="shared" ca="1" si="60"/>
        <v>1.3095528173770954</v>
      </c>
      <c r="FN34" s="115">
        <f t="shared" si="130"/>
        <v>83.936280517578126</v>
      </c>
      <c r="FO34" s="115">
        <f t="shared" ca="1" si="61"/>
        <v>62.269362927330867</v>
      </c>
      <c r="FP34" s="115">
        <f t="shared" ca="1" si="62"/>
        <v>0.21377278838687472</v>
      </c>
      <c r="FQ34" s="138">
        <f t="shared" ca="1" si="63"/>
        <v>0.26722676703331011</v>
      </c>
      <c r="FR34" s="138">
        <f t="shared" ca="1" si="64"/>
        <v>1.3376909932265466</v>
      </c>
      <c r="FS34" s="139">
        <f t="shared" si="131"/>
        <v>8.9105591933802657</v>
      </c>
      <c r="FT34" s="249">
        <f t="shared" si="132"/>
        <v>5.8690199217654513</v>
      </c>
      <c r="FU34" s="139">
        <f t="shared" ca="1" si="133"/>
        <v>0.74137666895600263</v>
      </c>
      <c r="FV34" s="249">
        <f t="shared" ca="1" si="134"/>
        <v>0.85106343313911514</v>
      </c>
      <c r="FW34" s="139">
        <f t="shared" ca="1" si="135"/>
        <v>0.94196332805790783</v>
      </c>
      <c r="FX34" s="249">
        <f t="shared" ca="1" si="136"/>
        <v>1.5133261401529392</v>
      </c>
      <c r="FY34" s="249">
        <f t="shared" si="65"/>
        <v>0.15000000000000002</v>
      </c>
      <c r="FZ34" s="139">
        <f t="shared" si="66"/>
        <v>1050000</v>
      </c>
      <c r="GA34" s="139">
        <f t="shared" si="137"/>
        <v>3.3757716049382713E-2</v>
      </c>
      <c r="GB34" s="139">
        <f t="shared" si="138"/>
        <v>121.52777777777777</v>
      </c>
      <c r="GC34" s="139">
        <f t="shared" si="67"/>
        <v>1050000</v>
      </c>
      <c r="GD34" s="139">
        <f t="shared" si="139"/>
        <v>6.7515432098765427E-2</v>
      </c>
      <c r="GE34" s="139">
        <f t="shared" si="140"/>
        <v>243.05555555555554</v>
      </c>
      <c r="GF34" s="139">
        <f t="shared" si="141"/>
        <v>4.5814043209876545E-2</v>
      </c>
      <c r="GG34" s="139">
        <f t="shared" si="68"/>
        <v>712500</v>
      </c>
      <c r="GH34" s="139">
        <f t="shared" si="142"/>
        <v>164.93055555555554</v>
      </c>
      <c r="GI34" s="137">
        <f t="shared" si="69"/>
        <v>63.478388972653413</v>
      </c>
      <c r="GJ34" s="137">
        <f t="shared" si="143"/>
        <v>0.22852220030155046</v>
      </c>
      <c r="GK34" s="251">
        <f t="shared" si="70"/>
        <v>36.658379740149236</v>
      </c>
      <c r="GL34" s="137">
        <f t="shared" si="164"/>
        <v>0.13197016706453621</v>
      </c>
      <c r="GM34" s="137">
        <f t="shared" ca="1" si="71"/>
        <v>10.947972256304652</v>
      </c>
      <c r="GN34" s="137">
        <f t="shared" ca="1" si="144"/>
        <v>3.9412700122696431E-2</v>
      </c>
      <c r="GO34" s="137">
        <f t="shared" ca="1" si="145"/>
        <v>0.13858192729499449</v>
      </c>
      <c r="GP34" s="137">
        <f t="shared" ca="1" si="72"/>
        <v>12.566281011808684</v>
      </c>
      <c r="GQ34" s="137">
        <f t="shared" ca="1" si="146"/>
        <v>4.5238611642510904E-2</v>
      </c>
      <c r="GR34" s="137">
        <f t="shared" ca="1" si="147"/>
        <v>0.15906684825074158</v>
      </c>
      <c r="GS34" s="140">
        <f t="shared" si="73"/>
        <v>0.12837442629902948</v>
      </c>
      <c r="GT34" s="140">
        <f t="shared" si="74"/>
        <v>8.4554970012874861E-2</v>
      </c>
      <c r="GU34" s="140">
        <f t="shared" si="148"/>
        <v>462.14793467650611</v>
      </c>
      <c r="GV34" s="140">
        <f t="shared" si="149"/>
        <v>304.39789204634951</v>
      </c>
      <c r="GW34" s="141">
        <f t="shared" ca="1" si="75"/>
        <v>7.1135551039863201E-3</v>
      </c>
      <c r="GX34" s="141">
        <f t="shared" ca="1" si="76"/>
        <v>8.1660064069026643E-3</v>
      </c>
      <c r="GY34" s="141">
        <f t="shared" ca="1" si="150"/>
        <v>25.608798374350751</v>
      </c>
      <c r="GZ34" s="141">
        <f t="shared" ca="1" si="165"/>
        <v>29.39762306484959</v>
      </c>
      <c r="HA34" s="141">
        <f t="shared" ca="1" si="77"/>
        <v>1.7054628472334517E-2</v>
      </c>
      <c r="HB34" s="141">
        <f t="shared" ca="1" si="78"/>
        <v>2.3444901054516812E-2</v>
      </c>
      <c r="HC34" s="141">
        <f t="shared" ca="1" si="151"/>
        <v>61.396662500404261</v>
      </c>
      <c r="HD34" s="141">
        <f t="shared" ca="1" si="152"/>
        <v>84.401643796260529</v>
      </c>
      <c r="HE34" s="137">
        <f t="shared" si="153"/>
        <v>12.214564760428011</v>
      </c>
      <c r="HF34" s="250">
        <f t="shared" si="154"/>
        <v>11.186114297211317</v>
      </c>
      <c r="HG34" s="137">
        <v>3.3040055670477448</v>
      </c>
      <c r="HH34" s="251">
        <v>7.0581098359973495</v>
      </c>
      <c r="HI34" s="137">
        <f t="shared" ca="1" si="155"/>
        <v>1.5508327762923027</v>
      </c>
      <c r="HJ34" s="251">
        <f t="shared" ca="1" si="156"/>
        <v>2.2357807847946214</v>
      </c>
      <c r="HK34" s="137">
        <f t="shared" ca="1" si="157"/>
        <v>0.83587163116809615</v>
      </c>
      <c r="HL34" s="251">
        <f t="shared" ca="1" si="158"/>
        <v>1.3847173516555065</v>
      </c>
      <c r="HM34" s="137">
        <f t="shared" ca="1" si="159"/>
        <v>0.94042472010357303</v>
      </c>
      <c r="HN34" s="251">
        <f t="shared" ca="1" si="160"/>
        <v>1.4892704405909833</v>
      </c>
      <c r="HO34" s="137">
        <f t="shared" ca="1" si="161"/>
        <v>0.26160568279148017</v>
      </c>
      <c r="HP34" s="251">
        <f t="shared" ca="1" si="162"/>
        <v>1.3095528173770954</v>
      </c>
      <c r="JN34" s="143">
        <f t="shared" si="79"/>
        <v>19.284424673794604</v>
      </c>
      <c r="JO34" s="143">
        <f t="shared" si="80"/>
        <v>3304.005567047745</v>
      </c>
      <c r="JP34" s="143">
        <f t="shared" si="81"/>
        <v>5317.0943754458658</v>
      </c>
      <c r="JQ34" s="143">
        <f t="shared" si="82"/>
        <v>1.0963549878862169</v>
      </c>
      <c r="JR34" s="143">
        <f t="shared" ca="1" si="83"/>
        <v>1.7362039097330455</v>
      </c>
      <c r="JS34" s="143">
        <f t="shared" si="84"/>
        <v>83.936280517578126</v>
      </c>
      <c r="JT34" s="143">
        <f t="shared" ca="1" si="85"/>
        <v>420.17050799145875</v>
      </c>
      <c r="JU34" s="143">
        <f t="shared" si="166"/>
        <v>0.23225471822978594</v>
      </c>
      <c r="JV34" s="143">
        <f t="shared" si="86"/>
        <v>0.3737645808732119</v>
      </c>
      <c r="JW34" s="143">
        <f t="shared" ca="1" si="87"/>
        <v>0.20708807023085385</v>
      </c>
      <c r="JX34" s="143">
        <f t="shared" ca="1" si="88"/>
        <v>0.32794771872848438</v>
      </c>
      <c r="JY34" s="143">
        <f t="shared" si="89"/>
        <v>0.36496183394812431</v>
      </c>
      <c r="JZ34" s="143">
        <f t="shared" si="90"/>
        <v>0.52283840244641444</v>
      </c>
      <c r="KA34" s="143">
        <f t="shared" si="91"/>
        <v>0.21910822474508107</v>
      </c>
      <c r="KB34" s="143">
        <f t="shared" si="92"/>
        <v>0.35260809516340741</v>
      </c>
      <c r="KC34" s="143">
        <f t="shared" ca="1" si="93"/>
        <v>0.52995563926258737</v>
      </c>
      <c r="KD34" s="143">
        <f t="shared" ca="1" si="94"/>
        <v>0.61934397194611657</v>
      </c>
      <c r="KE34" s="143">
        <f t="shared" ca="1" si="95"/>
        <v>0.87932505855513321</v>
      </c>
      <c r="KF34" s="143">
        <f t="shared" ca="1" si="96"/>
        <v>0.27817822862277419</v>
      </c>
      <c r="KG34" s="142">
        <f t="shared" si="97"/>
        <v>0.13197016706453621</v>
      </c>
      <c r="KH34" s="142">
        <f t="shared" ca="1" si="98"/>
        <v>0.15906684825074158</v>
      </c>
      <c r="KI34" s="142">
        <f t="shared" ca="1" si="99"/>
        <v>549.15339555126116</v>
      </c>
      <c r="KJ34" s="142">
        <f t="shared" ca="1" si="100"/>
        <v>418.19715890745965</v>
      </c>
    </row>
    <row r="35" spans="1:296" x14ac:dyDescent="0.3">
      <c r="A35" s="201">
        <v>41323</v>
      </c>
      <c r="B35" s="196">
        <v>32</v>
      </c>
      <c r="C35" s="179">
        <v>24</v>
      </c>
      <c r="D35" s="152">
        <v>4.2</v>
      </c>
      <c r="E35" s="152">
        <v>50016</v>
      </c>
      <c r="F35" s="152">
        <v>300</v>
      </c>
      <c r="G35" s="152">
        <v>11.7</v>
      </c>
      <c r="H35" s="152">
        <v>0.85</v>
      </c>
      <c r="I35" s="152">
        <v>1.4</v>
      </c>
      <c r="J35" s="152">
        <v>1.33</v>
      </c>
      <c r="K35" s="152">
        <v>0.91</v>
      </c>
      <c r="L35" s="152">
        <v>33449.460726432502</v>
      </c>
      <c r="M35" s="155">
        <v>19</v>
      </c>
      <c r="N35" s="153">
        <v>74706.482500635087</v>
      </c>
      <c r="O35" s="178">
        <v>17</v>
      </c>
      <c r="P35" s="152">
        <v>2</v>
      </c>
      <c r="Q35" s="152">
        <v>5</v>
      </c>
      <c r="R35" s="154">
        <v>405.66888427734375</v>
      </c>
      <c r="S35" s="155">
        <v>83.338266414939426</v>
      </c>
      <c r="T35" s="152">
        <v>180</v>
      </c>
      <c r="U35" s="156">
        <v>3.2839705944061279</v>
      </c>
      <c r="V35" s="178">
        <v>17</v>
      </c>
      <c r="W35" s="152">
        <v>1250</v>
      </c>
      <c r="X35" s="155">
        <v>86197.807862773538</v>
      </c>
      <c r="Y35" s="155">
        <v>6296.7086555492133</v>
      </c>
      <c r="Z35" s="155">
        <v>263.836181640625</v>
      </c>
      <c r="AA35" s="155">
        <v>12.144220352172852</v>
      </c>
      <c r="AB35" s="155">
        <v>14.488905906677246</v>
      </c>
      <c r="AC35" s="215">
        <v>37</v>
      </c>
      <c r="AD35" s="215">
        <v>30.018655776977539</v>
      </c>
      <c r="AE35" s="254">
        <v>20</v>
      </c>
      <c r="AF35" s="254">
        <v>10</v>
      </c>
      <c r="AG35" s="217">
        <v>5000000</v>
      </c>
      <c r="AH35" s="218">
        <v>300000</v>
      </c>
      <c r="AI35" s="219">
        <v>5000000</v>
      </c>
      <c r="AJ35" s="225">
        <f t="shared" si="0"/>
        <v>300000</v>
      </c>
      <c r="AK35" s="220">
        <v>2750000</v>
      </c>
      <c r="AL35" s="226">
        <f t="shared" si="1"/>
        <v>300000</v>
      </c>
      <c r="AM35" s="221">
        <v>14.407</v>
      </c>
      <c r="BK35" s="283"/>
      <c r="BM35" s="197">
        <f t="shared" si="2"/>
        <v>6.9813442230224609</v>
      </c>
      <c r="BN35" s="196">
        <f t="shared" si="3"/>
        <v>180</v>
      </c>
      <c r="BO35" s="197">
        <f t="shared" si="4"/>
        <v>2.3446855545043945</v>
      </c>
      <c r="BP35" s="196">
        <f t="shared" si="5"/>
        <v>12.721747621066559</v>
      </c>
      <c r="BQ35" s="115">
        <f t="shared" si="6"/>
        <v>659.74492511188635</v>
      </c>
      <c r="BR35" s="184">
        <f t="shared" si="7"/>
        <v>1.0041987768</v>
      </c>
      <c r="BS35" s="115">
        <f t="shared" si="8"/>
        <v>6863.8528613899143</v>
      </c>
      <c r="BT35" s="196">
        <v>900</v>
      </c>
      <c r="BU35" s="115">
        <f t="shared" si="101"/>
        <v>1.1850729520000001</v>
      </c>
      <c r="BV35" s="115">
        <f t="shared" si="102"/>
        <v>1.0853774173436059</v>
      </c>
      <c r="BW35" s="115">
        <f t="shared" si="103"/>
        <v>524.88738344565763</v>
      </c>
      <c r="BX35" s="115">
        <f t="shared" si="9"/>
        <v>1262.7012147246623</v>
      </c>
      <c r="BY35" s="115"/>
      <c r="BZ35" s="115">
        <f t="shared" si="10"/>
        <v>737.81383127900472</v>
      </c>
      <c r="CA35" s="115">
        <f t="shared" si="11"/>
        <v>11989.858559940487</v>
      </c>
      <c r="CB35" s="115">
        <f t="shared" si="12"/>
        <v>3112.7701041931286</v>
      </c>
      <c r="CC35" s="115">
        <f t="shared" si="13"/>
        <v>1393.7275302680209</v>
      </c>
      <c r="CD35" s="129">
        <f t="shared" si="104"/>
        <v>0.27537518343417938</v>
      </c>
      <c r="CE35" s="115">
        <f t="shared" si="14"/>
        <v>15.519775390625</v>
      </c>
      <c r="CF35" s="115">
        <f t="shared" si="15"/>
        <v>23.149518448594286</v>
      </c>
      <c r="CG35" s="115">
        <f t="shared" si="16"/>
        <v>0.02</v>
      </c>
      <c r="CH35" s="115">
        <f t="shared" si="17"/>
        <v>0.05</v>
      </c>
      <c r="CI35" s="136">
        <v>30</v>
      </c>
      <c r="CJ35" s="115">
        <f t="shared" si="18"/>
        <v>165</v>
      </c>
      <c r="CK35" s="115">
        <f t="shared" si="19"/>
        <v>453</v>
      </c>
      <c r="CL35" s="115">
        <f t="shared" si="20"/>
        <v>678.66888427734375</v>
      </c>
      <c r="CM35" s="115">
        <f t="shared" ca="1" si="21"/>
        <v>2816.5993052117487</v>
      </c>
      <c r="CN35" s="115">
        <f t="shared" ca="1" si="22"/>
        <v>125.80344444444444</v>
      </c>
      <c r="CO35" s="115">
        <f t="shared" ca="1" si="23"/>
        <v>690.58718083896258</v>
      </c>
      <c r="CP35" s="115">
        <f t="shared" ca="1" si="24"/>
        <v>2790.6388281929471</v>
      </c>
      <c r="CQ35" s="115">
        <f t="shared" si="105"/>
        <v>1.072449112508886</v>
      </c>
      <c r="CR35" s="115">
        <f t="shared" ca="1" si="25"/>
        <v>540.96384490120579</v>
      </c>
      <c r="CS35" s="115">
        <f t="shared" ca="1" si="26"/>
        <v>26.703158295290727</v>
      </c>
      <c r="CT35" s="115">
        <f t="shared" si="106"/>
        <v>1.1257814879440879</v>
      </c>
      <c r="CU35" s="115">
        <f t="shared" ca="1" si="107"/>
        <v>1.0209866029613945</v>
      </c>
      <c r="CV35" s="115">
        <f t="shared" si="108"/>
        <v>264.81383127900472</v>
      </c>
      <c r="CW35" s="115">
        <f t="shared" si="27"/>
        <v>473</v>
      </c>
      <c r="CX35" s="115">
        <f t="shared" si="28"/>
        <v>438</v>
      </c>
      <c r="CY35" s="115">
        <f t="shared" ca="1" si="109"/>
        <v>446.29684170470927</v>
      </c>
      <c r="CZ35" s="115">
        <f t="shared" ca="1" si="29"/>
        <v>232.37204257263448</v>
      </c>
      <c r="DA35" s="115">
        <v>0.21890000000000001</v>
      </c>
      <c r="DB35" s="115">
        <v>2.7E-2</v>
      </c>
      <c r="DC35" s="115">
        <v>1.06</v>
      </c>
      <c r="DD35" s="138">
        <f t="shared" si="30"/>
        <v>14.599555085122551</v>
      </c>
      <c r="DE35" s="138">
        <f t="shared" si="110"/>
        <v>14.599555085122551</v>
      </c>
      <c r="DF35" s="115">
        <f t="shared" si="31"/>
        <v>678.66888427734375</v>
      </c>
      <c r="DG35" s="115">
        <v>737.81383127900472</v>
      </c>
      <c r="DH35" s="115">
        <f t="shared" si="111"/>
        <v>1.1257814879440879</v>
      </c>
      <c r="DI35" s="115">
        <f t="shared" si="112"/>
        <v>1.1417439968453797</v>
      </c>
      <c r="DJ35" s="138">
        <f t="shared" si="32"/>
        <v>2.9355481250820747</v>
      </c>
      <c r="DK35" s="138">
        <f t="shared" si="33"/>
        <v>3.730535340570817</v>
      </c>
      <c r="DL35" s="115">
        <f t="shared" si="113"/>
        <v>678.66888427734375</v>
      </c>
      <c r="DM35" s="115">
        <f t="shared" si="167"/>
        <v>737.81383127900472</v>
      </c>
      <c r="DN35" s="115">
        <f t="shared" si="34"/>
        <v>12.837399872167163</v>
      </c>
      <c r="DO35" s="115">
        <f t="shared" si="114"/>
        <v>1.1257814879440879</v>
      </c>
      <c r="DP35" s="115">
        <f t="shared" si="115"/>
        <v>1.1417439968453797</v>
      </c>
      <c r="DQ35" s="115">
        <v>298.14999999999998</v>
      </c>
      <c r="DR35" s="138">
        <f t="shared" si="116"/>
        <v>1.955075051304662</v>
      </c>
      <c r="DS35" s="138">
        <f t="shared" si="117"/>
        <v>2.4845365368201642</v>
      </c>
      <c r="DT35" s="115">
        <f t="shared" si="35"/>
        <v>678.66888427734375</v>
      </c>
      <c r="DU35" s="139">
        <f t="shared" si="118"/>
        <v>6.4379753112670155</v>
      </c>
      <c r="DV35" s="115">
        <f t="shared" si="119"/>
        <v>1.1257814879440879</v>
      </c>
      <c r="DW35" s="115">
        <v>298.14999999999998</v>
      </c>
      <c r="DX35" s="138">
        <f t="shared" si="36"/>
        <v>0.980473073777413</v>
      </c>
      <c r="DY35" s="138">
        <f t="shared" si="37"/>
        <v>1.2459988037506529</v>
      </c>
      <c r="DZ35" s="138">
        <f t="shared" si="38"/>
        <v>3.1127701041931286</v>
      </c>
      <c r="EA35" s="138">
        <f t="shared" si="168"/>
        <v>5.1260056985505731</v>
      </c>
      <c r="EB35" s="115">
        <f t="shared" si="120"/>
        <v>23.149518448594286</v>
      </c>
      <c r="EC35" s="115">
        <v>30</v>
      </c>
      <c r="ED35" s="198">
        <f t="shared" ca="1" si="40"/>
        <v>125.80344444444444</v>
      </c>
      <c r="EE35" s="198">
        <v>104.83</v>
      </c>
      <c r="EF35" s="198">
        <f t="shared" ref="EF35:EF62" ca="1" si="169">FORECAST(EC35,OFFSET(KnownYSAC,MATCH(EC35,KnownXSAC,1)-1,0,2),OFFSET(KnownXSAC,MATCH(EC35,KnownXSAC,1)-1,0,2))</f>
        <v>0.42491111111111107</v>
      </c>
      <c r="EG35" s="199">
        <v>0.36720000000000003</v>
      </c>
      <c r="EH35" s="138">
        <f t="shared" ca="1" si="121"/>
        <v>8.7201380888579719E-2</v>
      </c>
      <c r="EI35" s="138">
        <f t="shared" ca="1" si="122"/>
        <v>8.7201380888579719E-2</v>
      </c>
      <c r="EJ35" s="115">
        <f t="shared" ref="EJ35:EJ62" si="170">DN35</f>
        <v>12.837399872167163</v>
      </c>
      <c r="EK35" s="115">
        <v>435</v>
      </c>
      <c r="EL35" s="115">
        <f t="shared" ref="EL35:EL62" ca="1" si="171">CY35</f>
        <v>446.29684170470927</v>
      </c>
      <c r="EM35" s="115">
        <f t="shared" ca="1" si="123"/>
        <v>1.0625025968718707</v>
      </c>
      <c r="EN35" s="115">
        <f t="shared" ca="1" si="124"/>
        <v>1.0659939684956945</v>
      </c>
      <c r="EO35" s="115">
        <v>298.14999999999998</v>
      </c>
      <c r="EP35" s="138">
        <f t="shared" ca="1" si="125"/>
        <v>0.33041037257953815</v>
      </c>
      <c r="EQ35" s="138">
        <f t="shared" ca="1" si="126"/>
        <v>0.38148307938086723</v>
      </c>
      <c r="ER35" s="115">
        <f t="shared" si="44"/>
        <v>0.91221405400170219</v>
      </c>
      <c r="ES35" s="115">
        <f t="shared" ref="ES35:ES62" si="172">CK35</f>
        <v>453</v>
      </c>
      <c r="ET35" s="115">
        <f t="shared" ca="1" si="46"/>
        <v>2816.5993052117487</v>
      </c>
      <c r="EU35" s="115">
        <f t="shared" ca="1" si="47"/>
        <v>6.5855309782608691</v>
      </c>
      <c r="EV35" s="138">
        <f t="shared" ca="1" si="48"/>
        <v>0.78247342866846037</v>
      </c>
      <c r="EW35" s="138">
        <f t="shared" ca="1" si="49"/>
        <v>1.4290190736506916</v>
      </c>
      <c r="EX35" s="115">
        <v>21.47</v>
      </c>
      <c r="EY35" s="115">
        <f t="shared" ca="1" si="50"/>
        <v>125.71585427729289</v>
      </c>
      <c r="EZ35" s="115">
        <f t="shared" ca="1" si="51"/>
        <v>0.42517125555674234</v>
      </c>
      <c r="FA35" s="138">
        <f t="shared" ca="1" si="127"/>
        <v>7.7329023577587197E-2</v>
      </c>
      <c r="FB35" s="138">
        <f t="shared" ca="1" si="128"/>
        <v>7.7329023577587197E-2</v>
      </c>
      <c r="FC35" s="115">
        <f t="shared" si="52"/>
        <v>21.47</v>
      </c>
      <c r="FD35" s="115">
        <v>37</v>
      </c>
      <c r="FE35" s="115">
        <f t="shared" ca="1" si="53"/>
        <v>154.93355555555553</v>
      </c>
      <c r="FF35" s="115">
        <f t="shared" ca="1" si="54"/>
        <v>0.52252222222222222</v>
      </c>
      <c r="FG35" s="138">
        <f t="shared" ca="1" si="55"/>
        <v>8.1462225449999703E-2</v>
      </c>
      <c r="FH35" s="138">
        <f t="shared" ca="1" si="129"/>
        <v>8.1462225449999703E-2</v>
      </c>
      <c r="FI35" s="115">
        <f t="shared" si="56"/>
        <v>73.874130859375001</v>
      </c>
      <c r="FJ35" s="115">
        <f t="shared" ca="1" si="57"/>
        <v>50.909355976104742</v>
      </c>
      <c r="FK35" s="115">
        <f t="shared" ca="1" si="58"/>
        <v>0.17592218379974364</v>
      </c>
      <c r="FL35" s="138">
        <f t="shared" ca="1" si="59"/>
        <v>0.2296626222136752</v>
      </c>
      <c r="FM35" s="138">
        <f t="shared" ca="1" si="60"/>
        <v>1.2878688134856511</v>
      </c>
      <c r="FN35" s="115">
        <f t="shared" si="130"/>
        <v>73.874130859375001</v>
      </c>
      <c r="FO35" s="115">
        <f t="shared" ca="1" si="61"/>
        <v>60.7221255423228</v>
      </c>
      <c r="FP35" s="115">
        <f t="shared" ca="1" si="62"/>
        <v>0.20861752125422159</v>
      </c>
      <c r="FQ35" s="138">
        <f t="shared" ca="1" si="63"/>
        <v>0.23443893228986878</v>
      </c>
      <c r="FR35" s="138">
        <f t="shared" ca="1" si="64"/>
        <v>1.3146527138494812</v>
      </c>
      <c r="FS35" s="139">
        <f t="shared" si="131"/>
        <v>8.5512368558473479</v>
      </c>
      <c r="FT35" s="249">
        <f t="shared" si="132"/>
        <v>5.7430140460011607</v>
      </c>
      <c r="FU35" s="139">
        <f t="shared" ca="1" si="133"/>
        <v>0.92939263094524338</v>
      </c>
      <c r="FV35" s="249">
        <f t="shared" ca="1" si="134"/>
        <v>0.76123576467718501</v>
      </c>
      <c r="FW35" s="139">
        <f t="shared" ca="1" si="135"/>
        <v>0.78311653687224136</v>
      </c>
      <c r="FX35" s="249">
        <f t="shared" ca="1" si="136"/>
        <v>1.4516697721421095</v>
      </c>
      <c r="FY35" s="249">
        <f t="shared" si="65"/>
        <v>0.15000000000000002</v>
      </c>
      <c r="FZ35" s="139">
        <f t="shared" si="66"/>
        <v>1050000</v>
      </c>
      <c r="GA35" s="139">
        <f t="shared" si="137"/>
        <v>3.3757716049382713E-2</v>
      </c>
      <c r="GB35" s="139">
        <f t="shared" si="138"/>
        <v>121.52777777777777</v>
      </c>
      <c r="GC35" s="139">
        <f t="shared" si="67"/>
        <v>1050000</v>
      </c>
      <c r="GD35" s="139">
        <f t="shared" si="139"/>
        <v>6.7515432098765427E-2</v>
      </c>
      <c r="GE35" s="139">
        <f t="shared" si="140"/>
        <v>243.05555555555554</v>
      </c>
      <c r="GF35" s="139">
        <f t="shared" si="141"/>
        <v>4.5814043209876545E-2</v>
      </c>
      <c r="GG35" s="139">
        <f t="shared" si="68"/>
        <v>712500</v>
      </c>
      <c r="GH35" s="139">
        <f t="shared" si="142"/>
        <v>164.93055555555554</v>
      </c>
      <c r="GI35" s="137">
        <f t="shared" si="69"/>
        <v>64.830057334091293</v>
      </c>
      <c r="GJ35" s="137">
        <f t="shared" si="143"/>
        <v>0.23338820640272681</v>
      </c>
      <c r="GK35" s="251">
        <f t="shared" si="70"/>
        <v>37.13372452218735</v>
      </c>
      <c r="GL35" s="137">
        <f t="shared" si="164"/>
        <v>0.1336814082798734</v>
      </c>
      <c r="GM35" s="137">
        <f t="shared" ca="1" si="71"/>
        <v>10.413045570039477</v>
      </c>
      <c r="GN35" s="137">
        <f t="shared" ca="1" si="144"/>
        <v>3.7486964052141823E-2</v>
      </c>
      <c r="GO35" s="137">
        <f t="shared" ca="1" si="145"/>
        <v>0.13181070341822021</v>
      </c>
      <c r="GP35" s="137">
        <f t="shared" ca="1" si="72"/>
        <v>12.224726661587068</v>
      </c>
      <c r="GQ35" s="137">
        <f t="shared" ca="1" si="146"/>
        <v>4.4009015981713098E-2</v>
      </c>
      <c r="GR35" s="137">
        <f t="shared" ca="1" si="147"/>
        <v>0.15474337546312622</v>
      </c>
      <c r="GS35" s="140">
        <f t="shared" si="73"/>
        <v>0.12319766938219275</v>
      </c>
      <c r="GT35" s="140">
        <f t="shared" si="74"/>
        <v>8.2739603360738725E-2</v>
      </c>
      <c r="GU35" s="140">
        <f t="shared" si="148"/>
        <v>443.51160977589387</v>
      </c>
      <c r="GV35" s="140">
        <f t="shared" si="149"/>
        <v>297.86257209865943</v>
      </c>
      <c r="GW35" s="141">
        <f t="shared" ca="1" si="75"/>
        <v>8.917579916262729E-3</v>
      </c>
      <c r="GX35" s="141">
        <f t="shared" ca="1" si="76"/>
        <v>7.3041043586949995E-3</v>
      </c>
      <c r="GY35" s="141">
        <f t="shared" ca="1" si="150"/>
        <v>32.103287698545827</v>
      </c>
      <c r="GZ35" s="141">
        <f t="shared" ca="1" si="165"/>
        <v>26.294775691302</v>
      </c>
      <c r="HA35" s="141">
        <f t="shared" ca="1" si="77"/>
        <v>1.7558327664564971E-2</v>
      </c>
      <c r="HB35" s="141">
        <f t="shared" ca="1" si="78"/>
        <v>2.1830939049961633E-2</v>
      </c>
      <c r="HC35" s="141">
        <f t="shared" ca="1" si="151"/>
        <v>63.209979592433896</v>
      </c>
      <c r="HD35" s="141">
        <f t="shared" ca="1" si="152"/>
        <v>78.591380579861877</v>
      </c>
      <c r="HE35" s="137">
        <f t="shared" si="153"/>
        <v>11.664006960040476</v>
      </c>
      <c r="HF35" s="250">
        <f t="shared" si="154"/>
        <v>10.869019744551734</v>
      </c>
      <c r="HG35" s="137">
        <v>3.1127701041931286</v>
      </c>
      <c r="HH35" s="251">
        <v>6.4770375035634844</v>
      </c>
      <c r="HI35" s="137">
        <f t="shared" ca="1" si="155"/>
        <v>1.5735919719237947</v>
      </c>
      <c r="HJ35" s="251">
        <f t="shared" ca="1" si="156"/>
        <v>2.1030534574392972</v>
      </c>
      <c r="HK35" s="137">
        <f t="shared" ca="1" si="157"/>
        <v>0.69527204777988061</v>
      </c>
      <c r="HL35" s="251">
        <f t="shared" ca="1" si="158"/>
        <v>1.3418176927621119</v>
      </c>
      <c r="HM35" s="137">
        <f t="shared" ca="1" si="159"/>
        <v>0.78247342866846037</v>
      </c>
      <c r="HN35" s="251">
        <f t="shared" ca="1" si="160"/>
        <v>1.4290190736506916</v>
      </c>
      <c r="HO35" s="137">
        <f t="shared" ca="1" si="161"/>
        <v>0.2296626222136752</v>
      </c>
      <c r="HP35" s="251">
        <f t="shared" ca="1" si="162"/>
        <v>1.2878688134856511</v>
      </c>
      <c r="JN35" s="143">
        <f t="shared" si="79"/>
        <v>19.275375183434178</v>
      </c>
      <c r="JO35" s="143">
        <f t="shared" si="80"/>
        <v>3112.7701041931286</v>
      </c>
      <c r="JP35" s="143">
        <f t="shared" si="81"/>
        <v>5126.0056985505726</v>
      </c>
      <c r="JQ35" s="143">
        <f t="shared" si="82"/>
        <v>0.91221405400170219</v>
      </c>
      <c r="JR35" s="143">
        <f t="shared" ca="1" si="83"/>
        <v>1.6659623632702127</v>
      </c>
      <c r="JS35" s="143">
        <f t="shared" si="84"/>
        <v>73.874130859375001</v>
      </c>
      <c r="JT35" s="143">
        <f t="shared" ca="1" si="85"/>
        <v>414.26065913603384</v>
      </c>
      <c r="JU35" s="143">
        <f t="shared" si="166"/>
        <v>0.22600252481714717</v>
      </c>
      <c r="JV35" s="143">
        <f t="shared" si="86"/>
        <v>0.37217339903738555</v>
      </c>
      <c r="JW35" s="143">
        <f t="shared" ca="1" si="87"/>
        <v>0.17796051412078095</v>
      </c>
      <c r="JX35" s="143">
        <f t="shared" ca="1" si="88"/>
        <v>0.32500652382284512</v>
      </c>
      <c r="JY35" s="143">
        <f t="shared" si="89"/>
        <v>0.38066452280985513</v>
      </c>
      <c r="JZ35" s="143">
        <f t="shared" si="90"/>
        <v>0.4860712229099261</v>
      </c>
      <c r="KA35" s="143">
        <f t="shared" si="91"/>
        <v>0.21320992907278033</v>
      </c>
      <c r="KB35" s="143">
        <f t="shared" si="92"/>
        <v>0.35110698022394871</v>
      </c>
      <c r="KC35" s="143">
        <f t="shared" ca="1" si="93"/>
        <v>0.4279480294515059</v>
      </c>
      <c r="KD35" s="143">
        <f t="shared" ca="1" si="94"/>
        <v>0.63803308851498486</v>
      </c>
      <c r="KE35" s="143">
        <f t="shared" ca="1" si="95"/>
        <v>0.901225768943415</v>
      </c>
      <c r="KF35" s="143">
        <f t="shared" ca="1" si="96"/>
        <v>0.29350852540065603</v>
      </c>
      <c r="KG35" s="142">
        <f t="shared" si="97"/>
        <v>0.1336814082798734</v>
      </c>
      <c r="KH35" s="142">
        <f t="shared" ca="1" si="98"/>
        <v>0.15474337546312622</v>
      </c>
      <c r="KI35" s="142">
        <f t="shared" ca="1" si="99"/>
        <v>538.82487706687357</v>
      </c>
      <c r="KJ35" s="142">
        <f t="shared" ca="1" si="100"/>
        <v>402.74872836982331</v>
      </c>
    </row>
    <row r="36" spans="1:296" x14ac:dyDescent="0.3">
      <c r="A36" s="201">
        <v>41326</v>
      </c>
      <c r="B36" s="196">
        <v>33</v>
      </c>
      <c r="C36" s="179">
        <v>24</v>
      </c>
      <c r="D36" s="152">
        <v>4.2</v>
      </c>
      <c r="E36" s="152">
        <v>50016</v>
      </c>
      <c r="F36" s="152">
        <v>300</v>
      </c>
      <c r="G36" s="152">
        <v>11.7</v>
      </c>
      <c r="H36" s="152">
        <v>0.85</v>
      </c>
      <c r="I36" s="152">
        <v>1.4</v>
      </c>
      <c r="J36" s="152">
        <v>1.33</v>
      </c>
      <c r="K36" s="152">
        <v>0.91</v>
      </c>
      <c r="L36" s="152">
        <v>32821.180951595306</v>
      </c>
      <c r="M36" s="155">
        <v>19</v>
      </c>
      <c r="N36" s="153">
        <v>72061.889999091625</v>
      </c>
      <c r="O36" s="178">
        <v>17</v>
      </c>
      <c r="P36" s="152">
        <v>2</v>
      </c>
      <c r="Q36" s="152">
        <v>5</v>
      </c>
      <c r="R36" s="154">
        <v>413.59237670898437</v>
      </c>
      <c r="S36" s="155">
        <v>90.157722273637773</v>
      </c>
      <c r="T36" s="152">
        <v>180</v>
      </c>
      <c r="U36" s="156">
        <v>3.5599403381347656</v>
      </c>
      <c r="V36" s="178">
        <v>17</v>
      </c>
      <c r="W36" s="152">
        <v>1250</v>
      </c>
      <c r="X36" s="155">
        <v>54587.594709575176</v>
      </c>
      <c r="Y36" s="155">
        <v>3923.2091909348965</v>
      </c>
      <c r="Z36" s="155">
        <v>281.75009155273437</v>
      </c>
      <c r="AA36" s="155">
        <v>16.484209060668945</v>
      </c>
      <c r="AB36" s="155">
        <v>17.675931930541992</v>
      </c>
      <c r="AC36" s="215">
        <v>37</v>
      </c>
      <c r="AD36" s="215">
        <v>28.791292190551758</v>
      </c>
      <c r="AE36" s="254">
        <v>20</v>
      </c>
      <c r="AF36" s="254">
        <v>10</v>
      </c>
      <c r="AG36" s="217">
        <v>5000000</v>
      </c>
      <c r="AH36" s="218">
        <v>300000</v>
      </c>
      <c r="AI36" s="219">
        <v>5000000</v>
      </c>
      <c r="AJ36" s="225">
        <f t="shared" si="0"/>
        <v>300000</v>
      </c>
      <c r="AK36" s="220">
        <v>2750000</v>
      </c>
      <c r="AL36" s="226">
        <f t="shared" si="1"/>
        <v>300000</v>
      </c>
      <c r="AM36" s="221">
        <v>14.407</v>
      </c>
      <c r="BM36" s="197">
        <f t="shared" si="2"/>
        <v>8.2087078094482422</v>
      </c>
      <c r="BN36" s="196">
        <f t="shared" si="3"/>
        <v>180</v>
      </c>
      <c r="BO36" s="197">
        <f t="shared" si="4"/>
        <v>1.1917228698730469</v>
      </c>
      <c r="BP36" s="196">
        <f t="shared" ref="BP36:BP61" si="173">0.66*JN36</f>
        <v>12.718333863356836</v>
      </c>
      <c r="BQ36" s="115">
        <f t="shared" si="6"/>
        <v>659.74492511188635</v>
      </c>
      <c r="BR36" s="184">
        <f t="shared" si="7"/>
        <v>1.0041987768</v>
      </c>
      <c r="BS36" s="115">
        <f t="shared" si="8"/>
        <v>6863.8528613899143</v>
      </c>
      <c r="BT36" s="196">
        <v>900</v>
      </c>
      <c r="BU36" s="115">
        <f t="shared" si="101"/>
        <v>1.1850729520000001</v>
      </c>
      <c r="BV36" s="115">
        <f t="shared" si="102"/>
        <v>1.0842021426209338</v>
      </c>
      <c r="BW36" s="115">
        <f t="shared" si="103"/>
        <v>520.24562389568428</v>
      </c>
      <c r="BX36" s="115">
        <f t="shared" si="9"/>
        <v>1251.5347138578763</v>
      </c>
      <c r="BY36" s="115"/>
      <c r="BZ36" s="115">
        <f t="shared" si="10"/>
        <v>731.28908996219207</v>
      </c>
      <c r="CA36" s="115">
        <f t="shared" si="11"/>
        <v>11880.639209322015</v>
      </c>
      <c r="CB36" s="115">
        <f t="shared" si="12"/>
        <v>3002.5787499621511</v>
      </c>
      <c r="CC36" s="115">
        <f t="shared" si="13"/>
        <v>1367.5492063164711</v>
      </c>
      <c r="CD36" s="129">
        <f t="shared" si="104"/>
        <v>0.27020282326793432</v>
      </c>
      <c r="CE36" s="115">
        <f t="shared" si="14"/>
        <v>16.573534797219668</v>
      </c>
      <c r="CF36" s="115">
        <f t="shared" si="15"/>
        <v>25.04381174267716</v>
      </c>
      <c r="CG36" s="115">
        <f t="shared" si="16"/>
        <v>0.02</v>
      </c>
      <c r="CH36" s="115">
        <f t="shared" si="17"/>
        <v>0.05</v>
      </c>
      <c r="CI36" s="136">
        <v>30</v>
      </c>
      <c r="CJ36" s="115">
        <f t="shared" si="18"/>
        <v>165</v>
      </c>
      <c r="CK36" s="115">
        <f t="shared" si="19"/>
        <v>453</v>
      </c>
      <c r="CL36" s="115">
        <f t="shared" si="20"/>
        <v>686.59237670898437</v>
      </c>
      <c r="CM36" s="115">
        <f t="shared" ca="1" si="21"/>
        <v>2816.5993052117487</v>
      </c>
      <c r="CN36" s="115">
        <f t="shared" ca="1" si="22"/>
        <v>125.80344444444444</v>
      </c>
      <c r="CO36" s="115">
        <f t="shared" ca="1" si="23"/>
        <v>690.58718083896258</v>
      </c>
      <c r="CP36" s="115">
        <f t="shared" ca="1" si="24"/>
        <v>2790.6388281929471</v>
      </c>
      <c r="CQ36" s="115">
        <f t="shared" si="105"/>
        <v>1.072449112508886</v>
      </c>
      <c r="CR36" s="115">
        <f t="shared" ca="1" si="25"/>
        <v>586.42395160805097</v>
      </c>
      <c r="CS36" s="115">
        <f t="shared" ca="1" si="26"/>
        <v>28.954938345875966</v>
      </c>
      <c r="CT36" s="115">
        <f t="shared" si="106"/>
        <v>1.1279143483327689</v>
      </c>
      <c r="CU36" s="115">
        <f t="shared" ca="1" si="107"/>
        <v>1.0227987737683799</v>
      </c>
      <c r="CV36" s="115">
        <f t="shared" si="108"/>
        <v>258.28908996219207</v>
      </c>
      <c r="CW36" s="115">
        <f t="shared" si="27"/>
        <v>473</v>
      </c>
      <c r="CX36" s="115">
        <f t="shared" si="28"/>
        <v>438</v>
      </c>
      <c r="CY36" s="115">
        <f t="shared" ca="1" si="109"/>
        <v>444.04506165412403</v>
      </c>
      <c r="CZ36" s="115">
        <f t="shared" ca="1" si="29"/>
        <v>242.54731505486035</v>
      </c>
      <c r="DA36" s="115">
        <v>0.21890000000000001</v>
      </c>
      <c r="DB36" s="115">
        <v>2.7E-2</v>
      </c>
      <c r="DC36" s="115">
        <v>1.06</v>
      </c>
      <c r="DD36" s="138">
        <f t="shared" si="30"/>
        <v>14.325332273083143</v>
      </c>
      <c r="DE36" s="138">
        <f t="shared" si="110"/>
        <v>14.325332273083143</v>
      </c>
      <c r="DF36" s="115">
        <f t="shared" si="31"/>
        <v>686.59237670898437</v>
      </c>
      <c r="DG36" s="115">
        <v>731.28908996219207</v>
      </c>
      <c r="DH36" s="115">
        <f t="shared" si="111"/>
        <v>1.1279143483327689</v>
      </c>
      <c r="DI36" s="115">
        <f t="shared" si="112"/>
        <v>1.1399801937768221</v>
      </c>
      <c r="DJ36" s="138">
        <f t="shared" si="32"/>
        <v>3.0373187436027904</v>
      </c>
      <c r="DK36" s="138">
        <f t="shared" si="33"/>
        <v>3.6386180265612538</v>
      </c>
      <c r="DL36" s="115">
        <f t="shared" si="113"/>
        <v>686.59237670898437</v>
      </c>
      <c r="DM36" s="115">
        <f t="shared" si="167"/>
        <v>731.28908996219207</v>
      </c>
      <c r="DN36" s="115">
        <f t="shared" ref="DN36:DN63" si="174">0.666*JN36</f>
        <v>12.833955080296445</v>
      </c>
      <c r="DO36" s="115">
        <f t="shared" si="114"/>
        <v>1.1279143483327689</v>
      </c>
      <c r="DP36" s="115">
        <f t="shared" si="115"/>
        <v>1.1399801937768221</v>
      </c>
      <c r="DQ36" s="115">
        <v>298.14999999999998</v>
      </c>
      <c r="DR36" s="138">
        <f t="shared" si="116"/>
        <v>2.0228542832394587</v>
      </c>
      <c r="DS36" s="138">
        <f t="shared" si="117"/>
        <v>2.423319605689795</v>
      </c>
      <c r="DT36" s="115">
        <f t="shared" si="35"/>
        <v>686.59237670898437</v>
      </c>
      <c r="DU36" s="139">
        <f t="shared" si="118"/>
        <v>6.4362477429714886</v>
      </c>
      <c r="DV36" s="115">
        <f t="shared" si="119"/>
        <v>1.1279143483327689</v>
      </c>
      <c r="DW36" s="115">
        <v>298.14999999999998</v>
      </c>
      <c r="DX36" s="138">
        <f t="shared" si="36"/>
        <v>1.0144644603633317</v>
      </c>
      <c r="DY36" s="138">
        <f t="shared" si="37"/>
        <v>1.2152984208714583</v>
      </c>
      <c r="DZ36" s="138">
        <f t="shared" si="38"/>
        <v>3.0025787499621512</v>
      </c>
      <c r="EA36" s="138">
        <f t="shared" si="168"/>
        <v>5.0167863479321007</v>
      </c>
      <c r="EB36" s="115">
        <f t="shared" si="120"/>
        <v>25.04381174267716</v>
      </c>
      <c r="EC36" s="115">
        <v>30</v>
      </c>
      <c r="ED36" s="198">
        <f t="shared" ca="1" si="40"/>
        <v>125.80344444444444</v>
      </c>
      <c r="EE36" s="198">
        <v>104.83</v>
      </c>
      <c r="EF36" s="198">
        <f t="shared" ca="1" si="169"/>
        <v>0.42491111111111107</v>
      </c>
      <c r="EG36" s="199">
        <v>0.36720000000000003</v>
      </c>
      <c r="EH36" s="138">
        <f t="shared" ca="1" si="121"/>
        <v>9.4336950097883676E-2</v>
      </c>
      <c r="EI36" s="138">
        <f t="shared" ca="1" si="122"/>
        <v>9.4336950097883676E-2</v>
      </c>
      <c r="EJ36" s="115">
        <f t="shared" si="170"/>
        <v>12.833955080296445</v>
      </c>
      <c r="EK36" s="115">
        <v>435</v>
      </c>
      <c r="EL36" s="115">
        <f t="shared" ca="1" si="171"/>
        <v>444.04506165412403</v>
      </c>
      <c r="EM36" s="115">
        <f t="shared" ca="1" si="123"/>
        <v>1.062666516967496</v>
      </c>
      <c r="EN36" s="115">
        <f t="shared" ca="1" si="124"/>
        <v>1.0654564339870412</v>
      </c>
      <c r="EO36" s="115">
        <v>298.14999999999998</v>
      </c>
      <c r="EP36" s="138">
        <f t="shared" ca="1" si="125"/>
        <v>0.33037267131887998</v>
      </c>
      <c r="EQ36" s="138">
        <f t="shared" ca="1" si="126"/>
        <v>0.37101952794916804</v>
      </c>
      <c r="ER36" s="115">
        <f t="shared" si="44"/>
        <v>0.98887231614854609</v>
      </c>
      <c r="ES36" s="115">
        <f t="shared" si="172"/>
        <v>453</v>
      </c>
      <c r="ET36" s="115">
        <f t="shared" ca="1" si="46"/>
        <v>2816.5993052117487</v>
      </c>
      <c r="EU36" s="115">
        <f t="shared" ca="1" si="47"/>
        <v>6.5855309782608691</v>
      </c>
      <c r="EV36" s="138">
        <f t="shared" ref="EV36:EV63" ca="1" si="175">(ER36*(ET36-EE36-DQ36*(EU36-EG36)))*0.001</f>
        <v>0.84822888700049637</v>
      </c>
      <c r="EW36" s="138">
        <f t="shared" ca="1" si="49"/>
        <v>1.3960754403397577</v>
      </c>
      <c r="EX36" s="115">
        <v>21.47</v>
      </c>
      <c r="EY36" s="115">
        <f t="shared" ca="1" si="50"/>
        <v>120.57920129436917</v>
      </c>
      <c r="EZ36" s="115">
        <f t="shared" ca="1" si="51"/>
        <v>0.40805635221269393</v>
      </c>
      <c r="FA36" s="138">
        <f t="shared" ca="1" si="127"/>
        <v>7.6602381069856812E-2</v>
      </c>
      <c r="FB36" s="138">
        <f t="shared" ca="1" si="128"/>
        <v>7.6602381069856812E-2</v>
      </c>
      <c r="FC36" s="115">
        <f t="shared" si="52"/>
        <v>21.47</v>
      </c>
      <c r="FD36" s="115">
        <v>37</v>
      </c>
      <c r="FE36" s="115">
        <f t="shared" ca="1" si="53"/>
        <v>154.93355555555553</v>
      </c>
      <c r="FF36" s="115">
        <f t="shared" ca="1" si="54"/>
        <v>0.52252222222222222</v>
      </c>
      <c r="FG36" s="138">
        <f t="shared" ref="FG36:FG63" ca="1" si="176">(FC36*(FE36-EE36-DW36*(FF36-EG36)))*0.001</f>
        <v>8.1462225449999703E-2</v>
      </c>
      <c r="FH36" s="138">
        <f t="shared" ca="1" si="129"/>
        <v>8.1462225449999703E-2</v>
      </c>
      <c r="FI36" s="115">
        <f t="shared" si="56"/>
        <v>78.890025634765635</v>
      </c>
      <c r="FJ36" s="115">
        <f t="shared" ca="1" si="57"/>
        <v>69.072690942128503</v>
      </c>
      <c r="FK36" s="115">
        <f t="shared" ca="1" si="58"/>
        <v>0.23644091523488361</v>
      </c>
      <c r="FL36" s="138">
        <f t="shared" ref="FL36:FL63" ca="1" si="177">(FI36*(FJ36-EE36-DW36*(FK36-EG36)))*0.001</f>
        <v>0.25469739955800585</v>
      </c>
      <c r="FM36" s="138">
        <f t="shared" ca="1" si="60"/>
        <v>2.4899786373613733</v>
      </c>
      <c r="FN36" s="115">
        <f t="shared" si="130"/>
        <v>78.890025634765635</v>
      </c>
      <c r="FO36" s="115">
        <f t="shared" ca="1" si="61"/>
        <v>74.060183566199413</v>
      </c>
      <c r="FP36" s="115">
        <f t="shared" ca="1" si="62"/>
        <v>0.25305882858700224</v>
      </c>
      <c r="FQ36" s="138">
        <f t="shared" ref="FQ36:FQ63" ca="1" si="178">(FN36*(FO36-EE36-DW36*(FP36-EG36)))*0.001</f>
        <v>0.25728986449981672</v>
      </c>
      <c r="FR36" s="138">
        <f t="shared" ca="1" si="64"/>
        <v>2.5153231533808516</v>
      </c>
      <c r="FS36" s="139">
        <f t="shared" si="131"/>
        <v>8.2854347795182015</v>
      </c>
      <c r="FT36" s="249">
        <f t="shared" si="132"/>
        <v>5.6699278985897887</v>
      </c>
      <c r="FU36" s="139">
        <f t="shared" ca="1" si="133"/>
        <v>0.93858967501796609</v>
      </c>
      <c r="FV36" s="249">
        <f t="shared" ca="1" si="134"/>
        <v>0.75056158749875301</v>
      </c>
      <c r="FW36" s="139">
        <f t="shared" ca="1" si="135"/>
        <v>0.84596150756216437</v>
      </c>
      <c r="FX36" s="249">
        <f t="shared" ca="1" si="136"/>
        <v>1.4165601119790932</v>
      </c>
      <c r="FY36" s="249">
        <f t="shared" si="65"/>
        <v>0.15000000000000002</v>
      </c>
      <c r="FZ36" s="139">
        <f t="shared" si="66"/>
        <v>1050000</v>
      </c>
      <c r="GA36" s="139">
        <f t="shared" si="137"/>
        <v>3.3757716049382713E-2</v>
      </c>
      <c r="GB36" s="139">
        <f t="shared" si="138"/>
        <v>121.52777777777777</v>
      </c>
      <c r="GC36" s="139">
        <f t="shared" si="67"/>
        <v>1050000</v>
      </c>
      <c r="GD36" s="139">
        <f t="shared" si="139"/>
        <v>6.7515432098765427E-2</v>
      </c>
      <c r="GE36" s="139">
        <f t="shared" si="140"/>
        <v>243.05555555555554</v>
      </c>
      <c r="GF36" s="139">
        <f t="shared" si="141"/>
        <v>4.5814043209876545E-2</v>
      </c>
      <c r="GG36" s="139">
        <f t="shared" si="68"/>
        <v>712500</v>
      </c>
      <c r="GH36" s="139">
        <f t="shared" si="142"/>
        <v>164.93055555555554</v>
      </c>
      <c r="GI36" s="137">
        <f t="shared" si="69"/>
        <v>65.405154476325279</v>
      </c>
      <c r="GJ36" s="137">
        <f t="shared" si="143"/>
        <v>0.23545855611476912</v>
      </c>
      <c r="GK36" s="251">
        <f t="shared" si="70"/>
        <v>37.418617254131519</v>
      </c>
      <c r="GL36" s="137">
        <f t="shared" si="164"/>
        <v>0.1347070221148724</v>
      </c>
      <c r="GM36" s="137">
        <f t="shared" ca="1" si="71"/>
        <v>10.483153443335945</v>
      </c>
      <c r="GN36" s="137">
        <f t="shared" ca="1" si="144"/>
        <v>3.7739352396009104E-2</v>
      </c>
      <c r="GO36" s="137">
        <f t="shared" ca="1" si="145"/>
        <v>0.13269814485235271</v>
      </c>
      <c r="GP36" s="137">
        <f t="shared" ca="1" si="72"/>
        <v>12.207517523119858</v>
      </c>
      <c r="GQ36" s="137">
        <f t="shared" ca="1" si="146"/>
        <v>4.3947063083231139E-2</v>
      </c>
      <c r="GR36" s="137">
        <f t="shared" ca="1" si="147"/>
        <v>0.15452553826733875</v>
      </c>
      <c r="GS36" s="140">
        <f t="shared" si="73"/>
        <v>0.11936825886851872</v>
      </c>
      <c r="GT36" s="140">
        <f t="shared" si="74"/>
        <v>8.1686651234983088E-2</v>
      </c>
      <c r="GU36" s="140">
        <f t="shared" si="148"/>
        <v>429.72573192666738</v>
      </c>
      <c r="GV36" s="140">
        <f t="shared" si="149"/>
        <v>294.0719444459391</v>
      </c>
      <c r="GW36" s="141">
        <f t="shared" ca="1" si="75"/>
        <v>9.0058261243572343E-3</v>
      </c>
      <c r="GX36" s="141">
        <f t="shared" ca="1" si="76"/>
        <v>7.2016849668689598E-3</v>
      </c>
      <c r="GY36" s="141">
        <f t="shared" ca="1" si="150"/>
        <v>32.420974047686045</v>
      </c>
      <c r="GZ36" s="141">
        <f t="shared" ca="1" si="165"/>
        <v>25.926065880728256</v>
      </c>
      <c r="HA36" s="141">
        <f t="shared" ca="1" si="77"/>
        <v>1.8222721940771226E-2</v>
      </c>
      <c r="HB36" s="141">
        <f t="shared" ca="1" si="78"/>
        <v>2.1428901528209244E-2</v>
      </c>
      <c r="HC36" s="141">
        <f t="shared" ca="1" si="151"/>
        <v>65.601798986776416</v>
      </c>
      <c r="HD36" s="141">
        <f t="shared" ca="1" si="152"/>
        <v>77.144045501553279</v>
      </c>
      <c r="HE36" s="137">
        <f t="shared" si="153"/>
        <v>11.288013529480352</v>
      </c>
      <c r="HF36" s="250">
        <f t="shared" si="154"/>
        <v>10.686714246521889</v>
      </c>
      <c r="HG36" s="137">
        <v>3.0025787499621512</v>
      </c>
      <c r="HH36" s="251">
        <v>6.0375071375227476</v>
      </c>
      <c r="HI36" s="137">
        <f t="shared" ca="1" si="155"/>
        <v>1.6518347552902908</v>
      </c>
      <c r="HJ36" s="251">
        <f t="shared" ca="1" si="156"/>
        <v>2.0523000777406271</v>
      </c>
      <c r="HK36" s="137">
        <f t="shared" ca="1" si="157"/>
        <v>0.75389193690261269</v>
      </c>
      <c r="HL36" s="251">
        <f t="shared" ca="1" si="158"/>
        <v>1.301738490241874</v>
      </c>
      <c r="HM36" s="137">
        <f t="shared" ca="1" si="159"/>
        <v>0.84822888700049637</v>
      </c>
      <c r="HN36" s="251">
        <f t="shared" ca="1" si="160"/>
        <v>1.3960754403397577</v>
      </c>
      <c r="HO36" s="137">
        <f t="shared" ca="1" si="161"/>
        <v>0.25469739955800585</v>
      </c>
      <c r="HP36" s="251">
        <f t="shared" ca="1" si="162"/>
        <v>2.4899786373613733</v>
      </c>
      <c r="JN36" s="143">
        <f t="shared" si="79"/>
        <v>19.270202823267933</v>
      </c>
      <c r="JO36" s="143">
        <f t="shared" si="80"/>
        <v>3002.5787499621511</v>
      </c>
      <c r="JP36" s="143">
        <f t="shared" si="81"/>
        <v>5016.7863479321004</v>
      </c>
      <c r="JQ36" s="143">
        <f t="shared" si="82"/>
        <v>0.98887231614854609</v>
      </c>
      <c r="JR36" s="143">
        <f t="shared" ca="1" si="83"/>
        <v>1.6275564005945835</v>
      </c>
      <c r="JS36" s="143">
        <f t="shared" si="84"/>
        <v>78.890025634765635</v>
      </c>
      <c r="JT36" s="143">
        <f t="shared" ca="1" si="85"/>
        <v>771.24650221142417</v>
      </c>
      <c r="JU36" s="143">
        <f t="shared" si="166"/>
        <v>0.22217519386549503</v>
      </c>
      <c r="JV36" s="143">
        <f t="shared" si="86"/>
        <v>0.37121606867018336</v>
      </c>
      <c r="JW36" s="143">
        <f t="shared" ca="1" si="87"/>
        <v>0.19660258138155695</v>
      </c>
      <c r="JX36" s="143">
        <f t="shared" ca="1" si="88"/>
        <v>0.32358251361230705</v>
      </c>
      <c r="JY36" s="143">
        <f t="shared" si="89"/>
        <v>0.37451785966016915</v>
      </c>
      <c r="JZ36" s="143">
        <f t="shared" si="90"/>
        <v>0.16208893572087196</v>
      </c>
      <c r="KA36" s="143">
        <f t="shared" si="91"/>
        <v>0.20959923949575004</v>
      </c>
      <c r="KB36" s="143">
        <f t="shared" si="92"/>
        <v>0.35020383836809754</v>
      </c>
      <c r="KC36" s="143">
        <f t="shared" ca="1" si="93"/>
        <v>0.44543582133640913</v>
      </c>
      <c r="KD36" s="143">
        <f t="shared" ca="1" si="94"/>
        <v>0.63428272715116563</v>
      </c>
      <c r="KE36" s="143">
        <f t="shared" ca="1" si="95"/>
        <v>1.783555935025543</v>
      </c>
      <c r="KF36" s="143">
        <f t="shared" ca="1" si="96"/>
        <v>0.30026966006624201</v>
      </c>
      <c r="KG36" s="142">
        <f t="shared" si="97"/>
        <v>0.1347070221148724</v>
      </c>
      <c r="KH36" s="142">
        <f t="shared" ca="1" si="98"/>
        <v>0.15452553826733875</v>
      </c>
      <c r="KI36" s="142">
        <f t="shared" ca="1" si="99"/>
        <v>527.74850496112981</v>
      </c>
      <c r="KJ36" s="142">
        <f t="shared" ca="1" si="100"/>
        <v>397.14205582822058</v>
      </c>
    </row>
    <row r="37" spans="1:296" x14ac:dyDescent="0.3">
      <c r="A37" s="201">
        <v>41330</v>
      </c>
      <c r="B37" s="196">
        <v>34</v>
      </c>
      <c r="C37" s="179">
        <v>24</v>
      </c>
      <c r="D37" s="152">
        <v>4.2</v>
      </c>
      <c r="E37" s="152">
        <v>50016</v>
      </c>
      <c r="F37" s="152">
        <v>300</v>
      </c>
      <c r="G37" s="152">
        <v>11.7</v>
      </c>
      <c r="H37" s="152">
        <v>0.85</v>
      </c>
      <c r="I37" s="152">
        <v>1.4</v>
      </c>
      <c r="J37" s="152">
        <v>1.33</v>
      </c>
      <c r="K37" s="152">
        <v>0.91</v>
      </c>
      <c r="L37" s="152">
        <v>26444.551968477666</v>
      </c>
      <c r="M37" s="155">
        <v>19</v>
      </c>
      <c r="N37" s="153">
        <v>72782.933887049556</v>
      </c>
      <c r="O37" s="178">
        <v>17</v>
      </c>
      <c r="P37" s="152">
        <v>2</v>
      </c>
      <c r="Q37" s="152">
        <v>5</v>
      </c>
      <c r="R37" s="154">
        <v>377.96954345703125</v>
      </c>
      <c r="S37" s="155">
        <v>96.079622658668086</v>
      </c>
      <c r="T37" s="152">
        <v>180</v>
      </c>
      <c r="U37" s="156">
        <v>4.1023321151733398</v>
      </c>
      <c r="V37" s="178">
        <v>17</v>
      </c>
      <c r="W37" s="152">
        <v>1250</v>
      </c>
      <c r="X37" s="155">
        <v>32538.383888915181</v>
      </c>
      <c r="Y37" s="155">
        <v>3177.8009732980281</v>
      </c>
      <c r="Z37" s="155">
        <v>171.66632080078125</v>
      </c>
      <c r="AA37" s="155">
        <v>13.955363273620605</v>
      </c>
      <c r="AB37" s="155">
        <v>15.421364784240723</v>
      </c>
      <c r="AC37" s="215">
        <v>37</v>
      </c>
      <c r="AD37" s="215">
        <v>27.074617385864258</v>
      </c>
      <c r="AE37" s="254">
        <v>20</v>
      </c>
      <c r="AF37" s="254">
        <v>10</v>
      </c>
      <c r="AG37" s="217">
        <v>5000000</v>
      </c>
      <c r="AH37" s="218">
        <v>300000</v>
      </c>
      <c r="AI37" s="219">
        <v>5000000</v>
      </c>
      <c r="AJ37" s="225">
        <f t="shared" ref="AJ37:AJ66" si="179">AH37</f>
        <v>300000</v>
      </c>
      <c r="AK37" s="220">
        <v>2750000</v>
      </c>
      <c r="AL37" s="226">
        <f t="shared" ref="AL37:AL66" si="180">AH37</f>
        <v>300000</v>
      </c>
      <c r="AM37" s="221">
        <v>14.407</v>
      </c>
      <c r="BM37" s="197">
        <f t="shared" ref="BM37:BM66" si="181">37-AD37</f>
        <v>9.9253826141357422</v>
      </c>
      <c r="BN37" s="196">
        <f t="shared" ref="BN37:BN66" si="182">T37</f>
        <v>180</v>
      </c>
      <c r="BO37" s="197">
        <f t="shared" ref="BO37:BO66" si="183">AB37-AA37</f>
        <v>1.4660015106201172</v>
      </c>
      <c r="BP37" s="196">
        <f t="shared" si="173"/>
        <v>12.683686454312365</v>
      </c>
      <c r="BQ37" s="115">
        <f t="shared" ref="BQ37:BQ66" si="184">(F37/H37)*((G37)^((I37-1)/I37)-1)+F37</f>
        <v>659.74492511188635</v>
      </c>
      <c r="BR37" s="184">
        <f t="shared" ref="BR37:BR66" si="185">1.04841-((3.8371*F37)/10^4)+((9.4537*F37^2)/10^7)-((5.49031*F37^3)/(10^10))+((7.9298*F37^4)/(10^14))</f>
        <v>1.0041987768</v>
      </c>
      <c r="BS37" s="115">
        <f t="shared" ref="BS37:BS66" si="186">M37*BR37*(BQ37-F37)</f>
        <v>6863.8528613899143</v>
      </c>
      <c r="BT37" s="196">
        <v>900</v>
      </c>
      <c r="BU37" s="115">
        <f t="shared" si="101"/>
        <v>1.1850729520000001</v>
      </c>
      <c r="BV37" s="115">
        <f t="shared" si="102"/>
        <v>1.072447506356806</v>
      </c>
      <c r="BW37" s="115">
        <f t="shared" si="103"/>
        <v>472.99342894979031</v>
      </c>
      <c r="BX37" s="115">
        <f t="shared" ref="BX37:BX68" si="187">((CD37*E37)/(JN37*BU37))+BQ37</f>
        <v>1137.861941681663</v>
      </c>
      <c r="BY37" s="115"/>
      <c r="BZ37" s="115">
        <f t="shared" ref="BZ37:BZ68" si="188">BX37+(K37*BX37*((1/G37)^((J37-1)/J37)-1))</f>
        <v>664.86851273187267</v>
      </c>
      <c r="CA37" s="115">
        <f t="shared" ref="CA37:CA68" si="189">(JN37*BU37*(BX37-BZ37))</f>
        <v>10772.134201578465</v>
      </c>
      <c r="CB37" s="115">
        <f t="shared" ref="CB37:CB68" si="190">N37/C37</f>
        <v>3032.6222452937313</v>
      </c>
      <c r="CC37" s="115">
        <f t="shared" ref="CC37:CC68" si="191">L37/C37</f>
        <v>1101.8563320199028</v>
      </c>
      <c r="CD37" s="129">
        <f t="shared" si="104"/>
        <v>0.21770674895812872</v>
      </c>
      <c r="CE37" s="115">
        <f t="shared" ref="CE37:CE68" si="192">Z37/V37</f>
        <v>10.098018870634192</v>
      </c>
      <c r="CF37" s="115">
        <f t="shared" ref="CF37:CF68" si="193">(1/3.6)*S37</f>
        <v>26.688784071852247</v>
      </c>
      <c r="CG37" s="115">
        <f t="shared" ref="CG37:CG68" si="194">P37/100</f>
        <v>0.02</v>
      </c>
      <c r="CH37" s="115">
        <f t="shared" ref="CH37:CH68" si="195">Q37/100</f>
        <v>0.05</v>
      </c>
      <c r="CI37" s="136">
        <v>30</v>
      </c>
      <c r="CJ37" s="115">
        <f t="shared" si="18"/>
        <v>165</v>
      </c>
      <c r="CK37" s="115">
        <f t="shared" ref="CK37:CK68" si="196">T37+273</f>
        <v>453</v>
      </c>
      <c r="CL37" s="115">
        <f t="shared" ref="CL37:CL68" si="197">R37+273</f>
        <v>650.96954345703125</v>
      </c>
      <c r="CM37" s="115">
        <f t="shared" ref="CM37:CM68" ca="1" si="198">FORECAST(T37,OFFSET(KnownA,MATCH(T37,KnownB,1)-1,0,2),OFFSET(KnownB,MATCH(T37,KnownB,1)-1,0,2))</f>
        <v>2816.5993052117487</v>
      </c>
      <c r="CN37" s="115">
        <f t="shared" ca="1" si="22"/>
        <v>125.80344444444444</v>
      </c>
      <c r="CO37" s="115">
        <f t="shared" ca="1" si="23"/>
        <v>690.58718083896258</v>
      </c>
      <c r="CP37" s="115">
        <f t="shared" ca="1" si="24"/>
        <v>2790.6388281929471</v>
      </c>
      <c r="CQ37" s="115">
        <f t="shared" si="105"/>
        <v>1.072449112508886</v>
      </c>
      <c r="CR37" s="115">
        <f t="shared" ref="CR37:CR66" ca="1" si="199">(JQ37*(1+CH37)*(CO37-CN37))</f>
        <v>675.77138414882438</v>
      </c>
      <c r="CS37" s="115">
        <f t="shared" ref="CS37:CS66" ca="1" si="200">CR37/(JN37*CQ37*(1-CG37))</f>
        <v>33.457652454187496</v>
      </c>
      <c r="CT37" s="115">
        <f t="shared" si="106"/>
        <v>1.1183494226149846</v>
      </c>
      <c r="CU37" s="115">
        <f t="shared" ca="1" si="107"/>
        <v>1.0173784710882861</v>
      </c>
      <c r="CV37" s="115">
        <f t="shared" si="108"/>
        <v>191.86851273187267</v>
      </c>
      <c r="CW37" s="115">
        <f t="shared" si="27"/>
        <v>473</v>
      </c>
      <c r="CX37" s="115">
        <f t="shared" si="28"/>
        <v>438</v>
      </c>
      <c r="CY37" s="115">
        <f t="shared" ca="1" si="109"/>
        <v>439.5423475458125</v>
      </c>
      <c r="CZ37" s="115">
        <f t="shared" ca="1" si="29"/>
        <v>211.42719591121875</v>
      </c>
      <c r="DA37" s="115">
        <v>0.21890000000000001</v>
      </c>
      <c r="DB37" s="115">
        <v>2.7E-2</v>
      </c>
      <c r="DC37" s="115">
        <v>1.06</v>
      </c>
      <c r="DD37" s="138">
        <f t="shared" ref="DD37:DD68" si="201">(CD37*(DC37*E37))*0.001</f>
        <v>11.542150001243153</v>
      </c>
      <c r="DE37" s="138">
        <f t="shared" si="110"/>
        <v>11.542150001243153</v>
      </c>
      <c r="DF37" s="115">
        <f t="shared" si="31"/>
        <v>650.96954345703125</v>
      </c>
      <c r="DG37" s="115">
        <v>664.86851273187267</v>
      </c>
      <c r="DH37" s="115">
        <f t="shared" si="111"/>
        <v>1.1183494226149846</v>
      </c>
      <c r="DI37" s="115">
        <f t="shared" si="112"/>
        <v>1.1220734887880373</v>
      </c>
      <c r="DJ37" s="138">
        <f t="shared" ref="DJ37:DJ66" si="202">(JN37*DH37*DQ37*((DF37/DQ37)-1-LN(DF37/DQ37)))*0.001</f>
        <v>2.5791458393590441</v>
      </c>
      <c r="DK37" s="138">
        <f t="shared" ref="DK37:DK66" si="203">(JN37*DI37*DQ37*((DG37/DQ37)-1-LN(DG37/DQ37)))*0.001</f>
        <v>2.7516208906802775</v>
      </c>
      <c r="DL37" s="115">
        <f t="shared" si="113"/>
        <v>650.96954345703125</v>
      </c>
      <c r="DM37" s="115">
        <f t="shared" si="167"/>
        <v>664.86851273187267</v>
      </c>
      <c r="DN37" s="115">
        <f t="shared" si="174"/>
        <v>12.798992694806115</v>
      </c>
      <c r="DO37" s="115">
        <f t="shared" si="114"/>
        <v>1.1183494226149846</v>
      </c>
      <c r="DP37" s="115">
        <f t="shared" si="115"/>
        <v>1.1220734887880373</v>
      </c>
      <c r="DQ37" s="115">
        <v>298.14999999999998</v>
      </c>
      <c r="DR37" s="138">
        <f t="shared" si="116"/>
        <v>1.7177111290131237</v>
      </c>
      <c r="DS37" s="138">
        <f t="shared" si="117"/>
        <v>1.8325795131930649</v>
      </c>
      <c r="DT37" s="115">
        <f t="shared" si="35"/>
        <v>650.96954345703125</v>
      </c>
      <c r="DU37" s="139">
        <f t="shared" si="118"/>
        <v>6.418714054152014</v>
      </c>
      <c r="DV37" s="115">
        <f t="shared" si="119"/>
        <v>1.1183494226149846</v>
      </c>
      <c r="DW37" s="115">
        <v>298.14999999999998</v>
      </c>
      <c r="DX37" s="138">
        <f t="shared" ref="DX37:DX66" si="204">(JN37-DN37)*DV37*DW37*((DT37/DW37)-1-LN(DT37/DW37))*0.001</f>
        <v>0.86143471034592067</v>
      </c>
      <c r="DY37" s="138">
        <f t="shared" ref="DY37:DY66" si="205">(JN37-DN37)*DP37*DW37*((DM37/DW37)-1-LN(DM37/DW37))*0.001</f>
        <v>0.91904137748721271</v>
      </c>
      <c r="DZ37" s="138">
        <f t="shared" si="38"/>
        <v>3.0326222452937315</v>
      </c>
      <c r="EA37" s="138">
        <f t="shared" si="168"/>
        <v>3.9082813401885508</v>
      </c>
      <c r="EB37" s="115">
        <f t="shared" si="120"/>
        <v>26.688784071852247</v>
      </c>
      <c r="EC37" s="115">
        <v>30</v>
      </c>
      <c r="ED37" s="198">
        <f t="shared" ca="1" si="40"/>
        <v>125.80344444444444</v>
      </c>
      <c r="EE37" s="198">
        <v>104.83</v>
      </c>
      <c r="EF37" s="198">
        <f t="shared" ca="1" si="169"/>
        <v>0.42491111111111107</v>
      </c>
      <c r="EG37" s="199">
        <v>0.36720000000000003</v>
      </c>
      <c r="EH37" s="138">
        <f t="shared" ca="1" si="121"/>
        <v>0.10053335798196565</v>
      </c>
      <c r="EI37" s="138">
        <f t="shared" ca="1" si="122"/>
        <v>0.10053335798196565</v>
      </c>
      <c r="EJ37" s="115">
        <f t="shared" si="170"/>
        <v>12.798992694806115</v>
      </c>
      <c r="EK37" s="115">
        <v>435</v>
      </c>
      <c r="EL37" s="115">
        <f t="shared" ca="1" si="171"/>
        <v>439.5423475458125</v>
      </c>
      <c r="EM37" s="115">
        <f t="shared" ca="1" si="123"/>
        <v>1.0629893432225377</v>
      </c>
      <c r="EN37" s="115">
        <f t="shared" ca="1" si="124"/>
        <v>1.0643848654633843</v>
      </c>
      <c r="EO37" s="115">
        <v>298.14999999999998</v>
      </c>
      <c r="EP37" s="138">
        <f t="shared" ca="1" si="125"/>
        <v>0.32957275699586358</v>
      </c>
      <c r="EQ37" s="138">
        <f t="shared" ca="1" si="126"/>
        <v>0.34969285165505504</v>
      </c>
      <c r="ER37" s="115">
        <f t="shared" si="44"/>
        <v>1.1395366986592612</v>
      </c>
      <c r="ES37" s="115">
        <f t="shared" si="172"/>
        <v>453</v>
      </c>
      <c r="ET37" s="115">
        <f t="shared" ref="ET37:ET68" ca="1" si="206">FORECAST(T37,OFFSET(KnownA,MATCH(T37,KnownB,1)-1,0,2),OFFSET(KnownB,MATCH(T37,KnownB,1)-1,0,2))</f>
        <v>2816.5993052117487</v>
      </c>
      <c r="EU37" s="115">
        <f t="shared" ref="EU37:EU68" ca="1" si="207">FORECAST(T37,OFFSET(Svapour,MATCH(T37,Suhu,1)-1,0,2),OFFSET(Suhu,MATCH(T37,Suhu,1)-1,0,2))</f>
        <v>6.5855309782608691</v>
      </c>
      <c r="EV37" s="138">
        <f t="shared" ca="1" si="175"/>
        <v>0.9774648656002688</v>
      </c>
      <c r="EW37" s="138">
        <f t="shared" ref="EW37:EW66" ca="1" si="208">(JR37*(ET37-EE37-DQ37*(EU37-EG37)))*0.001</f>
        <v>1.0254705836738995</v>
      </c>
      <c r="EX37" s="115">
        <v>21.47</v>
      </c>
      <c r="EY37" s="115">
        <f t="shared" ref="EY37:EY68" ca="1" si="209">FORECAST(AD37,OFFSET(KnownY1SAC,MATCH(AD37,KnownX1SAC,1)-1,0,2),OFFSET(KnownX1SAC,MATCH(AD37,KnownX1SAC,1)-1,0,2))</f>
        <v>113.39472649510701</v>
      </c>
      <c r="EZ37" s="115">
        <f t="shared" ref="EZ37:EZ68" ca="1" si="210">FORECAST(AD37,OFFSET(KnownYSAC,MATCH(AD37,KnownXSAC,1)-1,0,2),OFFSET(KnownXSAC,MATCH(AD37,KnownXSAC,1)-1,0,2))</f>
        <v>0.3841182757695516</v>
      </c>
      <c r="FA37" s="138">
        <f t="shared" ca="1" si="127"/>
        <v>7.5586049072694547E-2</v>
      </c>
      <c r="FB37" s="138">
        <f t="shared" ca="1" si="128"/>
        <v>7.5586049072694547E-2</v>
      </c>
      <c r="FC37" s="115">
        <f t="shared" si="52"/>
        <v>21.47</v>
      </c>
      <c r="FD37" s="115">
        <v>37</v>
      </c>
      <c r="FE37" s="115">
        <f t="shared" ca="1" si="53"/>
        <v>154.93355555555553</v>
      </c>
      <c r="FF37" s="115">
        <f t="shared" ca="1" si="54"/>
        <v>0.52252222222222222</v>
      </c>
      <c r="FG37" s="138">
        <f t="shared" ca="1" si="176"/>
        <v>8.1462225449999703E-2</v>
      </c>
      <c r="FH37" s="138">
        <f t="shared" ca="1" si="129"/>
        <v>8.1462225449999703E-2</v>
      </c>
      <c r="FI37" s="115">
        <f t="shared" si="56"/>
        <v>48.066569824218753</v>
      </c>
      <c r="FJ37" s="115">
        <f t="shared" ref="FJ37:FJ68" ca="1" si="211">FORECAST(AA37,OFFSET(KnownY1SAC,MATCH(AA37,KnownX1SAC,1)-1,0,2),OFFSET(KnownX1SAC,MATCH(AA37,KnownX1SAC,1)-1,0,2))</f>
        <v>58.489190340465974</v>
      </c>
      <c r="FK37" s="115">
        <f t="shared" ref="FK37:FK68" ca="1" si="212">FORECAST(AA37,OFFSET(KnownYSAC,MATCH(AA37,KnownXSAC,1)-1,0,2),OFFSET(KnownXSAC,MATCH(AA37,KnownXSAC,1)-1,0,2))</f>
        <v>0.20117756564882067</v>
      </c>
      <c r="FL37" s="138">
        <f t="shared" ca="1" si="177"/>
        <v>0.15183167820121155</v>
      </c>
      <c r="FM37" s="138">
        <f t="shared" ref="FM37:FM66" ca="1" si="213">(JT37*(FJ37-EE37-DW37*(FK37-EG37)))*0.001</f>
        <v>1.2744574111596974</v>
      </c>
      <c r="FN37" s="115">
        <f t="shared" si="130"/>
        <v>48.066569824218753</v>
      </c>
      <c r="FO37" s="115">
        <f t="shared" ref="FO37:FO68" ca="1" si="214">FORECAST(AB37,OFFSET(KnownY1SAC,MATCH(AB37,KnownX1SAC,1)-1,0,2),OFFSET(KnownX1SAC,MATCH(AB37,KnownX1SAC,1)-1,0,2))</f>
        <v>64.6245695514679</v>
      </c>
      <c r="FP37" s="115">
        <f t="shared" ref="FP37:FP68" ca="1" si="215">FORECAST(AB37,OFFSET(KnownYSAC,MATCH(AB37,KnownXSAC,1)-1,0,2),OFFSET(KnownXSAC,MATCH(AB37,KnownXSAC,1)-1,0,2))</f>
        <v>0.22162014226913451</v>
      </c>
      <c r="FQ37" s="138">
        <f t="shared" ca="1" si="178"/>
        <v>0.15377476888525687</v>
      </c>
      <c r="FR37" s="138">
        <f t="shared" ref="FR37:FR66" ca="1" si="216">(JT37*(FO37-EE37-DW37*(FP37-EG37)))*0.001</f>
        <v>1.2907674878984603</v>
      </c>
      <c r="FS37" s="139">
        <f t="shared" ref="FS37:FS64" si="217">(DD37-DJ37)-DZ37</f>
        <v>5.9303819165903757</v>
      </c>
      <c r="FT37" s="249">
        <f t="shared" si="132"/>
        <v>4.8822477703743248</v>
      </c>
      <c r="FU37" s="139">
        <f t="shared" ref="FU37:FU64" ca="1" si="218">(DR37+EH37)-(EP37+EV37)</f>
        <v>0.51120686439895691</v>
      </c>
      <c r="FV37" s="249">
        <f t="shared" ca="1" si="134"/>
        <v>0.55794943584607593</v>
      </c>
      <c r="FW37" s="139">
        <f t="shared" ca="1" si="135"/>
        <v>0.97353177990700901</v>
      </c>
      <c r="FX37" s="249">
        <f t="shared" ca="1" si="136"/>
        <v>1.0359044840353575</v>
      </c>
      <c r="FY37" s="249">
        <f t="shared" ref="FY37:FY68" si="219">((AF37/100*(1+(AF37/100)*AE37))/((1+(AF37/100)*AE37-1)))</f>
        <v>0.15000000000000002</v>
      </c>
      <c r="FZ37" s="139">
        <f t="shared" ref="FZ37:FZ68" si="220">(AG37*FY37)+(AH37)</f>
        <v>1050000</v>
      </c>
      <c r="GA37" s="139">
        <f t="shared" si="137"/>
        <v>3.3757716049382713E-2</v>
      </c>
      <c r="GB37" s="139">
        <f t="shared" si="138"/>
        <v>121.52777777777777</v>
      </c>
      <c r="GC37" s="139">
        <f t="shared" ref="GC37:GC68" si="221">(AI37*FY37)+(AJ37)</f>
        <v>1050000</v>
      </c>
      <c r="GD37" s="139">
        <f t="shared" si="139"/>
        <v>6.7515432098765427E-2</v>
      </c>
      <c r="GE37" s="139">
        <f t="shared" si="140"/>
        <v>243.05555555555554</v>
      </c>
      <c r="GF37" s="139">
        <f t="shared" si="141"/>
        <v>4.5814043209876545E-2</v>
      </c>
      <c r="GG37" s="139">
        <f t="shared" ref="GG37:GG68" si="222">(AK37*FY37)+(AL37)</f>
        <v>712500</v>
      </c>
      <c r="GH37" s="139">
        <f t="shared" si="142"/>
        <v>164.93055555555554</v>
      </c>
      <c r="GI37" s="137">
        <f t="shared" ref="GI37:GI68" si="223">((AM37*(DD37-DJ37)*10^(-3))+GA37)/(DZ37*10^(-3))</f>
        <v>53.711838743658028</v>
      </c>
      <c r="GJ37" s="137">
        <f t="shared" si="143"/>
        <v>0.19336261947716737</v>
      </c>
      <c r="GK37" s="251">
        <f t="shared" ref="GK37:GK68" si="224">((AM37*(DE37-DK37)*10^(-3))+GA37)/(EA37*10^(-3))</f>
        <v>41.041791770682408</v>
      </c>
      <c r="GL37" s="137">
        <f t="shared" si="164"/>
        <v>0.1477504503744555</v>
      </c>
      <c r="GM37" s="137">
        <f t="shared" ref="GM37:GM68" ca="1" si="225">(AM37*(DD37*(EXP(-3))+(GA37+GD37+GF37))-(GI37*DZ37*EXP(-3))/(FL37)*(EXP(-3)))</f>
        <v>7.7388157020253825</v>
      </c>
      <c r="GN37" s="137">
        <f t="shared" ca="1" si="144"/>
        <v>2.7859736527291155E-2</v>
      </c>
      <c r="GO37" s="137">
        <f t="shared" ca="1" si="145"/>
        <v>9.7959692430700268E-2</v>
      </c>
      <c r="GP37" s="137">
        <f t="shared" ref="GP37:GP68" ca="1" si="226">(AM37*(DE37*(EXP(-3))+(GA37+GD37+GF37))-(GK37*EA37*EXP(-3))/(FM37)*(EXP(-3)))</f>
        <v>10.086089910127754</v>
      </c>
      <c r="GQ37" s="137">
        <f t="shared" ca="1" si="146"/>
        <v>3.6309923676459625E-2</v>
      </c>
      <c r="GR37" s="137">
        <f t="shared" ca="1" si="147"/>
        <v>0.12767202417883131</v>
      </c>
      <c r="GS37" s="140">
        <f t="shared" ref="GS37:GS68" si="227">(AM37*(FS37*0.001))</f>
        <v>8.5439012272317538E-2</v>
      </c>
      <c r="GT37" s="140">
        <f t="shared" ref="GT37:GT68" si="228">(AM37*(FT37*0.001))</f>
        <v>7.0338543627782898E-2</v>
      </c>
      <c r="GU37" s="140">
        <f t="shared" si="148"/>
        <v>307.58044418034314</v>
      </c>
      <c r="GV37" s="140">
        <f t="shared" si="149"/>
        <v>253.21875706001845</v>
      </c>
      <c r="GW37" s="141">
        <f t="shared" ref="GW37:GW68" ca="1" si="229">((66.6/100)*AM37*(0.001*FU37))</f>
        <v>4.9050615587335833E-3</v>
      </c>
      <c r="GX37" s="141">
        <f t="shared" ref="GX37:GX68" ca="1" si="230">((66.6/100)*AM37*(0.001*FV37))</f>
        <v>5.3535594298081196E-3</v>
      </c>
      <c r="GY37" s="141">
        <f t="shared" ca="1" si="150"/>
        <v>17.658221611440901</v>
      </c>
      <c r="GZ37" s="141">
        <f t="shared" ca="1" si="165"/>
        <v>19.272813947309231</v>
      </c>
      <c r="HA37" s="141">
        <f t="shared" ref="HA37:HA68" ca="1" si="231">(((66.6/100)*AM37)/KC37)*(FW37*0.001)</f>
        <v>1.4786486929138143E-2</v>
      </c>
      <c r="HB37" s="141">
        <f t="shared" ref="HB37:HB68" ca="1" si="232">(((66.6/100)*AM37)/KD37)*(FX37*0.001)</f>
        <v>1.593540840297699E-2</v>
      </c>
      <c r="HC37" s="141">
        <f t="shared" ref="HC37:HC64" ca="1" si="233">HA37*3600</f>
        <v>53.231352944897317</v>
      </c>
      <c r="HD37" s="141">
        <f t="shared" ca="1" si="152"/>
        <v>57.367470250717162</v>
      </c>
      <c r="HE37" s="137">
        <f t="shared" si="153"/>
        <v>8.9630041618841076</v>
      </c>
      <c r="HF37" s="250">
        <f t="shared" si="154"/>
        <v>8.7905291105628756</v>
      </c>
      <c r="HG37" s="137">
        <v>3.0326222452937315</v>
      </c>
      <c r="HH37" s="251">
        <v>4.2248218101579571</v>
      </c>
      <c r="HI37" s="137">
        <f t="shared" ca="1" si="155"/>
        <v>1.3680182773580687</v>
      </c>
      <c r="HJ37" s="251">
        <f t="shared" ca="1" si="156"/>
        <v>1.4828866615380099</v>
      </c>
      <c r="HK37" s="137">
        <f t="shared" ca="1" si="157"/>
        <v>0.87693150761830319</v>
      </c>
      <c r="HL37" s="251">
        <f t="shared" ca="1" si="158"/>
        <v>0.92493722569193393</v>
      </c>
      <c r="HM37" s="137">
        <f t="shared" ca="1" si="159"/>
        <v>0.9774648656002688</v>
      </c>
      <c r="HN37" s="251">
        <f t="shared" ca="1" si="160"/>
        <v>1.0254705836738995</v>
      </c>
      <c r="HO37" s="137">
        <f t="shared" ca="1" si="161"/>
        <v>0.15183167820121155</v>
      </c>
      <c r="HP37" s="251">
        <f t="shared" ca="1" si="162"/>
        <v>1.2744574111596974</v>
      </c>
      <c r="JN37" s="143">
        <f t="shared" ref="JN37:JN68" si="234">CD37+M37</f>
        <v>19.217706748958129</v>
      </c>
      <c r="JO37" s="143">
        <f t="shared" ref="JO37:JO66" si="235">CB37</f>
        <v>3032.6222452937313</v>
      </c>
      <c r="JP37" s="143">
        <f t="shared" ref="JP37:JP68" si="236">CA37-BS37</f>
        <v>3908.2813401885505</v>
      </c>
      <c r="JQ37" s="143">
        <f t="shared" ref="JQ37:JQ68" si="237">(1/3.6)*U37</f>
        <v>1.1395366986592612</v>
      </c>
      <c r="JR37" s="143">
        <f t="shared" ref="JR37:JR66" ca="1" si="238">((0.66*JN37*(1-CG37)*CT37*CV37))/((CM37-CO37+CH37*(CP37-CO37)))</f>
        <v>1.1955021654658846</v>
      </c>
      <c r="JS37" s="143">
        <f t="shared" ref="JS37:JS68" si="239">0.28*Z37</f>
        <v>48.066569824218753</v>
      </c>
      <c r="JT37" s="143">
        <f t="shared" ref="JT37:JT66" ca="1" si="240">((JR37*ET37)-EX37*(FE37-EY37))/(FO37-FJ37)</f>
        <v>403.46518504734445</v>
      </c>
      <c r="JU37" s="143">
        <f t="shared" si="166"/>
        <v>0.2785078672227555</v>
      </c>
      <c r="JV37" s="143">
        <f t="shared" ref="JV37:JV68" si="241">JP37/(CD37*E37)</f>
        <v>0.35892604238843401</v>
      </c>
      <c r="JW37" s="143">
        <f t="shared" ref="JW37:JW68" ca="1" si="242">(JQ37*(CM37-CN37))/((JN37*CU37)+(CD37*E37))</f>
        <v>0.28109240399093854</v>
      </c>
      <c r="JX37" s="143">
        <f t="shared" ref="JX37:JX68" ca="1" si="243">(JR37*(CM37-CN37))/((JN37*CU37)+(CD37*E37))</f>
        <v>0.29489754745288926</v>
      </c>
      <c r="JY37" s="143">
        <f t="shared" ref="JY37:JY68" si="244">Y37/(X37*(DA37-DB37))</f>
        <v>0.50892729096200229</v>
      </c>
      <c r="JZ37" s="143">
        <f t="shared" ref="JZ37:JZ68" si="245">((BO37/(BM37-BO37)))*((BN37-BM37)/BN37)</f>
        <v>0.16374303073503202</v>
      </c>
      <c r="KA37" s="143">
        <f t="shared" ref="KA37:KA66" si="246">(DZ37)/(DD37)</f>
        <v>0.26274327096486372</v>
      </c>
      <c r="KB37" s="143">
        <f t="shared" ref="KB37:KB66" si="247">EA37/(DE37)</f>
        <v>0.33860947395135288</v>
      </c>
      <c r="KC37" s="143">
        <f t="shared" ref="KC37:KC66" ca="1" si="248">(EV37-EH37)/(DR37-EP37)</f>
        <v>0.63173205589291159</v>
      </c>
      <c r="KD37" s="143">
        <f t="shared" ref="KD37:KD66" ca="1" si="249">(EW37-EI37)/(DS37-EQ37)</f>
        <v>0.6237410111522711</v>
      </c>
      <c r="KE37" s="143">
        <f t="shared" ref="KE37:KE66" ca="1" si="250">FM37/EW37</f>
        <v>1.2428025059419703</v>
      </c>
      <c r="KF37" s="143">
        <f t="shared" ref="KF37:KF66" ca="1" si="251">FL37/EV37</f>
        <v>0.15533210813461876</v>
      </c>
      <c r="KG37" s="142">
        <f t="shared" ref="KG37:KG66" si="252">GL37</f>
        <v>0.1477504503744555</v>
      </c>
      <c r="KH37" s="142">
        <f t="shared" ref="KH37:KH66" ca="1" si="253">GR37</f>
        <v>0.12767202417883131</v>
      </c>
      <c r="KI37" s="142">
        <f t="shared" ref="KI37:KI66" ca="1" si="254">GU37+GY37+HC37</f>
        <v>378.47001873668137</v>
      </c>
      <c r="KJ37" s="142">
        <f t="shared" ref="KJ37:KJ66" ca="1" si="255">GV37+GZ37+HD37</f>
        <v>329.85904125804484</v>
      </c>
    </row>
    <row r="38" spans="1:296" x14ac:dyDescent="0.3">
      <c r="A38" s="201">
        <v>41331</v>
      </c>
      <c r="B38" s="196">
        <v>35</v>
      </c>
      <c r="C38" s="179">
        <v>24</v>
      </c>
      <c r="D38" s="152">
        <v>4.2</v>
      </c>
      <c r="E38" s="152">
        <v>50016</v>
      </c>
      <c r="F38" s="152">
        <v>300</v>
      </c>
      <c r="G38" s="152">
        <v>11.7</v>
      </c>
      <c r="H38" s="152">
        <v>0.85</v>
      </c>
      <c r="I38" s="152">
        <v>1.4</v>
      </c>
      <c r="J38" s="152">
        <v>1.33</v>
      </c>
      <c r="K38" s="152">
        <v>0.91</v>
      </c>
      <c r="L38" s="152">
        <v>26256.573608130217</v>
      </c>
      <c r="M38" s="155">
        <v>19</v>
      </c>
      <c r="N38" s="153">
        <v>73762.740832902491</v>
      </c>
      <c r="O38" s="178">
        <v>17</v>
      </c>
      <c r="P38" s="152">
        <v>2</v>
      </c>
      <c r="Q38" s="152">
        <v>5</v>
      </c>
      <c r="R38" s="154">
        <v>408.85797119140625</v>
      </c>
      <c r="S38" s="155">
        <v>118.84844223639811</v>
      </c>
      <c r="T38" s="152">
        <v>180</v>
      </c>
      <c r="U38" s="156">
        <v>4.7913303375244141</v>
      </c>
      <c r="V38" s="178">
        <v>17</v>
      </c>
      <c r="W38" s="152">
        <v>1250</v>
      </c>
      <c r="X38" s="155">
        <v>86545.397997394204</v>
      </c>
      <c r="Y38" s="155">
        <v>12437.308579899371</v>
      </c>
      <c r="Z38" s="155">
        <v>364.28158569335937</v>
      </c>
      <c r="AA38" s="155">
        <v>10.116250038146973</v>
      </c>
      <c r="AB38" s="155">
        <v>13.756351470947266</v>
      </c>
      <c r="AC38" s="215">
        <v>37</v>
      </c>
      <c r="AD38" s="215">
        <v>29.33860969543457</v>
      </c>
      <c r="AE38" s="254">
        <v>20</v>
      </c>
      <c r="AF38" s="254">
        <v>10</v>
      </c>
      <c r="AG38" s="217">
        <v>5000000</v>
      </c>
      <c r="AH38" s="218">
        <v>300000</v>
      </c>
      <c r="AI38" s="219">
        <v>5000000</v>
      </c>
      <c r="AJ38" s="225">
        <f t="shared" si="179"/>
        <v>300000</v>
      </c>
      <c r="AK38" s="220">
        <v>2750000</v>
      </c>
      <c r="AL38" s="226">
        <f t="shared" si="180"/>
        <v>300000</v>
      </c>
      <c r="AM38" s="221">
        <v>14.407</v>
      </c>
      <c r="BM38" s="197">
        <f t="shared" si="181"/>
        <v>7.6613903045654297</v>
      </c>
      <c r="BN38" s="196">
        <f t="shared" si="182"/>
        <v>180</v>
      </c>
      <c r="BO38" s="197">
        <f t="shared" si="183"/>
        <v>3.640101432800293</v>
      </c>
      <c r="BP38" s="196">
        <f t="shared" si="173"/>
        <v>12.682665074025115</v>
      </c>
      <c r="BQ38" s="115">
        <f t="shared" si="184"/>
        <v>659.74492511188635</v>
      </c>
      <c r="BR38" s="184">
        <f t="shared" si="185"/>
        <v>1.0041987768</v>
      </c>
      <c r="BS38" s="115">
        <f t="shared" si="186"/>
        <v>6863.8528613899143</v>
      </c>
      <c r="BT38" s="196">
        <v>900</v>
      </c>
      <c r="BU38" s="115">
        <f t="shared" si="101"/>
        <v>1.1850729520000001</v>
      </c>
      <c r="BV38" s="115">
        <f t="shared" si="102"/>
        <v>1.072106261170428</v>
      </c>
      <c r="BW38" s="115">
        <f t="shared" si="103"/>
        <v>471.59655122179242</v>
      </c>
      <c r="BX38" s="115">
        <f t="shared" si="187"/>
        <v>1134.5015271249522</v>
      </c>
      <c r="BY38" s="115"/>
      <c r="BZ38" s="115">
        <f t="shared" si="188"/>
        <v>662.90497590315977</v>
      </c>
      <c r="CA38" s="115">
        <f t="shared" si="189"/>
        <v>10739.456284399299</v>
      </c>
      <c r="CB38" s="115">
        <f t="shared" si="190"/>
        <v>3073.4475347042703</v>
      </c>
      <c r="CC38" s="115">
        <f t="shared" si="191"/>
        <v>1094.0239003387589</v>
      </c>
      <c r="CD38" s="129">
        <f t="shared" si="104"/>
        <v>0.21615920306835507</v>
      </c>
      <c r="CE38" s="115">
        <f t="shared" si="192"/>
        <v>21.428328570197611</v>
      </c>
      <c r="CF38" s="115">
        <f t="shared" si="193"/>
        <v>33.013456176777254</v>
      </c>
      <c r="CG38" s="115">
        <f t="shared" si="194"/>
        <v>0.02</v>
      </c>
      <c r="CH38" s="115">
        <f t="shared" si="195"/>
        <v>0.05</v>
      </c>
      <c r="CI38" s="136">
        <v>30</v>
      </c>
      <c r="CJ38" s="115">
        <f t="shared" si="18"/>
        <v>165</v>
      </c>
      <c r="CK38" s="115">
        <f t="shared" si="196"/>
        <v>453</v>
      </c>
      <c r="CL38" s="115">
        <f t="shared" si="197"/>
        <v>681.85797119140625</v>
      </c>
      <c r="CM38" s="115">
        <f t="shared" ca="1" si="198"/>
        <v>2816.5993052117487</v>
      </c>
      <c r="CN38" s="115">
        <f t="shared" ca="1" si="22"/>
        <v>125.80344444444444</v>
      </c>
      <c r="CO38" s="115">
        <f t="shared" ca="1" si="23"/>
        <v>690.58718083896258</v>
      </c>
      <c r="CP38" s="115">
        <f t="shared" ca="1" si="24"/>
        <v>2790.6388281929471</v>
      </c>
      <c r="CQ38" s="115">
        <f t="shared" si="105"/>
        <v>1.072449112508886</v>
      </c>
      <c r="CR38" s="115">
        <f t="shared" ca="1" si="199"/>
        <v>789.26908967883878</v>
      </c>
      <c r="CS38" s="115">
        <f t="shared" ca="1" si="200"/>
        <v>39.080106337822293</v>
      </c>
      <c r="CT38" s="115">
        <f t="shared" si="106"/>
        <v>1.1266396206938258</v>
      </c>
      <c r="CU38" s="115">
        <f t="shared" ca="1" si="107"/>
        <v>1.0237741823464737</v>
      </c>
      <c r="CV38" s="115">
        <f t="shared" si="108"/>
        <v>189.90497590315977</v>
      </c>
      <c r="CW38" s="115">
        <f t="shared" si="27"/>
        <v>473</v>
      </c>
      <c r="CX38" s="115">
        <f t="shared" si="28"/>
        <v>438</v>
      </c>
      <c r="CY38" s="115">
        <f t="shared" ca="1" si="109"/>
        <v>433.91989366217769</v>
      </c>
      <c r="CZ38" s="115">
        <f t="shared" ca="1" si="29"/>
        <v>247.93807752922856</v>
      </c>
      <c r="DA38" s="115">
        <v>0.21890000000000001</v>
      </c>
      <c r="DB38" s="115">
        <v>2.7E-2</v>
      </c>
      <c r="DC38" s="115">
        <v>1.06</v>
      </c>
      <c r="DD38" s="138">
        <f t="shared" si="201"/>
        <v>11.460103822706859</v>
      </c>
      <c r="DE38" s="138">
        <f t="shared" si="110"/>
        <v>11.460103822706859</v>
      </c>
      <c r="DF38" s="115">
        <f t="shared" si="31"/>
        <v>681.85797119140625</v>
      </c>
      <c r="DG38" s="115">
        <v>662.90497590315977</v>
      </c>
      <c r="DH38" s="115">
        <f t="shared" si="111"/>
        <v>1.1266396206938258</v>
      </c>
      <c r="DI38" s="115">
        <f t="shared" si="112"/>
        <v>1.1215467022327315</v>
      </c>
      <c r="DJ38" s="138">
        <f t="shared" si="202"/>
        <v>2.9675427818071394</v>
      </c>
      <c r="DK38" s="138">
        <f t="shared" si="203"/>
        <v>2.7267946389058682</v>
      </c>
      <c r="DL38" s="115">
        <f t="shared" si="113"/>
        <v>681.85797119140625</v>
      </c>
      <c r="DM38" s="115">
        <f t="shared" si="167"/>
        <v>662.90497590315977</v>
      </c>
      <c r="DN38" s="115">
        <f t="shared" si="174"/>
        <v>12.797962029243525</v>
      </c>
      <c r="DO38" s="115">
        <f t="shared" si="114"/>
        <v>1.1266396206938258</v>
      </c>
      <c r="DP38" s="115">
        <f t="shared" si="115"/>
        <v>1.1215467022327315</v>
      </c>
      <c r="DQ38" s="115">
        <v>298.14999999999998</v>
      </c>
      <c r="DR38" s="138">
        <f t="shared" si="116"/>
        <v>1.9763834926835551</v>
      </c>
      <c r="DS38" s="138">
        <f t="shared" si="117"/>
        <v>1.8160452295113081</v>
      </c>
      <c r="DT38" s="115">
        <f t="shared" si="35"/>
        <v>681.85797119140625</v>
      </c>
      <c r="DU38" s="139">
        <f t="shared" si="118"/>
        <v>6.4181971738248293</v>
      </c>
      <c r="DV38" s="115">
        <f t="shared" si="119"/>
        <v>1.1266396206938258</v>
      </c>
      <c r="DW38" s="115">
        <v>298.14999999999998</v>
      </c>
      <c r="DX38" s="138">
        <f t="shared" si="204"/>
        <v>0.99115928912358431</v>
      </c>
      <c r="DY38" s="138">
        <f t="shared" si="205"/>
        <v>0.91074940939455984</v>
      </c>
      <c r="DZ38" s="138">
        <f t="shared" si="38"/>
        <v>3.0734475347042705</v>
      </c>
      <c r="EA38" s="138">
        <f t="shared" si="168"/>
        <v>3.8756034230093848</v>
      </c>
      <c r="EB38" s="115">
        <f t="shared" si="120"/>
        <v>33.013456176777254</v>
      </c>
      <c r="EC38" s="115">
        <v>30</v>
      </c>
      <c r="ED38" s="198">
        <f t="shared" ca="1" si="40"/>
        <v>125.80344444444444</v>
      </c>
      <c r="EE38" s="198">
        <v>104.83</v>
      </c>
      <c r="EF38" s="198">
        <f t="shared" ca="1" si="169"/>
        <v>0.42491111111111107</v>
      </c>
      <c r="EG38" s="199">
        <v>0.36720000000000003</v>
      </c>
      <c r="EH38" s="138">
        <f t="shared" ca="1" si="121"/>
        <v>0.12435761775832531</v>
      </c>
      <c r="EI38" s="138">
        <f t="shared" ca="1" si="122"/>
        <v>0.12435761775832531</v>
      </c>
      <c r="EJ38" s="115">
        <f t="shared" si="170"/>
        <v>12.797962029243525</v>
      </c>
      <c r="EK38" s="115">
        <v>435</v>
      </c>
      <c r="EL38" s="115">
        <f t="shared" ca="1" si="171"/>
        <v>433.91989366217769</v>
      </c>
      <c r="EM38" s="115">
        <f t="shared" ca="1" si="123"/>
        <v>1.0633832666860876</v>
      </c>
      <c r="EN38" s="115">
        <f t="shared" ca="1" si="124"/>
        <v>1.0630530786344727</v>
      </c>
      <c r="EO38" s="115">
        <v>298.14999999999998</v>
      </c>
      <c r="EP38" s="138">
        <f t="shared" ca="1" si="125"/>
        <v>0.3296683409705386</v>
      </c>
      <c r="EQ38" s="138">
        <f t="shared" ca="1" si="126"/>
        <v>0.3249555661104076</v>
      </c>
      <c r="ER38" s="115">
        <f t="shared" si="44"/>
        <v>1.3309250937567818</v>
      </c>
      <c r="ES38" s="115">
        <f t="shared" si="172"/>
        <v>453</v>
      </c>
      <c r="ET38" s="115">
        <f t="shared" ca="1" si="206"/>
        <v>2816.5993052117487</v>
      </c>
      <c r="EU38" s="115">
        <f t="shared" ca="1" si="207"/>
        <v>6.5855309782608691</v>
      </c>
      <c r="EV38" s="138">
        <f t="shared" ca="1" si="175"/>
        <v>1.1416328402794129</v>
      </c>
      <c r="EW38" s="138">
        <f t="shared" ca="1" si="208"/>
        <v>1.0224177258722094</v>
      </c>
      <c r="EX38" s="115">
        <v>21.47</v>
      </c>
      <c r="EY38" s="115">
        <f t="shared" ca="1" si="209"/>
        <v>122.86978586535983</v>
      </c>
      <c r="EZ38" s="115">
        <f t="shared" ca="1" si="210"/>
        <v>0.41568839075300429</v>
      </c>
      <c r="FA38" s="138">
        <f t="shared" ca="1" si="127"/>
        <v>7.6926412325689128E-2</v>
      </c>
      <c r="FB38" s="138">
        <f t="shared" ca="1" si="128"/>
        <v>7.6926412325689128E-2</v>
      </c>
      <c r="FC38" s="115">
        <f t="shared" si="52"/>
        <v>21.47</v>
      </c>
      <c r="FD38" s="115">
        <v>37</v>
      </c>
      <c r="FE38" s="115">
        <f t="shared" ca="1" si="53"/>
        <v>154.93355555555553</v>
      </c>
      <c r="FF38" s="115">
        <f t="shared" ca="1" si="54"/>
        <v>0.52252222222222222</v>
      </c>
      <c r="FG38" s="138">
        <f t="shared" ca="1" si="176"/>
        <v>8.1462225449999703E-2</v>
      </c>
      <c r="FH38" s="138">
        <f t="shared" ca="1" si="129"/>
        <v>8.1462225449999703E-2</v>
      </c>
      <c r="FI38" s="115">
        <f t="shared" si="56"/>
        <v>101.99884399414063</v>
      </c>
      <c r="FJ38" s="115">
        <f t="shared" ca="1" si="211"/>
        <v>42.422074881871552</v>
      </c>
      <c r="FK38" s="115">
        <f t="shared" ca="1" si="212"/>
        <v>0.14764326442082723</v>
      </c>
      <c r="FL38" s="138">
        <f t="shared" ca="1" si="177"/>
        <v>0.31139386148147974</v>
      </c>
      <c r="FM38" s="138">
        <f t="shared" ca="1" si="213"/>
        <v>0.53482674687647447</v>
      </c>
      <c r="FN38" s="115">
        <f t="shared" si="130"/>
        <v>101.99884399414063</v>
      </c>
      <c r="FO38" s="115">
        <f t="shared" ca="1" si="214"/>
        <v>57.656303833855532</v>
      </c>
      <c r="FP38" s="115">
        <f t="shared" ca="1" si="215"/>
        <v>0.19840245662265354</v>
      </c>
      <c r="FQ38" s="138">
        <f t="shared" ca="1" si="178"/>
        <v>0.32163207674143618</v>
      </c>
      <c r="FR38" s="138">
        <f t="shared" ca="1" si="216"/>
        <v>0.55241113770310357</v>
      </c>
      <c r="FS38" s="139">
        <f t="shared" si="217"/>
        <v>5.4191135061954494</v>
      </c>
      <c r="FT38" s="249">
        <f t="shared" si="132"/>
        <v>4.8577057607916059</v>
      </c>
      <c r="FU38" s="139">
        <f t="shared" ca="1" si="218"/>
        <v>0.62943992919192882</v>
      </c>
      <c r="FV38" s="249">
        <f t="shared" ca="1" si="134"/>
        <v>0.5930295552870164</v>
      </c>
      <c r="FW38" s="139">
        <f t="shared" ca="1" si="135"/>
        <v>1.1473352424150589</v>
      </c>
      <c r="FX38" s="249">
        <f t="shared" ca="1" si="136"/>
        <v>1.035466303574528</v>
      </c>
      <c r="FY38" s="249">
        <f t="shared" si="219"/>
        <v>0.15000000000000002</v>
      </c>
      <c r="FZ38" s="139">
        <f t="shared" si="220"/>
        <v>1050000</v>
      </c>
      <c r="GA38" s="139">
        <f t="shared" si="137"/>
        <v>3.3757716049382713E-2</v>
      </c>
      <c r="GB38" s="139">
        <f t="shared" si="138"/>
        <v>121.52777777777777</v>
      </c>
      <c r="GC38" s="139">
        <f t="shared" si="221"/>
        <v>1050000</v>
      </c>
      <c r="GD38" s="139">
        <f t="shared" si="139"/>
        <v>6.7515432098765427E-2</v>
      </c>
      <c r="GE38" s="139">
        <f t="shared" si="140"/>
        <v>243.05555555555554</v>
      </c>
      <c r="GF38" s="139">
        <f t="shared" si="141"/>
        <v>4.5814043209876545E-2</v>
      </c>
      <c r="GG38" s="139">
        <f t="shared" si="222"/>
        <v>712500</v>
      </c>
      <c r="GH38" s="139">
        <f t="shared" si="142"/>
        <v>164.93055555555554</v>
      </c>
      <c r="GI38" s="137">
        <f t="shared" si="223"/>
        <v>50.793137414218464</v>
      </c>
      <c r="GJ38" s="137">
        <f t="shared" si="143"/>
        <v>0.18285529469118503</v>
      </c>
      <c r="GK38" s="251">
        <f t="shared" si="224"/>
        <v>41.175136886552686</v>
      </c>
      <c r="GL38" s="137">
        <f t="shared" si="164"/>
        <v>0.14823049279158848</v>
      </c>
      <c r="GM38" s="137">
        <f t="shared" ca="1" si="225"/>
        <v>9.0965501877325501</v>
      </c>
      <c r="GN38" s="137">
        <f t="shared" ca="1" si="144"/>
        <v>3.274758067583692E-2</v>
      </c>
      <c r="GO38" s="137">
        <f t="shared" ca="1" si="145"/>
        <v>0.11514620490800605</v>
      </c>
      <c r="GP38" s="137">
        <f t="shared" ca="1" si="226"/>
        <v>9.5996190332568236</v>
      </c>
      <c r="GQ38" s="137">
        <f t="shared" ca="1" si="146"/>
        <v>3.4558628519724292E-2</v>
      </c>
      <c r="GR38" s="137">
        <f t="shared" ca="1" si="147"/>
        <v>0.12151416497793352</v>
      </c>
      <c r="GS38" s="140">
        <f t="shared" si="227"/>
        <v>7.8073168283757849E-2</v>
      </c>
      <c r="GT38" s="140">
        <f t="shared" si="228"/>
        <v>6.9984966895724671E-2</v>
      </c>
      <c r="GU38" s="140">
        <f t="shared" si="148"/>
        <v>281.06340582152825</v>
      </c>
      <c r="GV38" s="140">
        <f t="shared" si="149"/>
        <v>251.94588082460882</v>
      </c>
      <c r="GW38" s="141">
        <f t="shared" ca="1" si="229"/>
        <v>6.0395151458721655E-3</v>
      </c>
      <c r="GX38" s="141">
        <f t="shared" ca="1" si="230"/>
        <v>5.6901553508113493E-3</v>
      </c>
      <c r="GY38" s="141">
        <f t="shared" ca="1" si="150"/>
        <v>21.742254525139796</v>
      </c>
      <c r="GZ38" s="141">
        <f t="shared" ca="1" si="165"/>
        <v>20.484559262920857</v>
      </c>
      <c r="HA38" s="141">
        <f t="shared" ca="1" si="231"/>
        <v>1.782042815202254E-2</v>
      </c>
      <c r="HB38" s="141">
        <f t="shared" ca="1" si="232"/>
        <v>1.6496131502501378E-2</v>
      </c>
      <c r="HC38" s="141">
        <f t="shared" ca="1" si="233"/>
        <v>64.153541347281148</v>
      </c>
      <c r="HD38" s="141">
        <f t="shared" ca="1" si="152"/>
        <v>59.386073409004958</v>
      </c>
      <c r="HE38" s="137">
        <f t="shared" si="153"/>
        <v>8.4925610408997194</v>
      </c>
      <c r="HF38" s="250">
        <f t="shared" si="154"/>
        <v>8.7333091838009906</v>
      </c>
      <c r="HG38" s="137">
        <v>3.0734475347042705</v>
      </c>
      <c r="HH38" s="251">
        <v>3.4439953804373729</v>
      </c>
      <c r="HI38" s="137">
        <f t="shared" ca="1" si="155"/>
        <v>1.6514279265731475</v>
      </c>
      <c r="HJ38" s="251">
        <f t="shared" ca="1" si="156"/>
        <v>1.4910896634009005</v>
      </c>
      <c r="HK38" s="137">
        <f t="shared" ca="1" si="157"/>
        <v>1.0172752225210877</v>
      </c>
      <c r="HL38" s="251">
        <f t="shared" ca="1" si="158"/>
        <v>0.89806010811388404</v>
      </c>
      <c r="HM38" s="137">
        <f t="shared" ca="1" si="159"/>
        <v>1.1416328402794129</v>
      </c>
      <c r="HN38" s="251">
        <f t="shared" ca="1" si="160"/>
        <v>1.0224177258722094</v>
      </c>
      <c r="HO38" s="137">
        <f t="shared" ca="1" si="161"/>
        <v>0.31139386148147974</v>
      </c>
      <c r="HP38" s="251">
        <f t="shared" ca="1" si="162"/>
        <v>0.53482674687647447</v>
      </c>
      <c r="JN38" s="143">
        <f t="shared" si="234"/>
        <v>19.216159203068354</v>
      </c>
      <c r="JO38" s="143">
        <f t="shared" si="235"/>
        <v>3073.4475347042703</v>
      </c>
      <c r="JP38" s="143">
        <f t="shared" si="236"/>
        <v>3875.6034230093846</v>
      </c>
      <c r="JQ38" s="143">
        <f t="shared" si="237"/>
        <v>1.3309250937567818</v>
      </c>
      <c r="JR38" s="143">
        <f t="shared" ca="1" si="238"/>
        <v>1.1919431183602089</v>
      </c>
      <c r="JS38" s="143">
        <f t="shared" si="239"/>
        <v>101.99884399414063</v>
      </c>
      <c r="JT38" s="143">
        <f t="shared" ca="1" si="240"/>
        <v>175.18556614768636</v>
      </c>
      <c r="JU38" s="143">
        <f t="shared" si="166"/>
        <v>0.28427791206668374</v>
      </c>
      <c r="JV38" s="143">
        <f t="shared" si="241"/>
        <v>0.3584731597501018</v>
      </c>
      <c r="JW38" s="143">
        <f t="shared" ca="1" si="242"/>
        <v>0.33064513067630807</v>
      </c>
      <c r="JX38" s="143">
        <f t="shared" ca="1" si="243"/>
        <v>0.2961174824771608</v>
      </c>
      <c r="JY38" s="143">
        <f t="shared" si="244"/>
        <v>0.74887176318249338</v>
      </c>
      <c r="JZ38" s="143">
        <f t="shared" si="245"/>
        <v>0.86667903981933003</v>
      </c>
      <c r="KA38" s="143">
        <f t="shared" si="246"/>
        <v>0.26818670949687146</v>
      </c>
      <c r="KB38" s="143">
        <f t="shared" si="247"/>
        <v>0.33818222617934129</v>
      </c>
      <c r="KC38" s="143">
        <f t="shared" ca="1" si="248"/>
        <v>0.61776028565890961</v>
      </c>
      <c r="KD38" s="143">
        <f t="shared" ca="1" si="249"/>
        <v>0.60228444348918264</v>
      </c>
      <c r="KE38" s="143">
        <f t="shared" ca="1" si="250"/>
        <v>0.52310003371686631</v>
      </c>
      <c r="KF38" s="143">
        <f t="shared" ca="1" si="251"/>
        <v>0.27276182893027723</v>
      </c>
      <c r="KG38" s="142">
        <f t="shared" si="252"/>
        <v>0.14823049279158848</v>
      </c>
      <c r="KH38" s="142">
        <f t="shared" ca="1" si="253"/>
        <v>0.12151416497793352</v>
      </c>
      <c r="KI38" s="142">
        <f t="shared" ca="1" si="254"/>
        <v>366.95920169394918</v>
      </c>
      <c r="KJ38" s="142">
        <f t="shared" ca="1" si="255"/>
        <v>331.81651349653464</v>
      </c>
    </row>
    <row r="39" spans="1:296" x14ac:dyDescent="0.3">
      <c r="A39" s="201">
        <v>41332</v>
      </c>
      <c r="B39" s="196">
        <v>36</v>
      </c>
      <c r="C39" s="179">
        <v>24</v>
      </c>
      <c r="D39" s="152">
        <v>4.2</v>
      </c>
      <c r="E39" s="152">
        <v>50016</v>
      </c>
      <c r="F39" s="152">
        <v>300</v>
      </c>
      <c r="G39" s="152">
        <v>11.7</v>
      </c>
      <c r="H39" s="152">
        <v>0.85</v>
      </c>
      <c r="I39" s="152">
        <v>1.4</v>
      </c>
      <c r="J39" s="152">
        <v>1.33</v>
      </c>
      <c r="K39" s="152">
        <v>0.91</v>
      </c>
      <c r="L39" s="152">
        <v>26151.191145077348</v>
      </c>
      <c r="M39" s="155">
        <v>19</v>
      </c>
      <c r="N39" s="153">
        <v>72830.674999378622</v>
      </c>
      <c r="O39" s="178">
        <v>17</v>
      </c>
      <c r="P39" s="152">
        <v>2</v>
      </c>
      <c r="Q39" s="152">
        <v>5</v>
      </c>
      <c r="R39" s="154">
        <v>406.5682373046875</v>
      </c>
      <c r="S39" s="155">
        <v>84.414671785052633</v>
      </c>
      <c r="T39" s="152">
        <v>180</v>
      </c>
      <c r="U39" s="156">
        <v>3.364302396774292</v>
      </c>
      <c r="V39" s="178">
        <v>17</v>
      </c>
      <c r="W39" s="152">
        <v>1250</v>
      </c>
      <c r="X39" s="155">
        <v>77841.878523826599</v>
      </c>
      <c r="Y39" s="155">
        <v>11305.783441480249</v>
      </c>
      <c r="Z39" s="155">
        <v>328.77044677734375</v>
      </c>
      <c r="AA39" s="155">
        <v>9.5117464065551758</v>
      </c>
      <c r="AB39" s="155">
        <v>13.947475433349609</v>
      </c>
      <c r="AC39" s="215">
        <v>37</v>
      </c>
      <c r="AD39" s="215">
        <v>29.019441604614258</v>
      </c>
      <c r="AE39" s="254">
        <v>20</v>
      </c>
      <c r="AF39" s="254">
        <v>10</v>
      </c>
      <c r="AG39" s="217">
        <v>5000000</v>
      </c>
      <c r="AH39" s="218">
        <v>300000</v>
      </c>
      <c r="AI39" s="219">
        <v>5000000</v>
      </c>
      <c r="AJ39" s="225">
        <f t="shared" si="179"/>
        <v>300000</v>
      </c>
      <c r="AK39" s="220">
        <v>2750000</v>
      </c>
      <c r="AL39" s="226">
        <f t="shared" si="180"/>
        <v>300000</v>
      </c>
      <c r="AM39" s="221">
        <v>14.407</v>
      </c>
      <c r="BM39" s="197">
        <f t="shared" si="181"/>
        <v>7.9805583953857422</v>
      </c>
      <c r="BN39" s="196">
        <f t="shared" si="182"/>
        <v>180</v>
      </c>
      <c r="BO39" s="197">
        <f t="shared" si="183"/>
        <v>4.4357290267944336</v>
      </c>
      <c r="BP39" s="196">
        <f t="shared" si="173"/>
        <v>12.682092478487069</v>
      </c>
      <c r="BQ39" s="115">
        <f t="shared" si="184"/>
        <v>659.74492511188635</v>
      </c>
      <c r="BR39" s="184">
        <f t="shared" si="185"/>
        <v>1.0041987768</v>
      </c>
      <c r="BS39" s="115">
        <f t="shared" si="186"/>
        <v>6863.8528613899143</v>
      </c>
      <c r="BT39" s="196">
        <v>900</v>
      </c>
      <c r="BU39" s="115">
        <f t="shared" si="101"/>
        <v>1.1850729520000001</v>
      </c>
      <c r="BV39" s="115">
        <f t="shared" si="102"/>
        <v>1.0719150991210937</v>
      </c>
      <c r="BW39" s="115">
        <f t="shared" si="103"/>
        <v>470.81334980839529</v>
      </c>
      <c r="BX39" s="115">
        <f t="shared" si="187"/>
        <v>1132.6174098699735</v>
      </c>
      <c r="BY39" s="115"/>
      <c r="BZ39" s="115">
        <f t="shared" si="188"/>
        <v>661.80406006157818</v>
      </c>
      <c r="CA39" s="115">
        <f t="shared" si="189"/>
        <v>10721.136732119918</v>
      </c>
      <c r="CB39" s="115">
        <f t="shared" si="190"/>
        <v>3034.6114583074427</v>
      </c>
      <c r="CC39" s="115">
        <f t="shared" si="191"/>
        <v>1089.6329643782228</v>
      </c>
      <c r="CD39" s="129">
        <f t="shared" si="104"/>
        <v>0.21529163407131602</v>
      </c>
      <c r="CE39" s="115">
        <f t="shared" si="192"/>
        <v>19.339438045726101</v>
      </c>
      <c r="CF39" s="115">
        <f t="shared" si="193"/>
        <v>23.4485199402924</v>
      </c>
      <c r="CG39" s="115">
        <f t="shared" si="194"/>
        <v>0.02</v>
      </c>
      <c r="CH39" s="115">
        <f t="shared" si="195"/>
        <v>0.05</v>
      </c>
      <c r="CI39" s="136">
        <v>30</v>
      </c>
      <c r="CJ39" s="115">
        <f t="shared" si="18"/>
        <v>165</v>
      </c>
      <c r="CK39" s="115">
        <f t="shared" si="196"/>
        <v>453</v>
      </c>
      <c r="CL39" s="115">
        <f t="shared" si="197"/>
        <v>679.5682373046875</v>
      </c>
      <c r="CM39" s="115">
        <f t="shared" ca="1" si="198"/>
        <v>2816.5993052117487</v>
      </c>
      <c r="CN39" s="115">
        <f t="shared" ca="1" si="22"/>
        <v>125.80344444444444</v>
      </c>
      <c r="CO39" s="115">
        <f t="shared" ca="1" si="23"/>
        <v>690.58718083896258</v>
      </c>
      <c r="CP39" s="115">
        <f t="shared" ca="1" si="24"/>
        <v>2790.6388281929471</v>
      </c>
      <c r="CQ39" s="115">
        <f t="shared" si="105"/>
        <v>1.072449112508886</v>
      </c>
      <c r="CR39" s="115">
        <f t="shared" ca="1" si="199"/>
        <v>554.19678941993845</v>
      </c>
      <c r="CS39" s="115">
        <f t="shared" ca="1" si="200"/>
        <v>27.44190492960978</v>
      </c>
      <c r="CT39" s="115">
        <f t="shared" si="106"/>
        <v>1.1260234453236537</v>
      </c>
      <c r="CU39" s="115">
        <f t="shared" ca="1" si="107"/>
        <v>1.0212757612246424</v>
      </c>
      <c r="CV39" s="115">
        <f t="shared" si="108"/>
        <v>188.80406006157818</v>
      </c>
      <c r="CW39" s="115">
        <f t="shared" si="27"/>
        <v>473</v>
      </c>
      <c r="CX39" s="115">
        <f t="shared" si="28"/>
        <v>438</v>
      </c>
      <c r="CY39" s="115">
        <f t="shared" ca="1" si="109"/>
        <v>445.55809507039021</v>
      </c>
      <c r="CZ39" s="115">
        <f t="shared" ca="1" si="29"/>
        <v>234.01014223429729</v>
      </c>
      <c r="DA39" s="115">
        <v>0.21890000000000001</v>
      </c>
      <c r="DB39" s="115">
        <v>2.7E-2</v>
      </c>
      <c r="DC39" s="115">
        <v>1.06</v>
      </c>
      <c r="DD39" s="138">
        <f t="shared" si="201"/>
        <v>11.414107951893598</v>
      </c>
      <c r="DE39" s="138">
        <f t="shared" si="110"/>
        <v>11.414107951893598</v>
      </c>
      <c r="DF39" s="115">
        <f t="shared" si="31"/>
        <v>679.5682373046875</v>
      </c>
      <c r="DG39" s="115">
        <v>661.80406006157818</v>
      </c>
      <c r="DH39" s="115">
        <f t="shared" si="111"/>
        <v>1.1260234453236537</v>
      </c>
      <c r="DI39" s="115">
        <f t="shared" si="112"/>
        <v>1.1212514369349398</v>
      </c>
      <c r="DJ39" s="138">
        <f t="shared" si="202"/>
        <v>2.9379427536493581</v>
      </c>
      <c r="DK39" s="138">
        <f t="shared" si="203"/>
        <v>2.7129112492202441</v>
      </c>
      <c r="DL39" s="115">
        <f t="shared" si="113"/>
        <v>679.5682373046875</v>
      </c>
      <c r="DM39" s="115">
        <f t="shared" si="167"/>
        <v>661.80406006157818</v>
      </c>
      <c r="DN39" s="115">
        <f t="shared" si="174"/>
        <v>12.797384228291497</v>
      </c>
      <c r="DO39" s="115">
        <f t="shared" si="114"/>
        <v>1.1260234453236537</v>
      </c>
      <c r="DP39" s="115">
        <f t="shared" si="115"/>
        <v>1.1212514369349398</v>
      </c>
      <c r="DQ39" s="115">
        <v>298.14999999999998</v>
      </c>
      <c r="DR39" s="138">
        <f t="shared" si="116"/>
        <v>1.9566698739304724</v>
      </c>
      <c r="DS39" s="138">
        <f t="shared" si="117"/>
        <v>1.8067988919806823</v>
      </c>
      <c r="DT39" s="115">
        <f t="shared" si="35"/>
        <v>679.5682373046875</v>
      </c>
      <c r="DU39" s="139">
        <f t="shared" si="118"/>
        <v>6.41790740577982</v>
      </c>
      <c r="DV39" s="115">
        <f t="shared" si="119"/>
        <v>1.1260234453236537</v>
      </c>
      <c r="DW39" s="115">
        <v>298.14999999999998</v>
      </c>
      <c r="DX39" s="138">
        <f t="shared" si="204"/>
        <v>0.98127287971888566</v>
      </c>
      <c r="DY39" s="138">
        <f t="shared" si="205"/>
        <v>0.90611235723956152</v>
      </c>
      <c r="DZ39" s="138">
        <f t="shared" si="38"/>
        <v>3.0346114583074426</v>
      </c>
      <c r="EA39" s="138">
        <f t="shared" si="168"/>
        <v>3.8572838707300034</v>
      </c>
      <c r="EB39" s="115">
        <f t="shared" si="120"/>
        <v>23.4485199402924</v>
      </c>
      <c r="EC39" s="115">
        <v>30</v>
      </c>
      <c r="ED39" s="198">
        <f t="shared" ca="1" si="40"/>
        <v>125.80344444444444</v>
      </c>
      <c r="EE39" s="198">
        <v>104.83</v>
      </c>
      <c r="EF39" s="198">
        <f t="shared" ca="1" si="169"/>
        <v>0.42491111111111107</v>
      </c>
      <c r="EG39" s="199">
        <v>0.36720000000000003</v>
      </c>
      <c r="EH39" s="138">
        <f t="shared" ca="1" si="121"/>
        <v>8.8327682630955875E-2</v>
      </c>
      <c r="EI39" s="138">
        <f t="shared" ca="1" si="122"/>
        <v>8.8327682630955875E-2</v>
      </c>
      <c r="EJ39" s="115">
        <f t="shared" si="170"/>
        <v>12.797384228291497</v>
      </c>
      <c r="EK39" s="115">
        <v>435</v>
      </c>
      <c r="EL39" s="115">
        <f t="shared" ca="1" si="171"/>
        <v>445.55809507039021</v>
      </c>
      <c r="EM39" s="115">
        <f t="shared" ca="1" si="123"/>
        <v>1.0625565573431639</v>
      </c>
      <c r="EN39" s="115">
        <f t="shared" ca="1" si="124"/>
        <v>1.0658174979157582</v>
      </c>
      <c r="EO39" s="115">
        <v>298.14999999999998</v>
      </c>
      <c r="EP39" s="138">
        <f t="shared" ca="1" si="125"/>
        <v>0.32939717363424403</v>
      </c>
      <c r="EQ39" s="138">
        <f t="shared" ca="1" si="126"/>
        <v>0.37689178980999494</v>
      </c>
      <c r="ER39" s="115">
        <f t="shared" si="44"/>
        <v>0.93452844354841447</v>
      </c>
      <c r="ES39" s="115">
        <f t="shared" si="172"/>
        <v>453</v>
      </c>
      <c r="ET39" s="115">
        <f t="shared" ca="1" si="206"/>
        <v>2816.5993052117487</v>
      </c>
      <c r="EU39" s="115">
        <f t="shared" ca="1" si="207"/>
        <v>6.5855309782608691</v>
      </c>
      <c r="EV39" s="138">
        <f t="shared" ca="1" si="175"/>
        <v>0.80161413015257388</v>
      </c>
      <c r="EW39" s="138">
        <f t="shared" ca="1" si="208"/>
        <v>1.0158887721697878</v>
      </c>
      <c r="EX39" s="115">
        <v>21.47</v>
      </c>
      <c r="EY39" s="115">
        <f t="shared" ca="1" si="209"/>
        <v>121.53403194215562</v>
      </c>
      <c r="EZ39" s="115">
        <f t="shared" ca="1" si="210"/>
        <v>0.411237769042121</v>
      </c>
      <c r="FA39" s="138">
        <f t="shared" ca="1" si="127"/>
        <v>7.673745356524854E-2</v>
      </c>
      <c r="FB39" s="138">
        <f t="shared" ca="1" si="128"/>
        <v>7.673745356524854E-2</v>
      </c>
      <c r="FC39" s="115">
        <f t="shared" si="52"/>
        <v>21.47</v>
      </c>
      <c r="FD39" s="115">
        <v>37</v>
      </c>
      <c r="FE39" s="115">
        <f t="shared" ca="1" si="53"/>
        <v>154.93355555555553</v>
      </c>
      <c r="FF39" s="115">
        <f t="shared" ca="1" si="54"/>
        <v>0.52252222222222222</v>
      </c>
      <c r="FG39" s="138">
        <f t="shared" ca="1" si="176"/>
        <v>8.1462225449999703E-2</v>
      </c>
      <c r="FH39" s="138">
        <f t="shared" ca="1" si="129"/>
        <v>8.1462225449999703E-2</v>
      </c>
      <c r="FI39" s="115">
        <f t="shared" si="56"/>
        <v>92.055725097656264</v>
      </c>
      <c r="FJ39" s="115">
        <f t="shared" ca="1" si="211"/>
        <v>39.892160016589699</v>
      </c>
      <c r="FK39" s="115">
        <f t="shared" ca="1" si="212"/>
        <v>0.13921379711363052</v>
      </c>
      <c r="FL39" s="138">
        <f t="shared" ca="1" si="177"/>
        <v>0.27950386458633752</v>
      </c>
      <c r="FM39" s="138">
        <f t="shared" ca="1" si="213"/>
        <v>0.42830262028356775</v>
      </c>
      <c r="FN39" s="115">
        <f t="shared" si="130"/>
        <v>92.055725097656264</v>
      </c>
      <c r="FO39" s="115">
        <f t="shared" ca="1" si="214"/>
        <v>58.456178852505161</v>
      </c>
      <c r="FP39" s="115">
        <f t="shared" ca="1" si="215"/>
        <v>0.20106757409837511</v>
      </c>
      <c r="FQ39" s="138">
        <f t="shared" ca="1" si="178"/>
        <v>0.29076368158243349</v>
      </c>
      <c r="FR39" s="138">
        <f t="shared" ca="1" si="216"/>
        <v>0.44555679718190438</v>
      </c>
      <c r="FS39" s="139">
        <f t="shared" si="217"/>
        <v>5.4415537399367979</v>
      </c>
      <c r="FT39" s="249">
        <f t="shared" si="132"/>
        <v>4.8439128319433502</v>
      </c>
      <c r="FU39" s="139">
        <f t="shared" ca="1" si="218"/>
        <v>0.91398625277461054</v>
      </c>
      <c r="FV39" s="249">
        <f t="shared" ca="1" si="134"/>
        <v>0.5023460126318553</v>
      </c>
      <c r="FW39" s="139">
        <f t="shared" ca="1" si="135"/>
        <v>0.80814917526391872</v>
      </c>
      <c r="FX39" s="249">
        <f t="shared" ca="1" si="136"/>
        <v>1.0284181771833731</v>
      </c>
      <c r="FY39" s="249">
        <f t="shared" si="219"/>
        <v>0.15000000000000002</v>
      </c>
      <c r="FZ39" s="139">
        <f t="shared" si="220"/>
        <v>1050000</v>
      </c>
      <c r="GA39" s="139">
        <f t="shared" si="137"/>
        <v>3.3757716049382713E-2</v>
      </c>
      <c r="GB39" s="139">
        <f t="shared" si="138"/>
        <v>121.52777777777777</v>
      </c>
      <c r="GC39" s="139">
        <f t="shared" si="221"/>
        <v>1050000</v>
      </c>
      <c r="GD39" s="139">
        <f t="shared" si="139"/>
        <v>6.7515432098765427E-2</v>
      </c>
      <c r="GE39" s="139">
        <f t="shared" si="140"/>
        <v>243.05555555555554</v>
      </c>
      <c r="GF39" s="139">
        <f t="shared" si="141"/>
        <v>4.5814043209876545E-2</v>
      </c>
      <c r="GG39" s="139">
        <f t="shared" si="222"/>
        <v>712500</v>
      </c>
      <c r="GH39" s="139">
        <f t="shared" si="142"/>
        <v>164.93055555555554</v>
      </c>
      <c r="GI39" s="137">
        <f t="shared" si="223"/>
        <v>51.36533299305021</v>
      </c>
      <c r="GJ39" s="137">
        <f t="shared" si="143"/>
        <v>0.18491519877497928</v>
      </c>
      <c r="GK39" s="251">
        <f t="shared" si="224"/>
        <v>41.250751118476671</v>
      </c>
      <c r="GL39" s="137">
        <f t="shared" si="164"/>
        <v>0.14850270402651483</v>
      </c>
      <c r="GM39" s="137">
        <f t="shared" ca="1" si="225"/>
        <v>8.9238711865638685</v>
      </c>
      <c r="GN39" s="137">
        <f t="shared" ca="1" si="144"/>
        <v>3.2125936271629671E-2</v>
      </c>
      <c r="GO39" s="137">
        <f t="shared" ca="1" si="145"/>
        <v>0.11296039476663035</v>
      </c>
      <c r="GP39" s="137">
        <f t="shared" ca="1" si="226"/>
        <v>9.3853579714141944</v>
      </c>
      <c r="GQ39" s="137">
        <f t="shared" ca="1" si="146"/>
        <v>3.3787288697090828E-2</v>
      </c>
      <c r="GR39" s="137">
        <f t="shared" ca="1" si="147"/>
        <v>0.11880199963815341</v>
      </c>
      <c r="GS39" s="140">
        <f t="shared" si="227"/>
        <v>7.8396464731269447E-2</v>
      </c>
      <c r="GT39" s="140">
        <f t="shared" si="228"/>
        <v>6.9786252169807855E-2</v>
      </c>
      <c r="GU39" s="140">
        <f t="shared" si="148"/>
        <v>282.22727303257</v>
      </c>
      <c r="GV39" s="140">
        <f t="shared" si="149"/>
        <v>251.23050781130829</v>
      </c>
      <c r="GW39" s="141">
        <f t="shared" ca="1" si="229"/>
        <v>8.7697547625200586E-3</v>
      </c>
      <c r="GX39" s="141">
        <f t="shared" ca="1" si="230"/>
        <v>4.8200411366554341E-3</v>
      </c>
      <c r="GY39" s="141">
        <f t="shared" ca="1" si="150"/>
        <v>31.571117145072211</v>
      </c>
      <c r="GZ39" s="141">
        <f t="shared" ca="1" si="165"/>
        <v>17.352148091959563</v>
      </c>
      <c r="HA39" s="141">
        <f t="shared" ca="1" si="231"/>
        <v>1.7690319862045514E-2</v>
      </c>
      <c r="HB39" s="141">
        <f t="shared" ca="1" si="232"/>
        <v>1.5211877895510579E-2</v>
      </c>
      <c r="HC39" s="141">
        <f t="shared" ca="1" si="233"/>
        <v>63.685151503363855</v>
      </c>
      <c r="HD39" s="141">
        <f t="shared" ca="1" si="152"/>
        <v>54.762760423838088</v>
      </c>
      <c r="HE39" s="137">
        <f t="shared" si="153"/>
        <v>8.4761651982442405</v>
      </c>
      <c r="HF39" s="250">
        <f t="shared" si="154"/>
        <v>8.7011967026733537</v>
      </c>
      <c r="HG39" s="137">
        <v>3.0346114583074426</v>
      </c>
      <c r="HH39" s="251">
        <v>3.4527665110703949</v>
      </c>
      <c r="HI39" s="137">
        <f t="shared" ca="1" si="155"/>
        <v>1.5797780841204774</v>
      </c>
      <c r="HJ39" s="251">
        <f t="shared" ca="1" si="156"/>
        <v>1.4299071021706875</v>
      </c>
      <c r="HK39" s="137">
        <f t="shared" ca="1" si="157"/>
        <v>0.71328644752161796</v>
      </c>
      <c r="HL39" s="251">
        <f t="shared" ca="1" si="158"/>
        <v>0.92756108953883187</v>
      </c>
      <c r="HM39" s="137">
        <f t="shared" ca="1" si="159"/>
        <v>0.80161413015257388</v>
      </c>
      <c r="HN39" s="251">
        <f t="shared" ca="1" si="160"/>
        <v>1.0158887721697878</v>
      </c>
      <c r="HO39" s="137">
        <f t="shared" ca="1" si="161"/>
        <v>0.27950386458633752</v>
      </c>
      <c r="HP39" s="251">
        <f t="shared" ca="1" si="162"/>
        <v>0.42830262028356775</v>
      </c>
      <c r="JN39" s="143">
        <f t="shared" si="234"/>
        <v>19.215291634071317</v>
      </c>
      <c r="JO39" s="143">
        <f t="shared" si="235"/>
        <v>3034.6114583074427</v>
      </c>
      <c r="JP39" s="143">
        <f t="shared" si="236"/>
        <v>3857.2838707300034</v>
      </c>
      <c r="JQ39" s="143">
        <f t="shared" si="237"/>
        <v>0.93452844354841447</v>
      </c>
      <c r="JR39" s="143">
        <f t="shared" ca="1" si="238"/>
        <v>1.1843316096404684</v>
      </c>
      <c r="JS39" s="143">
        <f t="shared" si="239"/>
        <v>92.055725097656264</v>
      </c>
      <c r="JT39" s="143">
        <f t="shared" ca="1" si="240"/>
        <v>141.06319542229775</v>
      </c>
      <c r="JU39" s="143">
        <f t="shared" si="166"/>
        <v>0.28181686728065691</v>
      </c>
      <c r="JV39" s="143">
        <f t="shared" si="241"/>
        <v>0.35821642131004072</v>
      </c>
      <c r="JW39" s="143">
        <f t="shared" ca="1" si="242"/>
        <v>0.23310221924857547</v>
      </c>
      <c r="JX39" s="143">
        <f t="shared" ca="1" si="243"/>
        <v>0.29541136863120909</v>
      </c>
      <c r="JY39" s="143">
        <f t="shared" si="244"/>
        <v>0.7568544690475375</v>
      </c>
      <c r="JZ39" s="143">
        <f t="shared" si="245"/>
        <v>1.1958444743009842</v>
      </c>
      <c r="KA39" s="143">
        <f t="shared" si="246"/>
        <v>0.26586496913269525</v>
      </c>
      <c r="KB39" s="143">
        <f t="shared" si="247"/>
        <v>0.33794002010381202</v>
      </c>
      <c r="KC39" s="143">
        <f t="shared" ca="1" si="248"/>
        <v>0.43833246105079465</v>
      </c>
      <c r="KD39" s="143">
        <f t="shared" ca="1" si="249"/>
        <v>0.64868625949947145</v>
      </c>
      <c r="KE39" s="143">
        <f t="shared" ca="1" si="250"/>
        <v>0.42160385272176681</v>
      </c>
      <c r="KF39" s="143">
        <f t="shared" ca="1" si="251"/>
        <v>0.34867631953186584</v>
      </c>
      <c r="KG39" s="142">
        <f t="shared" si="252"/>
        <v>0.14850270402651483</v>
      </c>
      <c r="KH39" s="142">
        <f t="shared" ca="1" si="253"/>
        <v>0.11880199963815341</v>
      </c>
      <c r="KI39" s="142">
        <f t="shared" ca="1" si="254"/>
        <v>377.48354168100605</v>
      </c>
      <c r="KJ39" s="142">
        <f t="shared" ca="1" si="255"/>
        <v>323.34541632710591</v>
      </c>
    </row>
    <row r="40" spans="1:296" ht="17.25" thickBot="1" x14ac:dyDescent="0.35">
      <c r="A40" s="202">
        <v>41333</v>
      </c>
      <c r="B40" s="196">
        <v>37</v>
      </c>
      <c r="C40" s="181">
        <v>24</v>
      </c>
      <c r="D40" s="157">
        <v>4.2</v>
      </c>
      <c r="E40" s="157">
        <v>50016</v>
      </c>
      <c r="F40" s="157">
        <v>300</v>
      </c>
      <c r="G40" s="157">
        <v>11.7</v>
      </c>
      <c r="H40" s="157">
        <v>0.85</v>
      </c>
      <c r="I40" s="157">
        <v>1.4</v>
      </c>
      <c r="J40" s="157">
        <v>1.33</v>
      </c>
      <c r="K40" s="157">
        <v>0.91</v>
      </c>
      <c r="L40" s="157">
        <v>26229.951321206987</v>
      </c>
      <c r="M40" s="160">
        <v>19</v>
      </c>
      <c r="N40" s="158">
        <v>73583.681391060352</v>
      </c>
      <c r="O40" s="180">
        <v>17</v>
      </c>
      <c r="P40" s="157">
        <v>2</v>
      </c>
      <c r="Q40" s="157">
        <v>5</v>
      </c>
      <c r="R40" s="159">
        <v>411.87631225585937</v>
      </c>
      <c r="S40" s="160">
        <v>134.17156538181007</v>
      </c>
      <c r="T40" s="157">
        <v>180</v>
      </c>
      <c r="U40" s="161">
        <v>5.4246444702148437</v>
      </c>
      <c r="V40" s="180">
        <v>17</v>
      </c>
      <c r="W40" s="157">
        <v>1250</v>
      </c>
      <c r="X40" s="160">
        <v>87746.09746940434</v>
      </c>
      <c r="Y40" s="160">
        <v>12182.064208557829</v>
      </c>
      <c r="Z40" s="160">
        <v>364.57089233398437</v>
      </c>
      <c r="AA40" s="160">
        <v>9.8632392883300781</v>
      </c>
      <c r="AB40" s="160">
        <v>13.638943672180176</v>
      </c>
      <c r="AC40" s="215">
        <v>37</v>
      </c>
      <c r="AD40" s="216">
        <v>30.198904037475586</v>
      </c>
      <c r="AE40" s="254">
        <v>20</v>
      </c>
      <c r="AF40" s="254">
        <v>10</v>
      </c>
      <c r="AG40" s="217">
        <v>5000000</v>
      </c>
      <c r="AH40" s="218">
        <v>300000</v>
      </c>
      <c r="AI40" s="219">
        <v>5000000</v>
      </c>
      <c r="AJ40" s="225">
        <f t="shared" si="179"/>
        <v>300000</v>
      </c>
      <c r="AK40" s="220">
        <v>2750000</v>
      </c>
      <c r="AL40" s="226">
        <f t="shared" si="180"/>
        <v>300000</v>
      </c>
      <c r="AM40" s="221">
        <v>14.407</v>
      </c>
      <c r="BM40" s="197">
        <f t="shared" si="181"/>
        <v>6.8010959625244141</v>
      </c>
      <c r="BN40" s="196">
        <f t="shared" si="182"/>
        <v>180</v>
      </c>
      <c r="BO40" s="197">
        <f t="shared" si="183"/>
        <v>3.7757043838500977</v>
      </c>
      <c r="BP40" s="196">
        <f t="shared" si="173"/>
        <v>12.682520421848054</v>
      </c>
      <c r="BQ40" s="115">
        <f t="shared" si="184"/>
        <v>659.74492511188635</v>
      </c>
      <c r="BR40" s="184">
        <f t="shared" si="185"/>
        <v>1.0041987768</v>
      </c>
      <c r="BS40" s="115">
        <f t="shared" si="186"/>
        <v>6863.8528613899143</v>
      </c>
      <c r="BT40" s="196">
        <v>900</v>
      </c>
      <c r="BU40" s="115">
        <f t="shared" si="101"/>
        <v>1.1850729520000001</v>
      </c>
      <c r="BV40" s="115">
        <f t="shared" si="102"/>
        <v>1.0720579590402455</v>
      </c>
      <c r="BW40" s="115">
        <f t="shared" si="103"/>
        <v>471.39870132737258</v>
      </c>
      <c r="BX40" s="115">
        <f t="shared" si="187"/>
        <v>1134.0255673097681</v>
      </c>
      <c r="BY40" s="115"/>
      <c r="BZ40" s="115">
        <f t="shared" si="188"/>
        <v>662.62686598239554</v>
      </c>
      <c r="CA40" s="115">
        <f t="shared" si="189"/>
        <v>10734.828300169685</v>
      </c>
      <c r="CB40" s="115">
        <f t="shared" si="190"/>
        <v>3065.9867246275148</v>
      </c>
      <c r="CC40" s="115">
        <f t="shared" si="191"/>
        <v>1092.9146383836244</v>
      </c>
      <c r="CD40" s="129">
        <f t="shared" si="104"/>
        <v>0.21594003310310872</v>
      </c>
      <c r="CE40" s="115">
        <f t="shared" si="192"/>
        <v>21.445346607881433</v>
      </c>
      <c r="CF40" s="115">
        <f t="shared" si="193"/>
        <v>37.269879272725021</v>
      </c>
      <c r="CG40" s="115">
        <f t="shared" si="194"/>
        <v>0.02</v>
      </c>
      <c r="CH40" s="115">
        <f t="shared" si="195"/>
        <v>0.05</v>
      </c>
      <c r="CI40" s="136">
        <v>30</v>
      </c>
      <c r="CJ40" s="115">
        <f t="shared" si="18"/>
        <v>165</v>
      </c>
      <c r="CK40" s="115">
        <f t="shared" si="196"/>
        <v>453</v>
      </c>
      <c r="CL40" s="115">
        <f t="shared" si="197"/>
        <v>684.87631225585937</v>
      </c>
      <c r="CM40" s="115">
        <f t="shared" ca="1" si="198"/>
        <v>2816.5993052117487</v>
      </c>
      <c r="CN40" s="115">
        <f t="shared" ca="1" si="22"/>
        <v>125.80344444444444</v>
      </c>
      <c r="CO40" s="115">
        <f t="shared" ca="1" si="23"/>
        <v>690.58718083896258</v>
      </c>
      <c r="CP40" s="115">
        <f t="shared" ca="1" si="24"/>
        <v>2790.6388281929471</v>
      </c>
      <c r="CQ40" s="115">
        <f t="shared" si="105"/>
        <v>1.072449112508886</v>
      </c>
      <c r="CR40" s="115">
        <f t="shared" ca="1" si="199"/>
        <v>893.59403364577543</v>
      </c>
      <c r="CS40" s="115">
        <f t="shared" ca="1" si="200"/>
        <v>44.246187541188476</v>
      </c>
      <c r="CT40" s="115">
        <f t="shared" si="106"/>
        <v>1.1274521990287472</v>
      </c>
      <c r="CU40" s="115">
        <f t="shared" ca="1" si="107"/>
        <v>1.0252750626993647</v>
      </c>
      <c r="CV40" s="115">
        <f t="shared" si="108"/>
        <v>189.62686598239554</v>
      </c>
      <c r="CW40" s="115">
        <f t="shared" si="27"/>
        <v>473</v>
      </c>
      <c r="CX40" s="115">
        <f t="shared" si="28"/>
        <v>438</v>
      </c>
      <c r="CY40" s="115">
        <f t="shared" ca="1" si="109"/>
        <v>428.75381245881152</v>
      </c>
      <c r="CZ40" s="115">
        <f t="shared" ca="1" si="29"/>
        <v>256.12249979704785</v>
      </c>
      <c r="DA40" s="115">
        <v>0.21890000000000001</v>
      </c>
      <c r="DB40" s="115">
        <v>2.7E-2</v>
      </c>
      <c r="DC40" s="115">
        <v>1.06</v>
      </c>
      <c r="DD40" s="138">
        <f t="shared" si="201"/>
        <v>11.448484097426192</v>
      </c>
      <c r="DE40" s="138">
        <f t="shared" si="110"/>
        <v>11.448484097426192</v>
      </c>
      <c r="DF40" s="115">
        <f t="shared" si="31"/>
        <v>684.87631225585937</v>
      </c>
      <c r="DG40" s="115">
        <v>662.62686598239554</v>
      </c>
      <c r="DH40" s="115">
        <f t="shared" si="111"/>
        <v>1.1274521990287472</v>
      </c>
      <c r="DI40" s="115">
        <f t="shared" si="112"/>
        <v>1.1214721068382523</v>
      </c>
      <c r="DJ40" s="138">
        <f t="shared" si="202"/>
        <v>3.0065112368741556</v>
      </c>
      <c r="DK40" s="138">
        <f t="shared" si="203"/>
        <v>2.7232850028162314</v>
      </c>
      <c r="DL40" s="115">
        <f t="shared" si="113"/>
        <v>684.87631225585937</v>
      </c>
      <c r="DM40" s="115">
        <f t="shared" si="167"/>
        <v>662.62686598239554</v>
      </c>
      <c r="DN40" s="115">
        <f t="shared" si="174"/>
        <v>12.797816062046671</v>
      </c>
      <c r="DO40" s="115">
        <f t="shared" si="114"/>
        <v>1.1274521990287472</v>
      </c>
      <c r="DP40" s="115">
        <f t="shared" si="115"/>
        <v>1.1214721068382523</v>
      </c>
      <c r="DQ40" s="115">
        <v>298.14999999999998</v>
      </c>
      <c r="DR40" s="138">
        <f t="shared" si="116"/>
        <v>2.0023364837581874</v>
      </c>
      <c r="DS40" s="138">
        <f t="shared" si="117"/>
        <v>1.81370781187561</v>
      </c>
      <c r="DT40" s="115">
        <f t="shared" si="35"/>
        <v>684.87631225585937</v>
      </c>
      <c r="DU40" s="139">
        <f t="shared" si="118"/>
        <v>6.4181239710564384</v>
      </c>
      <c r="DV40" s="115">
        <f t="shared" si="119"/>
        <v>1.1274521990287472</v>
      </c>
      <c r="DW40" s="115">
        <v>298.14999999999998</v>
      </c>
      <c r="DX40" s="138">
        <f t="shared" si="204"/>
        <v>1.0041747531159679</v>
      </c>
      <c r="DY40" s="138">
        <f t="shared" si="205"/>
        <v>0.90957719094062128</v>
      </c>
      <c r="DZ40" s="138">
        <f t="shared" si="38"/>
        <v>3.065986724627515</v>
      </c>
      <c r="EA40" s="138">
        <f t="shared" si="168"/>
        <v>3.8709754387797712</v>
      </c>
      <c r="EB40" s="115">
        <f t="shared" si="120"/>
        <v>37.269879272725021</v>
      </c>
      <c r="EC40" s="115">
        <v>30</v>
      </c>
      <c r="ED40" s="198">
        <f t="shared" ca="1" si="40"/>
        <v>125.80344444444444</v>
      </c>
      <c r="EE40" s="198">
        <v>104.83</v>
      </c>
      <c r="EF40" s="198">
        <f t="shared" ca="1" si="169"/>
        <v>0.42491111111111107</v>
      </c>
      <c r="EG40" s="199">
        <v>0.36720000000000003</v>
      </c>
      <c r="EH40" s="138">
        <f t="shared" ca="1" si="121"/>
        <v>0.1403910386019121</v>
      </c>
      <c r="EI40" s="138">
        <f t="shared" ca="1" si="122"/>
        <v>0.1403910386019121</v>
      </c>
      <c r="EJ40" s="115">
        <f t="shared" si="170"/>
        <v>12.797816062046671</v>
      </c>
      <c r="EK40" s="115">
        <v>435</v>
      </c>
      <c r="EL40" s="115">
        <f t="shared" ca="1" si="171"/>
        <v>428.75381245881152</v>
      </c>
      <c r="EM40" s="115">
        <f t="shared" ca="1" si="123"/>
        <v>1.0637363288839286</v>
      </c>
      <c r="EN40" s="115">
        <f t="shared" ca="1" si="124"/>
        <v>1.0618356260591566</v>
      </c>
      <c r="EO40" s="115">
        <v>298.14999999999998</v>
      </c>
      <c r="EP40" s="138">
        <f t="shared" ca="1" si="125"/>
        <v>0.32977403545389689</v>
      </c>
      <c r="EQ40" s="138">
        <f t="shared" ca="1" si="126"/>
        <v>0.30290329157507018</v>
      </c>
      <c r="ER40" s="115">
        <f t="shared" si="44"/>
        <v>1.50684568617079</v>
      </c>
      <c r="ES40" s="115">
        <f t="shared" si="172"/>
        <v>453</v>
      </c>
      <c r="ET40" s="115">
        <f t="shared" ca="1" si="206"/>
        <v>2816.5993052117487</v>
      </c>
      <c r="EU40" s="115">
        <f t="shared" ca="1" si="207"/>
        <v>6.5855309782608691</v>
      </c>
      <c r="EV40" s="138">
        <f t="shared" ca="1" si="175"/>
        <v>1.2925329371543934</v>
      </c>
      <c r="EW40" s="138">
        <f t="shared" ca="1" si="208"/>
        <v>1.0216451038073819</v>
      </c>
      <c r="EX40" s="115">
        <v>21.47</v>
      </c>
      <c r="EY40" s="115">
        <f t="shared" ca="1" si="209"/>
        <v>126.47021327506171</v>
      </c>
      <c r="EZ40" s="115">
        <f t="shared" ca="1" si="210"/>
        <v>0.42768471741146508</v>
      </c>
      <c r="FA40" s="138">
        <f t="shared" ca="1" si="127"/>
        <v>7.7435736901553254E-2</v>
      </c>
      <c r="FB40" s="138">
        <f t="shared" ca="1" si="128"/>
        <v>7.7435736901553254E-2</v>
      </c>
      <c r="FC40" s="115">
        <f t="shared" si="52"/>
        <v>21.47</v>
      </c>
      <c r="FD40" s="115">
        <v>37</v>
      </c>
      <c r="FE40" s="115">
        <f t="shared" ca="1" si="53"/>
        <v>154.93355555555553</v>
      </c>
      <c r="FF40" s="115">
        <f t="shared" ca="1" si="54"/>
        <v>0.52252222222222222</v>
      </c>
      <c r="FG40" s="138">
        <f t="shared" ca="1" si="176"/>
        <v>8.1462225449999703E-2</v>
      </c>
      <c r="FH40" s="138">
        <f t="shared" ca="1" si="129"/>
        <v>8.1462225449999703E-2</v>
      </c>
      <c r="FI40" s="115">
        <f t="shared" si="56"/>
        <v>102.07984985351564</v>
      </c>
      <c r="FJ40" s="115">
        <f t="shared" ca="1" si="211"/>
        <v>41.36319678158231</v>
      </c>
      <c r="FK40" s="115">
        <f t="shared" ca="1" si="212"/>
        <v>0.14411517007615832</v>
      </c>
      <c r="FL40" s="138">
        <f t="shared" ca="1" si="177"/>
        <v>0.31092897775318701</v>
      </c>
      <c r="FM40" s="138">
        <f t="shared" ca="1" si="213"/>
        <v>0.52885183911391687</v>
      </c>
      <c r="FN40" s="115">
        <f t="shared" si="130"/>
        <v>102.07984985351564</v>
      </c>
      <c r="FO40" s="115">
        <f t="shared" ca="1" si="214"/>
        <v>57.164939150704285</v>
      </c>
      <c r="FP40" s="115">
        <f t="shared" ca="1" si="215"/>
        <v>0.19676527009540135</v>
      </c>
      <c r="FQ40" s="138">
        <f t="shared" ca="1" si="178"/>
        <v>0.32155702625978494</v>
      </c>
      <c r="FR40" s="138">
        <f t="shared" ca="1" si="216"/>
        <v>0.54692883868958164</v>
      </c>
      <c r="FS40" s="139">
        <f t="shared" si="217"/>
        <v>5.3759861359245216</v>
      </c>
      <c r="FT40" s="249">
        <f t="shared" si="132"/>
        <v>4.8542236558301894</v>
      </c>
      <c r="FU40" s="139">
        <f t="shared" ca="1" si="218"/>
        <v>0.52042054975180907</v>
      </c>
      <c r="FV40" s="249">
        <f t="shared" ca="1" si="134"/>
        <v>0.62955045509506991</v>
      </c>
      <c r="FW40" s="139">
        <f t="shared" ca="1" si="135"/>
        <v>1.2991344971125449</v>
      </c>
      <c r="FX40" s="249">
        <f t="shared" ca="1" si="136"/>
        <v>1.0356956148346002</v>
      </c>
      <c r="FY40" s="249">
        <f t="shared" si="219"/>
        <v>0.15000000000000002</v>
      </c>
      <c r="FZ40" s="139">
        <f t="shared" si="220"/>
        <v>1050000</v>
      </c>
      <c r="GA40" s="139">
        <f t="shared" si="137"/>
        <v>3.3757716049382713E-2</v>
      </c>
      <c r="GB40" s="139">
        <f t="shared" si="138"/>
        <v>121.52777777777777</v>
      </c>
      <c r="GC40" s="139">
        <f t="shared" si="221"/>
        <v>1050000</v>
      </c>
      <c r="GD40" s="139">
        <f t="shared" si="139"/>
        <v>6.7515432098765427E-2</v>
      </c>
      <c r="GE40" s="139">
        <f t="shared" si="140"/>
        <v>243.05555555555554</v>
      </c>
      <c r="GF40" s="139">
        <f t="shared" si="141"/>
        <v>4.5814043209876545E-2</v>
      </c>
      <c r="GG40" s="139">
        <f t="shared" si="222"/>
        <v>712500</v>
      </c>
      <c r="GH40" s="139">
        <f t="shared" si="142"/>
        <v>164.93055555555554</v>
      </c>
      <c r="GI40" s="137">
        <f t="shared" si="223"/>
        <v>50.679025386267149</v>
      </c>
      <c r="GJ40" s="137">
        <f t="shared" si="143"/>
        <v>0.18244449139056029</v>
      </c>
      <c r="GK40" s="251">
        <f t="shared" si="224"/>
        <v>41.194180104561639</v>
      </c>
      <c r="GL40" s="137">
        <f t="shared" si="164"/>
        <v>0.14829904837642072</v>
      </c>
      <c r="GM40" s="137">
        <f t="shared" ca="1" si="225"/>
        <v>9.0921678476172598</v>
      </c>
      <c r="GN40" s="137">
        <f t="shared" ca="1" si="144"/>
        <v>3.2731804251421873E-2</v>
      </c>
      <c r="GO40" s="137">
        <f t="shared" ca="1" si="145"/>
        <v>0.11509073224831882</v>
      </c>
      <c r="GP40" s="137">
        <f t="shared" ca="1" si="226"/>
        <v>9.5834761862046882</v>
      </c>
      <c r="GQ40" s="137">
        <f t="shared" ca="1" si="146"/>
        <v>3.4500514270336603E-2</v>
      </c>
      <c r="GR40" s="137">
        <f t="shared" ca="1" si="147"/>
        <v>0.12130982514183054</v>
      </c>
      <c r="GS40" s="140">
        <f t="shared" si="227"/>
        <v>7.7451832260264586E-2</v>
      </c>
      <c r="GT40" s="140">
        <f t="shared" si="228"/>
        <v>6.9934800209545539E-2</v>
      </c>
      <c r="GU40" s="140">
        <f t="shared" si="148"/>
        <v>278.8265961369525</v>
      </c>
      <c r="GV40" s="140">
        <f t="shared" si="149"/>
        <v>251.76528075436394</v>
      </c>
      <c r="GW40" s="141">
        <f t="shared" ca="1" si="229"/>
        <v>4.9934674409426926E-3</v>
      </c>
      <c r="GX40" s="141">
        <f t="shared" ca="1" si="230"/>
        <v>6.0405756487654106E-3</v>
      </c>
      <c r="GY40" s="141">
        <f t="shared" ca="1" si="150"/>
        <v>17.976482787393692</v>
      </c>
      <c r="GZ40" s="141">
        <f t="shared" ca="1" si="165"/>
        <v>21.746072335555478</v>
      </c>
      <c r="HA40" s="141">
        <f t="shared" ca="1" si="231"/>
        <v>1.8095820183871642E-2</v>
      </c>
      <c r="HB40" s="141">
        <f t="shared" ca="1" si="232"/>
        <v>1.7036762333411226E-2</v>
      </c>
      <c r="HC40" s="141">
        <f t="shared" ca="1" si="233"/>
        <v>65.144952661937907</v>
      </c>
      <c r="HD40" s="141">
        <f t="shared" ca="1" si="152"/>
        <v>61.332344400280412</v>
      </c>
      <c r="HE40" s="137">
        <f t="shared" si="153"/>
        <v>8.4419728605520366</v>
      </c>
      <c r="HF40" s="250">
        <f t="shared" si="154"/>
        <v>8.7251990946099607</v>
      </c>
      <c r="HG40" s="137">
        <v>3.065986724627515</v>
      </c>
      <c r="HH40" s="251">
        <v>3.3643045785356844</v>
      </c>
      <c r="HI40" s="137">
        <f t="shared" ca="1" si="155"/>
        <v>1.6994331921831172</v>
      </c>
      <c r="HJ40" s="251">
        <f t="shared" ca="1" si="156"/>
        <v>1.5108045203005398</v>
      </c>
      <c r="HK40" s="137">
        <f t="shared" ca="1" si="157"/>
        <v>1.1521418985524814</v>
      </c>
      <c r="HL40" s="251">
        <f t="shared" ca="1" si="158"/>
        <v>0.88125406520546989</v>
      </c>
      <c r="HM40" s="137">
        <f t="shared" ca="1" si="159"/>
        <v>1.2925329371543934</v>
      </c>
      <c r="HN40" s="251">
        <f t="shared" ca="1" si="160"/>
        <v>1.0216451038073819</v>
      </c>
      <c r="HO40" s="137">
        <f t="shared" ca="1" si="161"/>
        <v>0.31092897775318701</v>
      </c>
      <c r="HP40" s="251">
        <f t="shared" ca="1" si="162"/>
        <v>0.52885183911391687</v>
      </c>
      <c r="JN40" s="143">
        <f t="shared" si="234"/>
        <v>19.215940033103109</v>
      </c>
      <c r="JO40" s="143">
        <f t="shared" si="235"/>
        <v>3065.9867246275148</v>
      </c>
      <c r="JP40" s="143">
        <f t="shared" si="236"/>
        <v>3870.9754387797711</v>
      </c>
      <c r="JQ40" s="143">
        <f t="shared" si="237"/>
        <v>1.50684568617079</v>
      </c>
      <c r="JR40" s="143">
        <f t="shared" ca="1" si="238"/>
        <v>1.1910423891083968</v>
      </c>
      <c r="JS40" s="143">
        <f t="shared" si="239"/>
        <v>102.07984985351564</v>
      </c>
      <c r="JT40" s="143">
        <f t="shared" ca="1" si="240"/>
        <v>173.62523339448023</v>
      </c>
      <c r="JU40" s="143">
        <f t="shared" si="166"/>
        <v>0.2838756555407897</v>
      </c>
      <c r="JV40" s="143">
        <f t="shared" si="241"/>
        <v>0.35840849584872403</v>
      </c>
      <c r="JW40" s="143">
        <f t="shared" ca="1" si="242"/>
        <v>0.37472780113956972</v>
      </c>
      <c r="JX40" s="143">
        <f t="shared" ca="1" si="243"/>
        <v>0.29619270216633359</v>
      </c>
      <c r="JY40" s="143">
        <f t="shared" si="244"/>
        <v>0.72346595576959571</v>
      </c>
      <c r="JZ40" s="143">
        <f t="shared" si="245"/>
        <v>1.2008507259797416</v>
      </c>
      <c r="KA40" s="143">
        <f t="shared" si="246"/>
        <v>0.26780722220829212</v>
      </c>
      <c r="KB40" s="143">
        <f t="shared" si="247"/>
        <v>0.33812122249879617</v>
      </c>
      <c r="KC40" s="143">
        <f t="shared" ca="1" si="248"/>
        <v>0.68884835942632106</v>
      </c>
      <c r="KD40" s="143">
        <f t="shared" ca="1" si="249"/>
        <v>0.58330118381573592</v>
      </c>
      <c r="KE40" s="143">
        <f t="shared" ca="1" si="250"/>
        <v>0.51764730936705505</v>
      </c>
      <c r="KF40" s="143">
        <f t="shared" ca="1" si="251"/>
        <v>0.24055787579210172</v>
      </c>
      <c r="KG40" s="142">
        <f t="shared" si="252"/>
        <v>0.14829904837642072</v>
      </c>
      <c r="KH40" s="142">
        <f t="shared" ca="1" si="253"/>
        <v>0.12130982514183054</v>
      </c>
      <c r="KI40" s="142">
        <f t="shared" ca="1" si="254"/>
        <v>361.94803158628412</v>
      </c>
      <c r="KJ40" s="142">
        <f t="shared" ca="1" si="255"/>
        <v>334.84369749019982</v>
      </c>
    </row>
    <row r="41" spans="1:296" x14ac:dyDescent="0.3">
      <c r="A41" s="203">
        <v>41334</v>
      </c>
      <c r="B41" s="196">
        <v>38</v>
      </c>
      <c r="C41" s="207">
        <v>24</v>
      </c>
      <c r="D41" s="189">
        <v>4.2</v>
      </c>
      <c r="E41" s="189">
        <v>50016</v>
      </c>
      <c r="F41" s="189">
        <v>300</v>
      </c>
      <c r="G41" s="189">
        <v>11.7</v>
      </c>
      <c r="H41" s="189">
        <v>0.85</v>
      </c>
      <c r="I41" s="189">
        <v>1.4</v>
      </c>
      <c r="J41" s="189">
        <v>1.33</v>
      </c>
      <c r="K41" s="189">
        <v>0.91</v>
      </c>
      <c r="L41" s="189">
        <v>26383.577764384449</v>
      </c>
      <c r="M41" s="191">
        <v>19</v>
      </c>
      <c r="N41" s="190">
        <v>73732.629166230559</v>
      </c>
      <c r="O41" s="186">
        <v>1</v>
      </c>
      <c r="P41" s="162">
        <v>2</v>
      </c>
      <c r="Q41" s="162">
        <v>5</v>
      </c>
      <c r="R41" s="163">
        <v>402.8018798828125</v>
      </c>
      <c r="S41" s="164">
        <v>83.509943172684871</v>
      </c>
      <c r="T41" s="162">
        <v>180</v>
      </c>
      <c r="U41" s="165">
        <v>3.3592467308044434</v>
      </c>
      <c r="V41" s="186">
        <v>17</v>
      </c>
      <c r="W41" s="162">
        <v>1250</v>
      </c>
      <c r="X41" s="164">
        <v>86707.939904972911</v>
      </c>
      <c r="Y41" s="164">
        <v>12090.792843803763</v>
      </c>
      <c r="Z41" s="164">
        <v>361.02511596679688</v>
      </c>
      <c r="AA41" s="164">
        <v>9.502955436706543</v>
      </c>
      <c r="AB41" s="164">
        <v>13.08094596862793</v>
      </c>
      <c r="AC41" s="266">
        <v>37</v>
      </c>
      <c r="AD41" s="266">
        <v>30.402420043945313</v>
      </c>
      <c r="AE41" s="254">
        <v>20</v>
      </c>
      <c r="AF41" s="254">
        <v>10</v>
      </c>
      <c r="AG41" s="217">
        <v>5000000</v>
      </c>
      <c r="AH41" s="218">
        <v>300000</v>
      </c>
      <c r="AI41" s="219">
        <v>5000000</v>
      </c>
      <c r="AJ41" s="225">
        <f t="shared" si="179"/>
        <v>300000</v>
      </c>
      <c r="AK41" s="220">
        <v>2750000</v>
      </c>
      <c r="AL41" s="226">
        <f t="shared" si="180"/>
        <v>300000</v>
      </c>
      <c r="AM41" s="221">
        <v>14.407</v>
      </c>
      <c r="BK41" s="283"/>
      <c r="BM41" s="197">
        <f t="shared" si="181"/>
        <v>6.5975799560546875</v>
      </c>
      <c r="BN41" s="196">
        <f t="shared" si="182"/>
        <v>180</v>
      </c>
      <c r="BO41" s="197">
        <f t="shared" si="183"/>
        <v>3.5779905319213867</v>
      </c>
      <c r="BP41" s="196">
        <f t="shared" si="173"/>
        <v>12.683355151017791</v>
      </c>
      <c r="BQ41" s="115">
        <f t="shared" si="184"/>
        <v>659.74492511188635</v>
      </c>
      <c r="BR41" s="184">
        <f t="shared" si="185"/>
        <v>1.0041987768</v>
      </c>
      <c r="BS41" s="115">
        <f t="shared" si="186"/>
        <v>6863.8528613899143</v>
      </c>
      <c r="BT41" s="196">
        <v>900</v>
      </c>
      <c r="BU41" s="115">
        <f t="shared" si="101"/>
        <v>1.1850729520000001</v>
      </c>
      <c r="BV41" s="115">
        <f t="shared" si="102"/>
        <v>1.0723367814797156</v>
      </c>
      <c r="BW41" s="115">
        <f t="shared" si="103"/>
        <v>472.54035087529371</v>
      </c>
      <c r="BX41" s="115">
        <f t="shared" si="187"/>
        <v>1136.7719893355495</v>
      </c>
      <c r="BY41" s="115"/>
      <c r="BZ41" s="115">
        <f t="shared" si="188"/>
        <v>664.23163846025579</v>
      </c>
      <c r="CA41" s="115">
        <f t="shared" si="189"/>
        <v>10761.534524106331</v>
      </c>
      <c r="CB41" s="115">
        <f t="shared" si="190"/>
        <v>3072.1928819262735</v>
      </c>
      <c r="CC41" s="115">
        <f t="shared" si="191"/>
        <v>1099.3157401826854</v>
      </c>
      <c r="CD41" s="129">
        <f t="shared" si="104"/>
        <v>0.21720477426938123</v>
      </c>
      <c r="CE41" s="115">
        <f t="shared" si="192"/>
        <v>21.236771527458639</v>
      </c>
      <c r="CF41" s="115">
        <f t="shared" si="193"/>
        <v>23.197206436856909</v>
      </c>
      <c r="CG41" s="115">
        <f t="shared" si="194"/>
        <v>0.02</v>
      </c>
      <c r="CH41" s="115">
        <f t="shared" si="195"/>
        <v>0.05</v>
      </c>
      <c r="CI41" s="136">
        <v>30</v>
      </c>
      <c r="CJ41" s="115">
        <f t="shared" si="18"/>
        <v>165</v>
      </c>
      <c r="CK41" s="115">
        <f t="shared" si="196"/>
        <v>453</v>
      </c>
      <c r="CL41" s="115">
        <f t="shared" si="197"/>
        <v>675.8018798828125</v>
      </c>
      <c r="CM41" s="115">
        <f t="shared" ca="1" si="198"/>
        <v>2816.5993052117487</v>
      </c>
      <c r="CN41" s="115">
        <f t="shared" ca="1" si="22"/>
        <v>125.80344444444444</v>
      </c>
      <c r="CO41" s="115">
        <f t="shared" ca="1" si="23"/>
        <v>690.58718083896258</v>
      </c>
      <c r="CP41" s="115">
        <f t="shared" ca="1" si="24"/>
        <v>2790.6388281929471</v>
      </c>
      <c r="CQ41" s="115">
        <f t="shared" si="105"/>
        <v>1.072449112508886</v>
      </c>
      <c r="CR41" s="115">
        <f t="shared" ca="1" si="199"/>
        <v>553.3639766943179</v>
      </c>
      <c r="CS41" s="115">
        <f t="shared" ca="1" si="200"/>
        <v>27.397939096234534</v>
      </c>
      <c r="CT41" s="115">
        <f t="shared" si="106"/>
        <v>1.1250104037465942</v>
      </c>
      <c r="CU41" s="115">
        <f t="shared" ca="1" si="107"/>
        <v>1.0206047003358301</v>
      </c>
      <c r="CV41" s="115">
        <f t="shared" si="108"/>
        <v>191.23163846025579</v>
      </c>
      <c r="CW41" s="115">
        <f t="shared" si="27"/>
        <v>473</v>
      </c>
      <c r="CX41" s="115">
        <f t="shared" si="28"/>
        <v>438</v>
      </c>
      <c r="CY41" s="115">
        <f t="shared" ca="1" si="109"/>
        <v>445.60206090376545</v>
      </c>
      <c r="CZ41" s="115">
        <f t="shared" ca="1" si="29"/>
        <v>230.19981897904705</v>
      </c>
      <c r="DA41" s="115">
        <v>0.21890000000000001</v>
      </c>
      <c r="DB41" s="115">
        <v>2.7E-2</v>
      </c>
      <c r="DC41" s="115">
        <v>1.06</v>
      </c>
      <c r="DD41" s="138">
        <f t="shared" si="201"/>
        <v>11.515536829248813</v>
      </c>
      <c r="DE41" s="138">
        <f t="shared" si="110"/>
        <v>11.515536829248813</v>
      </c>
      <c r="DF41" s="115">
        <f t="shared" si="31"/>
        <v>675.8018798828125</v>
      </c>
      <c r="DG41" s="115">
        <v>664.23163846025579</v>
      </c>
      <c r="DH41" s="115">
        <f t="shared" si="111"/>
        <v>1.1250104037465942</v>
      </c>
      <c r="DI41" s="115">
        <f t="shared" si="112"/>
        <v>1.1219026021354013</v>
      </c>
      <c r="DJ41" s="138">
        <f t="shared" si="202"/>
        <v>2.8899890554921557</v>
      </c>
      <c r="DK41" s="138">
        <f t="shared" si="203"/>
        <v>2.7435594282440112</v>
      </c>
      <c r="DL41" s="115">
        <f t="shared" si="113"/>
        <v>675.8018798828125</v>
      </c>
      <c r="DM41" s="115">
        <f t="shared" si="167"/>
        <v>664.23163846025579</v>
      </c>
      <c r="DN41" s="115">
        <f t="shared" si="174"/>
        <v>12.798658379663408</v>
      </c>
      <c r="DO41" s="115">
        <f t="shared" si="114"/>
        <v>1.1250104037465942</v>
      </c>
      <c r="DP41" s="115">
        <f t="shared" si="115"/>
        <v>1.1219026021354013</v>
      </c>
      <c r="DQ41" s="115">
        <v>298.14999999999998</v>
      </c>
      <c r="DR41" s="138">
        <f t="shared" si="116"/>
        <v>1.9247327109577759</v>
      </c>
      <c r="DS41" s="138">
        <f t="shared" si="117"/>
        <v>1.8272105792105116</v>
      </c>
      <c r="DT41" s="115">
        <f t="shared" si="35"/>
        <v>675.8018798828125</v>
      </c>
      <c r="DU41" s="139">
        <f t="shared" si="118"/>
        <v>6.418546394605972</v>
      </c>
      <c r="DV41" s="115">
        <f t="shared" si="119"/>
        <v>1.1250104037465942</v>
      </c>
      <c r="DW41" s="115">
        <v>298.14999999999998</v>
      </c>
      <c r="DX41" s="138">
        <f t="shared" si="204"/>
        <v>0.96525634453438003</v>
      </c>
      <c r="DY41" s="138">
        <f t="shared" si="205"/>
        <v>0.91634884903349945</v>
      </c>
      <c r="DZ41" s="138">
        <f t="shared" si="38"/>
        <v>3.0721928819262736</v>
      </c>
      <c r="EA41" s="138">
        <f t="shared" si="168"/>
        <v>3.8976816627164173</v>
      </c>
      <c r="EB41" s="115">
        <f t="shared" si="120"/>
        <v>23.197206436856909</v>
      </c>
      <c r="EC41" s="115">
        <v>30</v>
      </c>
      <c r="ED41" s="198">
        <f t="shared" ca="1" si="40"/>
        <v>125.80344444444444</v>
      </c>
      <c r="EE41" s="198">
        <v>104.83</v>
      </c>
      <c r="EF41" s="198">
        <f t="shared" ca="1" si="169"/>
        <v>0.42491111111111107</v>
      </c>
      <c r="EG41" s="199">
        <v>0.36720000000000003</v>
      </c>
      <c r="EH41" s="138">
        <f t="shared" ca="1" si="121"/>
        <v>8.738101565884647E-2</v>
      </c>
      <c r="EI41" s="138">
        <f t="shared" ca="1" si="122"/>
        <v>8.738101565884647E-2</v>
      </c>
      <c r="EJ41" s="115">
        <f t="shared" si="170"/>
        <v>12.798658379663408</v>
      </c>
      <c r="EK41" s="115">
        <v>435</v>
      </c>
      <c r="EL41" s="115">
        <f t="shared" ca="1" si="171"/>
        <v>445.60206090376545</v>
      </c>
      <c r="EM41" s="115">
        <f t="shared" ca="1" si="123"/>
        <v>1.0625533509371832</v>
      </c>
      <c r="EN41" s="115">
        <f t="shared" ca="1" si="124"/>
        <v>1.0658279971170117</v>
      </c>
      <c r="EO41" s="115">
        <v>298.14999999999998</v>
      </c>
      <c r="EP41" s="138">
        <f t="shared" ca="1" si="125"/>
        <v>0.32942897544536515</v>
      </c>
      <c r="EQ41" s="138">
        <f t="shared" ca="1" si="126"/>
        <v>0.37713146660054153</v>
      </c>
      <c r="ER41" s="115">
        <f t="shared" si="44"/>
        <v>0.93312409189012324</v>
      </c>
      <c r="ES41" s="115">
        <f t="shared" si="172"/>
        <v>453</v>
      </c>
      <c r="ET41" s="115">
        <f t="shared" ca="1" si="206"/>
        <v>2816.5993052117487</v>
      </c>
      <c r="EU41" s="115">
        <f t="shared" ca="1" si="207"/>
        <v>6.5855309782608691</v>
      </c>
      <c r="EV41" s="138">
        <f t="shared" ca="1" si="175"/>
        <v>0.80040951391990478</v>
      </c>
      <c r="EW41" s="138">
        <f t="shared" ca="1" si="208"/>
        <v>1.0281273693768542</v>
      </c>
      <c r="EX41" s="115">
        <v>21.47</v>
      </c>
      <c r="EY41" s="115">
        <f t="shared" ca="1" si="209"/>
        <v>127.32195037502713</v>
      </c>
      <c r="EZ41" s="115">
        <f t="shared" ca="1" si="210"/>
        <v>0.43052263505723737</v>
      </c>
      <c r="FA41" s="138">
        <f t="shared" ca="1" si="127"/>
        <v>7.7556225551322744E-2</v>
      </c>
      <c r="FB41" s="138">
        <f t="shared" ca="1" si="128"/>
        <v>7.7556225551322744E-2</v>
      </c>
      <c r="FC41" s="115">
        <f t="shared" si="52"/>
        <v>21.47</v>
      </c>
      <c r="FD41" s="115">
        <v>37</v>
      </c>
      <c r="FE41" s="115">
        <f t="shared" ca="1" si="53"/>
        <v>154.93355555555553</v>
      </c>
      <c r="FF41" s="115">
        <f t="shared" ca="1" si="54"/>
        <v>0.52252222222222222</v>
      </c>
      <c r="FG41" s="138">
        <f t="shared" ca="1" si="176"/>
        <v>8.1462225449999703E-2</v>
      </c>
      <c r="FH41" s="138">
        <f t="shared" ca="1" si="129"/>
        <v>8.1462225449999703E-2</v>
      </c>
      <c r="FI41" s="115">
        <f t="shared" si="56"/>
        <v>101.08703247070314</v>
      </c>
      <c r="FJ41" s="115">
        <f t="shared" ca="1" si="211"/>
        <v>39.855368830998749</v>
      </c>
      <c r="FK41" s="115">
        <f t="shared" ca="1" si="212"/>
        <v>0.13909121192296348</v>
      </c>
      <c r="FL41" s="138">
        <f t="shared" ca="1" si="177"/>
        <v>0.30690063454173783</v>
      </c>
      <c r="FM41" s="138">
        <f t="shared" ca="1" si="213"/>
        <v>0.56427821335562556</v>
      </c>
      <c r="FN41" s="115">
        <f t="shared" si="130"/>
        <v>101.08703247070314</v>
      </c>
      <c r="FO41" s="115">
        <f t="shared" ca="1" si="214"/>
        <v>54.829656761593291</v>
      </c>
      <c r="FP41" s="115">
        <f t="shared" ca="1" si="215"/>
        <v>0.18898430211808948</v>
      </c>
      <c r="FQ41" s="138">
        <f t="shared" ca="1" si="178"/>
        <v>0.3168741934148237</v>
      </c>
      <c r="FR41" s="138">
        <f t="shared" ca="1" si="216"/>
        <v>0.58261594664218441</v>
      </c>
      <c r="FS41" s="139">
        <f t="shared" si="217"/>
        <v>5.5533548918303843</v>
      </c>
      <c r="FT41" s="249">
        <f t="shared" si="132"/>
        <v>4.8742957382883834</v>
      </c>
      <c r="FU41" s="139">
        <f t="shared" ca="1" si="218"/>
        <v>0.88227523725135226</v>
      </c>
      <c r="FV41" s="249">
        <f t="shared" ca="1" si="134"/>
        <v>0.50933275889196228</v>
      </c>
      <c r="FW41" s="139">
        <f t="shared" ca="1" si="135"/>
        <v>0.80647707289431358</v>
      </c>
      <c r="FX41" s="249">
        <f t="shared" ca="1" si="136"/>
        <v>1.0425591027647361</v>
      </c>
      <c r="FY41" s="249">
        <f t="shared" si="219"/>
        <v>0.15000000000000002</v>
      </c>
      <c r="FZ41" s="139">
        <f t="shared" si="220"/>
        <v>1050000</v>
      </c>
      <c r="GA41" s="139">
        <f t="shared" si="137"/>
        <v>3.3757716049382713E-2</v>
      </c>
      <c r="GB41" s="139">
        <f t="shared" si="138"/>
        <v>121.52777777777777</v>
      </c>
      <c r="GC41" s="139">
        <f t="shared" si="221"/>
        <v>1050000</v>
      </c>
      <c r="GD41" s="139">
        <f t="shared" si="139"/>
        <v>6.7515432098765427E-2</v>
      </c>
      <c r="GE41" s="139">
        <f t="shared" si="140"/>
        <v>243.05555555555554</v>
      </c>
      <c r="GF41" s="139">
        <f t="shared" si="141"/>
        <v>4.5814043209876545E-2</v>
      </c>
      <c r="GG41" s="139">
        <f t="shared" si="222"/>
        <v>712500</v>
      </c>
      <c r="GH41" s="139">
        <f t="shared" si="142"/>
        <v>164.93055555555554</v>
      </c>
      <c r="GI41" s="137">
        <f t="shared" si="223"/>
        <v>51.437520005844213</v>
      </c>
      <c r="GJ41" s="137">
        <f t="shared" si="143"/>
        <v>0.1851750720210377</v>
      </c>
      <c r="GK41" s="251">
        <f t="shared" si="224"/>
        <v>41.084831528815855</v>
      </c>
      <c r="GL41" s="137">
        <f t="shared" si="164"/>
        <v>0.14790539350373591</v>
      </c>
      <c r="GM41" s="137">
        <f t="shared" ca="1" si="225"/>
        <v>9.1026433562048705</v>
      </c>
      <c r="GN41" s="137">
        <f t="shared" ca="1" si="144"/>
        <v>3.2769516082337274E-2</v>
      </c>
      <c r="GO41" s="137">
        <f t="shared" ca="1" si="145"/>
        <v>0.11522333362284555</v>
      </c>
      <c r="GP41" s="137">
        <f t="shared" ca="1" si="226"/>
        <v>9.6755347989798626</v>
      </c>
      <c r="GQ41" s="137">
        <f t="shared" ca="1" si="146"/>
        <v>3.4831925276327225E-2</v>
      </c>
      <c r="GR41" s="137">
        <f t="shared" ca="1" si="147"/>
        <v>0.1224751240377188</v>
      </c>
      <c r="GS41" s="140">
        <f t="shared" si="227"/>
        <v>8.0007183926600348E-2</v>
      </c>
      <c r="GT41" s="140">
        <f t="shared" si="228"/>
        <v>7.0223978701520737E-2</v>
      </c>
      <c r="GU41" s="140">
        <f t="shared" si="148"/>
        <v>288.02586213576126</v>
      </c>
      <c r="GV41" s="140">
        <f t="shared" si="149"/>
        <v>252.80632332547466</v>
      </c>
      <c r="GW41" s="141">
        <f t="shared" ca="1" si="229"/>
        <v>8.4654856024914335E-3</v>
      </c>
      <c r="GX41" s="141">
        <f t="shared" ca="1" si="230"/>
        <v>4.8870794001994291E-3</v>
      </c>
      <c r="GY41" s="141">
        <f t="shared" ca="1" si="150"/>
        <v>30.475748168969162</v>
      </c>
      <c r="GZ41" s="141">
        <f t="shared" ca="1" si="165"/>
        <v>17.593485840717946</v>
      </c>
      <c r="HA41" s="141">
        <f t="shared" ca="1" si="231"/>
        <v>1.7313158497189618E-2</v>
      </c>
      <c r="HB41" s="141">
        <f t="shared" ca="1" si="232"/>
        <v>1.5419405265115125E-2</v>
      </c>
      <c r="HC41" s="141">
        <f t="shared" ca="1" si="233"/>
        <v>62.327370589882626</v>
      </c>
      <c r="HD41" s="141">
        <f t="shared" ca="1" si="152"/>
        <v>55.509858954414447</v>
      </c>
      <c r="HE41" s="137">
        <f t="shared" si="153"/>
        <v>8.6255477737566579</v>
      </c>
      <c r="HF41" s="250">
        <f t="shared" si="154"/>
        <v>8.7719774010048006</v>
      </c>
      <c r="HG41" s="137">
        <v>3.0721928819262736</v>
      </c>
      <c r="HH41" s="251">
        <v>3.6341834190416686</v>
      </c>
      <c r="HI41" s="137">
        <f t="shared" ca="1" si="155"/>
        <v>1.5476012443572342</v>
      </c>
      <c r="HJ41" s="251">
        <f t="shared" ca="1" si="156"/>
        <v>1.4500791126099699</v>
      </c>
      <c r="HK41" s="137">
        <f t="shared" ca="1" si="157"/>
        <v>0.7130284982610583</v>
      </c>
      <c r="HL41" s="251">
        <f t="shared" ca="1" si="158"/>
        <v>0.94074635371800774</v>
      </c>
      <c r="HM41" s="137">
        <f t="shared" ca="1" si="159"/>
        <v>0.80040951391990478</v>
      </c>
      <c r="HN41" s="251">
        <f t="shared" ca="1" si="160"/>
        <v>1.0281273693768542</v>
      </c>
      <c r="HO41" s="137">
        <f t="shared" ca="1" si="161"/>
        <v>0.30690063454173783</v>
      </c>
      <c r="HP41" s="251">
        <f t="shared" ca="1" si="162"/>
        <v>0.56427821335562556</v>
      </c>
      <c r="JN41" s="143">
        <f t="shared" si="234"/>
        <v>19.21720477426938</v>
      </c>
      <c r="JO41" s="143">
        <f t="shared" si="235"/>
        <v>3072.1928819262735</v>
      </c>
      <c r="JP41" s="143">
        <f t="shared" si="236"/>
        <v>3897.6816627164171</v>
      </c>
      <c r="JQ41" s="143">
        <f t="shared" si="237"/>
        <v>0.93312409189012324</v>
      </c>
      <c r="JR41" s="143">
        <f t="shared" ca="1" si="238"/>
        <v>1.1985994684130661</v>
      </c>
      <c r="JS41" s="143">
        <f t="shared" si="239"/>
        <v>101.08703247070314</v>
      </c>
      <c r="JT41" s="143">
        <f t="shared" ca="1" si="240"/>
        <v>185.86214447280003</v>
      </c>
      <c r="JU41" s="143">
        <f t="shared" ref="JU41:JU72" si="256">CB41/(CD41*E41)</f>
        <v>0.28279397679233342</v>
      </c>
      <c r="JV41" s="143">
        <f t="shared" si="241"/>
        <v>0.35877984880266434</v>
      </c>
      <c r="JW41" s="143">
        <f t="shared" ca="1" si="242"/>
        <v>0.23070577657649433</v>
      </c>
      <c r="JX41" s="143">
        <f t="shared" ca="1" si="243"/>
        <v>0.29634195876808506</v>
      </c>
      <c r="JY41" s="143">
        <f t="shared" si="244"/>
        <v>0.72664273802301593</v>
      </c>
      <c r="JZ41" s="143">
        <f t="shared" si="245"/>
        <v>1.141494808258156</v>
      </c>
      <c r="KA41" s="143">
        <f t="shared" si="246"/>
        <v>0.26678677055880518</v>
      </c>
      <c r="KB41" s="143">
        <f t="shared" si="247"/>
        <v>0.3384715554742117</v>
      </c>
      <c r="KC41" s="143">
        <f t="shared" ca="1" si="248"/>
        <v>0.44695469733356696</v>
      </c>
      <c r="KD41" s="143">
        <f t="shared" ca="1" si="249"/>
        <v>0.64875519241483048</v>
      </c>
      <c r="KE41" s="143">
        <f t="shared" ca="1" si="250"/>
        <v>0.54884076639029011</v>
      </c>
      <c r="KF41" s="143">
        <f t="shared" ca="1" si="251"/>
        <v>0.38342951852075147</v>
      </c>
      <c r="KG41" s="142">
        <f t="shared" si="252"/>
        <v>0.14790539350373591</v>
      </c>
      <c r="KH41" s="142">
        <f t="shared" ca="1" si="253"/>
        <v>0.1224751240377188</v>
      </c>
      <c r="KI41" s="142">
        <f t="shared" ca="1" si="254"/>
        <v>380.82898089461304</v>
      </c>
      <c r="KJ41" s="142">
        <f t="shared" ca="1" si="255"/>
        <v>325.90966812060702</v>
      </c>
    </row>
    <row r="42" spans="1:296" x14ac:dyDescent="0.3">
      <c r="A42" s="194">
        <v>41336</v>
      </c>
      <c r="B42" s="196">
        <v>40</v>
      </c>
      <c r="C42" s="177">
        <v>24</v>
      </c>
      <c r="D42" s="166">
        <v>4.2</v>
      </c>
      <c r="E42" s="166">
        <v>50016</v>
      </c>
      <c r="F42" s="166">
        <v>300</v>
      </c>
      <c r="G42" s="166">
        <v>11.7</v>
      </c>
      <c r="H42" s="166">
        <v>0.85</v>
      </c>
      <c r="I42" s="166">
        <v>1.4</v>
      </c>
      <c r="J42" s="166">
        <v>1.33</v>
      </c>
      <c r="K42" s="166">
        <v>0.91</v>
      </c>
      <c r="L42" s="166">
        <v>26698.355085365474</v>
      </c>
      <c r="M42" s="169">
        <v>19</v>
      </c>
      <c r="N42" s="167">
        <v>75580.719166003168</v>
      </c>
      <c r="O42" s="176">
        <v>17</v>
      </c>
      <c r="P42" s="166">
        <v>2</v>
      </c>
      <c r="Q42" s="166">
        <v>5</v>
      </c>
      <c r="R42" s="168">
        <v>401.2081298828125</v>
      </c>
      <c r="S42" s="169">
        <v>93.953382476582192</v>
      </c>
      <c r="T42" s="166">
        <v>180</v>
      </c>
      <c r="U42" s="170">
        <v>3.7468221187591553</v>
      </c>
      <c r="V42" s="176">
        <v>17</v>
      </c>
      <c r="W42" s="166">
        <v>1250</v>
      </c>
      <c r="X42" s="169">
        <v>87575.153985649347</v>
      </c>
      <c r="Y42" s="169">
        <v>11218.454356165603</v>
      </c>
      <c r="Z42" s="169">
        <v>365.22314453125</v>
      </c>
      <c r="AA42" s="169">
        <v>11.262016296386719</v>
      </c>
      <c r="AB42" s="169">
        <v>14.779698371887207</v>
      </c>
      <c r="AC42" s="212">
        <v>37</v>
      </c>
      <c r="AD42" s="212">
        <v>31.076309204101563</v>
      </c>
      <c r="AE42" s="254">
        <v>20</v>
      </c>
      <c r="AF42" s="254">
        <v>10</v>
      </c>
      <c r="AG42" s="217">
        <v>5000000</v>
      </c>
      <c r="AH42" s="218">
        <v>300000</v>
      </c>
      <c r="AI42" s="219">
        <v>5000000</v>
      </c>
      <c r="AJ42" s="225">
        <f t="shared" si="179"/>
        <v>300000</v>
      </c>
      <c r="AK42" s="220">
        <v>2750000</v>
      </c>
      <c r="AL42" s="226">
        <f t="shared" si="180"/>
        <v>300000</v>
      </c>
      <c r="AM42" s="221">
        <v>14.407</v>
      </c>
      <c r="BM42" s="197">
        <f t="shared" si="181"/>
        <v>5.9236907958984375</v>
      </c>
      <c r="BN42" s="196">
        <f t="shared" si="182"/>
        <v>180</v>
      </c>
      <c r="BO42" s="197">
        <f t="shared" si="183"/>
        <v>3.5176820755004883</v>
      </c>
      <c r="BP42" s="196">
        <f t="shared" si="173"/>
        <v>12.68506549336746</v>
      </c>
      <c r="BQ42" s="115">
        <f t="shared" si="184"/>
        <v>659.74492511188635</v>
      </c>
      <c r="BR42" s="184">
        <f t="shared" si="185"/>
        <v>1.0041987768</v>
      </c>
      <c r="BS42" s="115">
        <f t="shared" si="186"/>
        <v>6863.8528613899143</v>
      </c>
      <c r="BT42" s="196">
        <v>900</v>
      </c>
      <c r="BU42" s="115">
        <f t="shared" si="101"/>
        <v>1.1850729520000001</v>
      </c>
      <c r="BV42" s="115">
        <f t="shared" si="102"/>
        <v>1.07290876228917</v>
      </c>
      <c r="BW42" s="115">
        <f t="shared" si="103"/>
        <v>474.87909723556754</v>
      </c>
      <c r="BX42" s="115">
        <f t="shared" si="187"/>
        <v>1142.3982207200124</v>
      </c>
      <c r="BY42" s="115"/>
      <c r="BZ42" s="115">
        <f t="shared" si="188"/>
        <v>667.51912348444489</v>
      </c>
      <c r="CA42" s="115">
        <f t="shared" si="189"/>
        <v>10816.255010048884</v>
      </c>
      <c r="CB42" s="115">
        <f t="shared" si="190"/>
        <v>3149.1966319167987</v>
      </c>
      <c r="CC42" s="115">
        <f t="shared" si="191"/>
        <v>1112.4314618902281</v>
      </c>
      <c r="CD42" s="129">
        <f t="shared" si="104"/>
        <v>0.21979620207190995</v>
      </c>
      <c r="CE42" s="115">
        <f t="shared" si="192"/>
        <v>21.483714384191178</v>
      </c>
      <c r="CF42" s="115">
        <f t="shared" si="193"/>
        <v>26.098161799050612</v>
      </c>
      <c r="CG42" s="115">
        <f t="shared" si="194"/>
        <v>0.02</v>
      </c>
      <c r="CH42" s="115">
        <f t="shared" si="195"/>
        <v>0.05</v>
      </c>
      <c r="CI42" s="136">
        <v>30</v>
      </c>
      <c r="CJ42" s="115">
        <f t="shared" si="18"/>
        <v>165</v>
      </c>
      <c r="CK42" s="115">
        <f t="shared" si="196"/>
        <v>453</v>
      </c>
      <c r="CL42" s="115">
        <f t="shared" si="197"/>
        <v>674.2081298828125</v>
      </c>
      <c r="CM42" s="115">
        <f t="shared" ca="1" si="198"/>
        <v>2816.5993052117487</v>
      </c>
      <c r="CN42" s="115">
        <f t="shared" ca="1" si="22"/>
        <v>125.80344444444444</v>
      </c>
      <c r="CO42" s="115">
        <f t="shared" ca="1" si="23"/>
        <v>690.58718083896258</v>
      </c>
      <c r="CP42" s="115">
        <f t="shared" ca="1" si="24"/>
        <v>2790.6388281929471</v>
      </c>
      <c r="CQ42" s="115">
        <f t="shared" si="105"/>
        <v>1.072449112508886</v>
      </c>
      <c r="CR42" s="115">
        <f t="shared" ca="1" si="199"/>
        <v>617.20872378620618</v>
      </c>
      <c r="CS42" s="115">
        <f t="shared" ca="1" si="200"/>
        <v>30.554874743387515</v>
      </c>
      <c r="CT42" s="115">
        <f t="shared" si="106"/>
        <v>1.1245819255776728</v>
      </c>
      <c r="CU42" s="115">
        <f t="shared" ca="1" si="107"/>
        <v>1.02087934953935</v>
      </c>
      <c r="CV42" s="115">
        <f t="shared" si="108"/>
        <v>194.51912348444489</v>
      </c>
      <c r="CW42" s="115">
        <f t="shared" si="27"/>
        <v>473</v>
      </c>
      <c r="CX42" s="115">
        <f t="shared" si="28"/>
        <v>438</v>
      </c>
      <c r="CY42" s="115">
        <f t="shared" ca="1" si="109"/>
        <v>442.44512525661247</v>
      </c>
      <c r="CZ42" s="115">
        <f t="shared" ca="1" si="29"/>
        <v>231.76300462620003</v>
      </c>
      <c r="DA42" s="115">
        <v>0.21890000000000001</v>
      </c>
      <c r="DB42" s="115">
        <v>2.7E-2</v>
      </c>
      <c r="DC42" s="115">
        <v>1.06</v>
      </c>
      <c r="DD42" s="138">
        <f t="shared" si="201"/>
        <v>11.652926453398367</v>
      </c>
      <c r="DE42" s="138">
        <f t="shared" si="110"/>
        <v>11.652926453398367</v>
      </c>
      <c r="DF42" s="115">
        <f t="shared" si="31"/>
        <v>674.2081298828125</v>
      </c>
      <c r="DG42" s="115">
        <v>667.51912348444489</v>
      </c>
      <c r="DH42" s="115">
        <f t="shared" si="111"/>
        <v>1.1245819255776728</v>
      </c>
      <c r="DI42" s="115">
        <f t="shared" si="112"/>
        <v>1.1227849366509821</v>
      </c>
      <c r="DJ42" s="138">
        <f t="shared" si="202"/>
        <v>2.8700457995736151</v>
      </c>
      <c r="DK42" s="138">
        <f t="shared" si="203"/>
        <v>2.7852651057539526</v>
      </c>
      <c r="DL42" s="115">
        <f t="shared" si="113"/>
        <v>674.2081298828125</v>
      </c>
      <c r="DM42" s="115">
        <f t="shared" si="167"/>
        <v>667.51912348444489</v>
      </c>
      <c r="DN42" s="115">
        <f t="shared" si="174"/>
        <v>12.800384270579892</v>
      </c>
      <c r="DO42" s="115">
        <f t="shared" si="114"/>
        <v>1.1245819255776728</v>
      </c>
      <c r="DP42" s="115">
        <f t="shared" si="115"/>
        <v>1.1227849366509821</v>
      </c>
      <c r="DQ42" s="115">
        <v>298.14999999999998</v>
      </c>
      <c r="DR42" s="138">
        <f t="shared" si="116"/>
        <v>1.9114505025160282</v>
      </c>
      <c r="DS42" s="138">
        <f t="shared" si="117"/>
        <v>1.8549865604321323</v>
      </c>
      <c r="DT42" s="115">
        <f t="shared" si="35"/>
        <v>674.2081298828125</v>
      </c>
      <c r="DU42" s="139">
        <f t="shared" si="118"/>
        <v>6.4194119314920162</v>
      </c>
      <c r="DV42" s="115">
        <f t="shared" si="119"/>
        <v>1.1245819255776728</v>
      </c>
      <c r="DW42" s="115">
        <v>298.14999999999998</v>
      </c>
      <c r="DX42" s="138">
        <f t="shared" si="204"/>
        <v>0.95859529705758728</v>
      </c>
      <c r="DY42" s="138">
        <f t="shared" si="205"/>
        <v>0.93027854532181986</v>
      </c>
      <c r="DZ42" s="138">
        <f t="shared" si="38"/>
        <v>3.1491966319167988</v>
      </c>
      <c r="EA42" s="138">
        <f t="shared" si="168"/>
        <v>3.9524021486589702</v>
      </c>
      <c r="EB42" s="115">
        <f t="shared" si="120"/>
        <v>26.098161799050612</v>
      </c>
      <c r="EC42" s="115">
        <v>30</v>
      </c>
      <c r="ED42" s="198">
        <f t="shared" ca="1" si="40"/>
        <v>125.80344444444444</v>
      </c>
      <c r="EE42" s="198">
        <v>104.83</v>
      </c>
      <c r="EF42" s="198">
        <f t="shared" ca="1" si="169"/>
        <v>0.42491111111111107</v>
      </c>
      <c r="EG42" s="199">
        <v>0.36720000000000003</v>
      </c>
      <c r="EH42" s="138">
        <f t="shared" ca="1" si="121"/>
        <v>9.8308556723735521E-2</v>
      </c>
      <c r="EI42" s="138">
        <f t="shared" ca="1" si="122"/>
        <v>9.8308556723735521E-2</v>
      </c>
      <c r="EJ42" s="115">
        <f t="shared" si="170"/>
        <v>12.800384270579892</v>
      </c>
      <c r="EK42" s="115">
        <v>435</v>
      </c>
      <c r="EL42" s="115">
        <f t="shared" ca="1" si="171"/>
        <v>442.44512525661247</v>
      </c>
      <c r="EM42" s="115">
        <f t="shared" ca="1" si="123"/>
        <v>1.0627819799398268</v>
      </c>
      <c r="EN42" s="115">
        <f t="shared" ca="1" si="124"/>
        <v>1.0650751707493051</v>
      </c>
      <c r="EO42" s="115">
        <v>298.14999999999998</v>
      </c>
      <c r="EP42" s="138">
        <f t="shared" ca="1" si="125"/>
        <v>0.32954429133709301</v>
      </c>
      <c r="EQ42" s="138">
        <f t="shared" ca="1" si="126"/>
        <v>0.36277634744688586</v>
      </c>
      <c r="ER42" s="115">
        <f t="shared" si="44"/>
        <v>1.0407839218775432</v>
      </c>
      <c r="ES42" s="115">
        <f t="shared" si="172"/>
        <v>453</v>
      </c>
      <c r="ET42" s="115">
        <f t="shared" ca="1" si="206"/>
        <v>2816.5993052117487</v>
      </c>
      <c r="EU42" s="115">
        <f t="shared" ca="1" si="207"/>
        <v>6.5855309782608691</v>
      </c>
      <c r="EV42" s="138">
        <f t="shared" ca="1" si="175"/>
        <v>0.89275730875004533</v>
      </c>
      <c r="EW42" s="138">
        <f t="shared" ca="1" si="208"/>
        <v>1.0455446865035276</v>
      </c>
      <c r="EX42" s="115">
        <v>21.47</v>
      </c>
      <c r="EY42" s="115">
        <f t="shared" ca="1" si="209"/>
        <v>130.14225138685435</v>
      </c>
      <c r="EZ42" s="115">
        <f t="shared" ca="1" si="210"/>
        <v>0.43991964501274955</v>
      </c>
      <c r="FA42" s="138">
        <f t="shared" ca="1" si="127"/>
        <v>7.7955191688727249E-2</v>
      </c>
      <c r="FB42" s="138">
        <f t="shared" ca="1" si="128"/>
        <v>7.7955191688727249E-2</v>
      </c>
      <c r="FC42" s="115">
        <f t="shared" si="52"/>
        <v>21.47</v>
      </c>
      <c r="FD42" s="115">
        <v>37</v>
      </c>
      <c r="FE42" s="115">
        <f t="shared" ca="1" si="53"/>
        <v>154.93355555555553</v>
      </c>
      <c r="FF42" s="115">
        <f t="shared" ca="1" si="54"/>
        <v>0.52252222222222222</v>
      </c>
      <c r="FG42" s="138">
        <f t="shared" ca="1" si="176"/>
        <v>8.1462225449999703E-2</v>
      </c>
      <c r="FH42" s="138">
        <f t="shared" ca="1" si="129"/>
        <v>8.1462225449999703E-2</v>
      </c>
      <c r="FI42" s="115">
        <f t="shared" si="56"/>
        <v>102.26248046875001</v>
      </c>
      <c r="FJ42" s="115">
        <f t="shared" ca="1" si="211"/>
        <v>47.217233979966913</v>
      </c>
      <c r="FK42" s="115">
        <f t="shared" ca="1" si="212"/>
        <v>0.16362033835517037</v>
      </c>
      <c r="FL42" s="138">
        <f t="shared" ca="1" si="177"/>
        <v>0.31542965379278037</v>
      </c>
      <c r="FM42" s="138">
        <f t="shared" ca="1" si="213"/>
        <v>0.6077919042258404</v>
      </c>
      <c r="FN42" s="115">
        <f t="shared" si="130"/>
        <v>102.26248046875001</v>
      </c>
      <c r="FO42" s="115">
        <f t="shared" ca="1" si="214"/>
        <v>61.939124319500401</v>
      </c>
      <c r="FP42" s="115">
        <f t="shared" ca="1" si="215"/>
        <v>0.21267246063020495</v>
      </c>
      <c r="FQ42" s="138">
        <f t="shared" ca="1" si="178"/>
        <v>0.32534912290975304</v>
      </c>
      <c r="FR42" s="138">
        <f t="shared" ca="1" si="216"/>
        <v>0.6269054306524805</v>
      </c>
      <c r="FS42" s="139">
        <f t="shared" si="217"/>
        <v>5.6336840219079525</v>
      </c>
      <c r="FT42" s="249">
        <f t="shared" si="132"/>
        <v>4.9152591989854439</v>
      </c>
      <c r="FU42" s="139">
        <f t="shared" ca="1" si="218"/>
        <v>0.78745745915262533</v>
      </c>
      <c r="FV42" s="249">
        <f t="shared" ca="1" si="134"/>
        <v>0.54497408320545437</v>
      </c>
      <c r="FW42" s="139">
        <f t="shared" ca="1" si="135"/>
        <v>0.89916974410574557</v>
      </c>
      <c r="FX42" s="249">
        <f t="shared" ca="1" si="136"/>
        <v>1.0611511791688952</v>
      </c>
      <c r="FY42" s="249">
        <f t="shared" si="219"/>
        <v>0.15000000000000002</v>
      </c>
      <c r="FZ42" s="139">
        <f t="shared" si="220"/>
        <v>1050000</v>
      </c>
      <c r="GA42" s="139">
        <f t="shared" si="137"/>
        <v>3.3757716049382713E-2</v>
      </c>
      <c r="GB42" s="139">
        <f t="shared" si="138"/>
        <v>121.52777777777777</v>
      </c>
      <c r="GC42" s="139">
        <f t="shared" si="221"/>
        <v>1050000</v>
      </c>
      <c r="GD42" s="139">
        <f t="shared" si="139"/>
        <v>6.7515432098765427E-2</v>
      </c>
      <c r="GE42" s="139">
        <f t="shared" si="140"/>
        <v>243.05555555555554</v>
      </c>
      <c r="GF42" s="139">
        <f t="shared" si="141"/>
        <v>4.5814043209876545E-2</v>
      </c>
      <c r="GG42" s="139">
        <f t="shared" si="222"/>
        <v>712500</v>
      </c>
      <c r="GH42" s="139">
        <f t="shared" si="142"/>
        <v>164.93055555555554</v>
      </c>
      <c r="GI42" s="137">
        <f t="shared" si="223"/>
        <v>50.89954561886843</v>
      </c>
      <c r="GJ42" s="137">
        <f t="shared" si="143"/>
        <v>0.18323836422792489</v>
      </c>
      <c r="GK42" s="251">
        <f t="shared" si="224"/>
        <v>40.864797409265833</v>
      </c>
      <c r="GL42" s="137">
        <f t="shared" si="164"/>
        <v>0.14711327067335583</v>
      </c>
      <c r="GM42" s="137">
        <f t="shared" ca="1" si="225"/>
        <v>9.2178892785942548</v>
      </c>
      <c r="GN42" s="137">
        <f t="shared" ca="1" si="144"/>
        <v>3.3184401402939052E-2</v>
      </c>
      <c r="GO42" s="137">
        <f t="shared" ca="1" si="145"/>
        <v>0.11668214276701495</v>
      </c>
      <c r="GP42" s="137">
        <f t="shared" ca="1" si="226"/>
        <v>9.8188214504051778</v>
      </c>
      <c r="GQ42" s="137">
        <f t="shared" ca="1" si="146"/>
        <v>3.5347757221458359E-2</v>
      </c>
      <c r="GR42" s="137">
        <f t="shared" ca="1" si="147"/>
        <v>0.1242888791190519</v>
      </c>
      <c r="GS42" s="140">
        <f t="shared" si="227"/>
        <v>8.1164485703627873E-2</v>
      </c>
      <c r="GT42" s="140">
        <f t="shared" si="228"/>
        <v>7.0814139279783292E-2</v>
      </c>
      <c r="GU42" s="140">
        <f t="shared" si="148"/>
        <v>292.19214853306033</v>
      </c>
      <c r="GV42" s="140">
        <f t="shared" si="149"/>
        <v>254.93090140721986</v>
      </c>
      <c r="GW42" s="141">
        <f t="shared" ca="1" si="229"/>
        <v>7.5557031429319063E-3</v>
      </c>
      <c r="GX42" s="141">
        <f t="shared" ca="1" si="230"/>
        <v>5.2290601167494927E-3</v>
      </c>
      <c r="GY42" s="141">
        <f t="shared" ca="1" si="150"/>
        <v>27.200531314554862</v>
      </c>
      <c r="GZ42" s="141">
        <f t="shared" ca="1" si="165"/>
        <v>18.824616420298174</v>
      </c>
      <c r="HA42" s="141">
        <f t="shared" ca="1" si="231"/>
        <v>1.717925453708509E-2</v>
      </c>
      <c r="HB42" s="141">
        <f t="shared" ca="1" si="232"/>
        <v>1.6039720629001265E-2</v>
      </c>
      <c r="HC42" s="141">
        <f t="shared" ca="1" si="233"/>
        <v>61.845316333506325</v>
      </c>
      <c r="HD42" s="141">
        <f t="shared" ca="1" si="152"/>
        <v>57.742994264404551</v>
      </c>
      <c r="HE42" s="137">
        <f t="shared" si="153"/>
        <v>8.7828806538247512</v>
      </c>
      <c r="HF42" s="250">
        <f t="shared" si="154"/>
        <v>8.8676613476444146</v>
      </c>
      <c r="HG42" s="137">
        <v>3.1491966319167988</v>
      </c>
      <c r="HH42" s="251">
        <v>3.8000475822234985</v>
      </c>
      <c r="HI42" s="137">
        <f t="shared" ca="1" si="155"/>
        <v>1.5486741550691423</v>
      </c>
      <c r="HJ42" s="251">
        <f t="shared" ca="1" si="156"/>
        <v>1.4922102129852464</v>
      </c>
      <c r="HK42" s="137">
        <f t="shared" ca="1" si="157"/>
        <v>0.79444875202630982</v>
      </c>
      <c r="HL42" s="251">
        <f t="shared" ca="1" si="158"/>
        <v>0.9472361297797921</v>
      </c>
      <c r="HM42" s="137">
        <f t="shared" ca="1" si="159"/>
        <v>0.89275730875004533</v>
      </c>
      <c r="HN42" s="251">
        <f t="shared" ca="1" si="160"/>
        <v>1.0455446865035276</v>
      </c>
      <c r="HO42" s="137">
        <f t="shared" ca="1" si="161"/>
        <v>0.31542965379278037</v>
      </c>
      <c r="HP42" s="251">
        <f t="shared" ca="1" si="162"/>
        <v>0.6077919042258404</v>
      </c>
      <c r="JN42" s="143">
        <f t="shared" si="234"/>
        <v>19.219796202071908</v>
      </c>
      <c r="JO42" s="143">
        <f t="shared" si="235"/>
        <v>3149.1966319167987</v>
      </c>
      <c r="JP42" s="143">
        <f t="shared" si="236"/>
        <v>3952.40214865897</v>
      </c>
      <c r="JQ42" s="143">
        <f t="shared" si="237"/>
        <v>1.0407839218775432</v>
      </c>
      <c r="JR42" s="143">
        <f t="shared" ca="1" si="238"/>
        <v>1.218904722091767</v>
      </c>
      <c r="JS42" s="143">
        <f t="shared" si="239"/>
        <v>102.26248046875001</v>
      </c>
      <c r="JT42" s="143">
        <f t="shared" ca="1" si="240"/>
        <v>197.04649511422059</v>
      </c>
      <c r="JU42" s="143">
        <f t="shared" si="256"/>
        <v>0.28646438670848173</v>
      </c>
      <c r="JV42" s="143">
        <f t="shared" si="241"/>
        <v>0.35952739376954551</v>
      </c>
      <c r="JW42" s="143">
        <f t="shared" ca="1" si="242"/>
        <v>0.25429495220065051</v>
      </c>
      <c r="JX42" s="143">
        <f t="shared" ca="1" si="243"/>
        <v>0.29781524438070883</v>
      </c>
      <c r="JY42" s="143">
        <f t="shared" si="244"/>
        <v>0.66753976412792904</v>
      </c>
      <c r="JZ42" s="143">
        <f t="shared" si="245"/>
        <v>1.413925587091684</v>
      </c>
      <c r="KA42" s="143">
        <f t="shared" si="246"/>
        <v>0.27024942142309599</v>
      </c>
      <c r="KB42" s="143">
        <f t="shared" si="247"/>
        <v>0.33917678657504297</v>
      </c>
      <c r="KC42" s="143">
        <f t="shared" ca="1" si="248"/>
        <v>0.50220976845032872</v>
      </c>
      <c r="KD42" s="143">
        <f t="shared" ca="1" si="249"/>
        <v>0.63478732522865899</v>
      </c>
      <c r="KE42" s="143">
        <f t="shared" ca="1" si="250"/>
        <v>0.5813160471011487</v>
      </c>
      <c r="KF42" s="143">
        <f t="shared" ca="1" si="251"/>
        <v>0.35332071852138097</v>
      </c>
      <c r="KG42" s="142">
        <f t="shared" si="252"/>
        <v>0.14711327067335583</v>
      </c>
      <c r="KH42" s="142">
        <f t="shared" ca="1" si="253"/>
        <v>0.1242888791190519</v>
      </c>
      <c r="KI42" s="142">
        <f t="shared" ca="1" si="254"/>
        <v>381.2379961811215</v>
      </c>
      <c r="KJ42" s="142">
        <f t="shared" ca="1" si="255"/>
        <v>331.49851209192258</v>
      </c>
    </row>
    <row r="43" spans="1:296" x14ac:dyDescent="0.3">
      <c r="A43" s="194">
        <v>41337</v>
      </c>
      <c r="B43" s="196">
        <v>41</v>
      </c>
      <c r="C43" s="177">
        <v>24</v>
      </c>
      <c r="D43" s="166">
        <v>4.2</v>
      </c>
      <c r="E43" s="166">
        <v>50016</v>
      </c>
      <c r="F43" s="166">
        <v>300</v>
      </c>
      <c r="G43" s="166">
        <v>11.7</v>
      </c>
      <c r="H43" s="166">
        <v>0.85</v>
      </c>
      <c r="I43" s="166">
        <v>1.4</v>
      </c>
      <c r="J43" s="166">
        <v>1.33</v>
      </c>
      <c r="K43" s="166">
        <v>0.91</v>
      </c>
      <c r="L43" s="166">
        <v>25926.096739843488</v>
      </c>
      <c r="M43" s="169">
        <v>19</v>
      </c>
      <c r="N43" s="167">
        <v>73776.003333054483</v>
      </c>
      <c r="O43" s="176">
        <v>17</v>
      </c>
      <c r="P43" s="166">
        <v>2</v>
      </c>
      <c r="Q43" s="166">
        <v>5</v>
      </c>
      <c r="R43" s="168">
        <v>393.25277709960937</v>
      </c>
      <c r="S43" s="169">
        <v>79.084561339492211</v>
      </c>
      <c r="T43" s="166">
        <v>180</v>
      </c>
      <c r="U43" s="170">
        <v>3.0988645553588867</v>
      </c>
      <c r="V43" s="176">
        <v>17</v>
      </c>
      <c r="W43" s="166">
        <v>1250</v>
      </c>
      <c r="X43" s="169">
        <v>82950.628192350268</v>
      </c>
      <c r="Y43" s="169">
        <v>11465.337670272216</v>
      </c>
      <c r="Z43" s="169">
        <v>355.64193725585937</v>
      </c>
      <c r="AA43" s="169">
        <v>10.113840103149414</v>
      </c>
      <c r="AB43" s="169">
        <v>13.722621917724609</v>
      </c>
      <c r="AC43" s="212">
        <v>37</v>
      </c>
      <c r="AD43" s="212">
        <v>29.940757751464844</v>
      </c>
      <c r="AE43" s="254">
        <v>20</v>
      </c>
      <c r="AF43" s="254">
        <v>10</v>
      </c>
      <c r="AG43" s="217">
        <v>5000000</v>
      </c>
      <c r="AH43" s="218">
        <v>300000</v>
      </c>
      <c r="AI43" s="219">
        <v>5000000</v>
      </c>
      <c r="AJ43" s="225">
        <f t="shared" si="179"/>
        <v>300000</v>
      </c>
      <c r="AK43" s="220">
        <v>2750000</v>
      </c>
      <c r="AL43" s="226">
        <f t="shared" si="180"/>
        <v>300000</v>
      </c>
      <c r="AM43" s="221">
        <v>14.407</v>
      </c>
      <c r="BM43" s="197">
        <f t="shared" si="181"/>
        <v>7.0592422485351562</v>
      </c>
      <c r="BN43" s="196">
        <f t="shared" si="182"/>
        <v>180</v>
      </c>
      <c r="BO43" s="197">
        <f t="shared" si="183"/>
        <v>3.6087818145751953</v>
      </c>
      <c r="BP43" s="196">
        <f t="shared" si="173"/>
        <v>12.680869428196326</v>
      </c>
      <c r="BQ43" s="115">
        <f t="shared" si="184"/>
        <v>659.74492511188635</v>
      </c>
      <c r="BR43" s="184">
        <f t="shared" si="185"/>
        <v>1.0041987768</v>
      </c>
      <c r="BS43" s="115">
        <f t="shared" si="186"/>
        <v>6863.8528613899143</v>
      </c>
      <c r="BT43" s="196">
        <v>900</v>
      </c>
      <c r="BU43" s="115">
        <f t="shared" si="101"/>
        <v>1.1850729520000001</v>
      </c>
      <c r="BV43" s="115">
        <f t="shared" si="102"/>
        <v>1.0715071284021007</v>
      </c>
      <c r="BW43" s="115">
        <f t="shared" si="103"/>
        <v>469.1402135486378</v>
      </c>
      <c r="BX43" s="115">
        <f t="shared" si="187"/>
        <v>1128.5924108811867</v>
      </c>
      <c r="BY43" s="115"/>
      <c r="BZ43" s="115">
        <f t="shared" si="188"/>
        <v>659.45219733254885</v>
      </c>
      <c r="CA43" s="115">
        <f t="shared" si="189"/>
        <v>10682.006609279557</v>
      </c>
      <c r="CB43" s="115">
        <f t="shared" si="190"/>
        <v>3074.0001388772703</v>
      </c>
      <c r="CC43" s="115">
        <f t="shared" si="191"/>
        <v>1080.2540308268119</v>
      </c>
      <c r="CD43" s="129">
        <f t="shared" si="104"/>
        <v>0.21343852757019086</v>
      </c>
      <c r="CE43" s="115">
        <f t="shared" si="192"/>
        <v>20.920113956227024</v>
      </c>
      <c r="CF43" s="115">
        <f t="shared" si="193"/>
        <v>21.967933705414502</v>
      </c>
      <c r="CG43" s="115">
        <f t="shared" si="194"/>
        <v>0.02</v>
      </c>
      <c r="CH43" s="115">
        <f t="shared" si="195"/>
        <v>0.05</v>
      </c>
      <c r="CI43" s="136">
        <v>30</v>
      </c>
      <c r="CJ43" s="115">
        <f t="shared" si="18"/>
        <v>165</v>
      </c>
      <c r="CK43" s="115">
        <f t="shared" si="196"/>
        <v>453</v>
      </c>
      <c r="CL43" s="115">
        <f t="shared" si="197"/>
        <v>666.25277709960938</v>
      </c>
      <c r="CM43" s="115">
        <f t="shared" ca="1" si="198"/>
        <v>2816.5993052117487</v>
      </c>
      <c r="CN43" s="115">
        <f t="shared" ca="1" si="22"/>
        <v>125.80344444444444</v>
      </c>
      <c r="CO43" s="115">
        <f t="shared" ca="1" si="23"/>
        <v>690.58718083896258</v>
      </c>
      <c r="CP43" s="115">
        <f t="shared" ca="1" si="24"/>
        <v>2790.6388281929471</v>
      </c>
      <c r="CQ43" s="115">
        <f t="shared" si="105"/>
        <v>1.072449112508886</v>
      </c>
      <c r="CR43" s="115">
        <f t="shared" ca="1" si="199"/>
        <v>510.47158812887108</v>
      </c>
      <c r="CS43" s="115">
        <f t="shared" ca="1" si="200"/>
        <v>25.279222359836872</v>
      </c>
      <c r="CT43" s="115">
        <f t="shared" si="106"/>
        <v>1.1224449912648284</v>
      </c>
      <c r="CU43" s="115">
        <f t="shared" ca="1" si="107"/>
        <v>1.0185837012800762</v>
      </c>
      <c r="CV43" s="115">
        <f t="shared" si="108"/>
        <v>186.45219733254885</v>
      </c>
      <c r="CW43" s="115">
        <f t="shared" si="27"/>
        <v>473</v>
      </c>
      <c r="CX43" s="115">
        <f t="shared" si="28"/>
        <v>438</v>
      </c>
      <c r="CY43" s="115">
        <f t="shared" ca="1" si="109"/>
        <v>447.72077764016313</v>
      </c>
      <c r="CZ43" s="115">
        <f t="shared" ca="1" si="29"/>
        <v>218.53199945944624</v>
      </c>
      <c r="DA43" s="115">
        <v>0.21890000000000001</v>
      </c>
      <c r="DB43" s="115">
        <v>2.7E-2</v>
      </c>
      <c r="DC43" s="115">
        <v>1.06</v>
      </c>
      <c r="DD43" s="138">
        <f t="shared" si="201"/>
        <v>11.315861878647706</v>
      </c>
      <c r="DE43" s="138">
        <f t="shared" si="110"/>
        <v>11.315861878647706</v>
      </c>
      <c r="DF43" s="115">
        <f t="shared" si="31"/>
        <v>666.25277709960938</v>
      </c>
      <c r="DG43" s="115">
        <v>659.45219733254885</v>
      </c>
      <c r="DH43" s="115">
        <f t="shared" si="111"/>
        <v>1.1224449912648284</v>
      </c>
      <c r="DI43" s="115">
        <f t="shared" si="112"/>
        <v>1.1206208982351076</v>
      </c>
      <c r="DJ43" s="138">
        <f t="shared" si="202"/>
        <v>2.7684004271274625</v>
      </c>
      <c r="DK43" s="138">
        <f t="shared" si="203"/>
        <v>2.6833398084838964</v>
      </c>
      <c r="DL43" s="115">
        <f t="shared" si="113"/>
        <v>666.25277709960938</v>
      </c>
      <c r="DM43" s="115">
        <f t="shared" si="167"/>
        <v>659.45219733254885</v>
      </c>
      <c r="DN43" s="115">
        <f t="shared" si="174"/>
        <v>12.796150059361747</v>
      </c>
      <c r="DO43" s="115">
        <f t="shared" si="114"/>
        <v>1.1224449912648284</v>
      </c>
      <c r="DP43" s="115">
        <f t="shared" si="115"/>
        <v>1.1206208982351076</v>
      </c>
      <c r="DQ43" s="115">
        <v>298.14999999999998</v>
      </c>
      <c r="DR43" s="138">
        <f t="shared" si="116"/>
        <v>1.8437546844668902</v>
      </c>
      <c r="DS43" s="138">
        <f t="shared" si="117"/>
        <v>1.7871043124502752</v>
      </c>
      <c r="DT43" s="115">
        <f t="shared" si="35"/>
        <v>666.25277709960938</v>
      </c>
      <c r="DU43" s="139">
        <f t="shared" si="118"/>
        <v>6.4172884682084437</v>
      </c>
      <c r="DV43" s="115">
        <f t="shared" si="119"/>
        <v>1.1224449912648284</v>
      </c>
      <c r="DW43" s="115">
        <v>298.14999999999998</v>
      </c>
      <c r="DX43" s="138">
        <f t="shared" si="204"/>
        <v>0.92464574266057253</v>
      </c>
      <c r="DY43" s="138">
        <f t="shared" si="205"/>
        <v>0.89623549603362151</v>
      </c>
      <c r="DZ43" s="138">
        <f t="shared" si="38"/>
        <v>3.0740001388772704</v>
      </c>
      <c r="EA43" s="138">
        <f t="shared" si="168"/>
        <v>3.8181537478896428</v>
      </c>
      <c r="EB43" s="115">
        <f t="shared" si="120"/>
        <v>21.967933705414502</v>
      </c>
      <c r="EC43" s="115">
        <v>30</v>
      </c>
      <c r="ED43" s="198">
        <f t="shared" ca="1" si="40"/>
        <v>125.80344444444444</v>
      </c>
      <c r="EE43" s="198">
        <v>104.83</v>
      </c>
      <c r="EF43" s="198">
        <f t="shared" ca="1" si="169"/>
        <v>0.42491111111111107</v>
      </c>
      <c r="EG43" s="199">
        <v>0.36720000000000003</v>
      </c>
      <c r="EH43" s="138">
        <f t="shared" ca="1" si="121"/>
        <v>8.2750496889806444E-2</v>
      </c>
      <c r="EI43" s="138">
        <f t="shared" ca="1" si="122"/>
        <v>8.2750496889806444E-2</v>
      </c>
      <c r="EJ43" s="115">
        <f t="shared" si="170"/>
        <v>12.796150059361747</v>
      </c>
      <c r="EK43" s="115">
        <v>435</v>
      </c>
      <c r="EL43" s="115">
        <f t="shared" ca="1" si="171"/>
        <v>447.72077764016313</v>
      </c>
      <c r="EM43" s="115">
        <f t="shared" ca="1" si="123"/>
        <v>1.0623980828280157</v>
      </c>
      <c r="EN43" s="115">
        <f t="shared" ca="1" si="124"/>
        <v>1.0663344463072264</v>
      </c>
      <c r="EO43" s="115">
        <v>298.14999999999998</v>
      </c>
      <c r="EP43" s="138">
        <f t="shared" ca="1" si="125"/>
        <v>0.32931628379492711</v>
      </c>
      <c r="EQ43" s="138">
        <f t="shared" ca="1" si="126"/>
        <v>0.38684897984706268</v>
      </c>
      <c r="ER43" s="115">
        <f t="shared" si="44"/>
        <v>0.860795709821913</v>
      </c>
      <c r="ES43" s="115">
        <f t="shared" si="172"/>
        <v>453</v>
      </c>
      <c r="ET43" s="115">
        <f t="shared" ca="1" si="206"/>
        <v>2816.5993052117487</v>
      </c>
      <c r="EU43" s="115">
        <f t="shared" ca="1" si="207"/>
        <v>6.5855309782608691</v>
      </c>
      <c r="EV43" s="138">
        <f t="shared" ca="1" si="175"/>
        <v>0.73836811381355505</v>
      </c>
      <c r="EW43" s="138">
        <f t="shared" ca="1" si="208"/>
        <v>0.99994954063322539</v>
      </c>
      <c r="EX43" s="115">
        <v>21.47</v>
      </c>
      <c r="EY43" s="115">
        <f t="shared" ca="1" si="209"/>
        <v>125.38984238518609</v>
      </c>
      <c r="EZ43" s="115">
        <f t="shared" ca="1" si="210"/>
        <v>0.42408501086764866</v>
      </c>
      <c r="FA43" s="138">
        <f t="shared" ca="1" si="127"/>
        <v>7.7282905200578053E-2</v>
      </c>
      <c r="FB43" s="138">
        <f t="shared" ca="1" si="128"/>
        <v>7.7282905200578053E-2</v>
      </c>
      <c r="FC43" s="115">
        <f t="shared" si="52"/>
        <v>21.47</v>
      </c>
      <c r="FD43" s="115">
        <v>37</v>
      </c>
      <c r="FE43" s="115">
        <f t="shared" ca="1" si="53"/>
        <v>154.93355555555553</v>
      </c>
      <c r="FF43" s="115">
        <f t="shared" ca="1" si="54"/>
        <v>0.52252222222222222</v>
      </c>
      <c r="FG43" s="138">
        <f t="shared" ca="1" si="176"/>
        <v>8.1462225449999703E-2</v>
      </c>
      <c r="FH43" s="138">
        <f t="shared" ca="1" si="129"/>
        <v>8.1462225449999703E-2</v>
      </c>
      <c r="FI43" s="115">
        <f t="shared" si="56"/>
        <v>99.579742431640639</v>
      </c>
      <c r="FJ43" s="115">
        <f t="shared" ca="1" si="211"/>
        <v>42.411989036136212</v>
      </c>
      <c r="FK43" s="115">
        <f t="shared" ca="1" si="212"/>
        <v>0.14760965921613906</v>
      </c>
      <c r="FL43" s="138">
        <f t="shared" ca="1" si="177"/>
        <v>0.30400193112793594</v>
      </c>
      <c r="FM43" s="138">
        <f t="shared" ca="1" si="213"/>
        <v>0.53548040270353947</v>
      </c>
      <c r="FN43" s="115">
        <f t="shared" si="130"/>
        <v>99.579742431640639</v>
      </c>
      <c r="FO43" s="115">
        <f t="shared" ca="1" si="214"/>
        <v>57.515141905890573</v>
      </c>
      <c r="FP43" s="115">
        <f t="shared" ca="1" si="215"/>
        <v>0.19793211674160427</v>
      </c>
      <c r="FQ43" s="138">
        <f t="shared" ca="1" si="178"/>
        <v>0.31391132624385876</v>
      </c>
      <c r="FR43" s="138">
        <f t="shared" ca="1" si="216"/>
        <v>0.55293518290028021</v>
      </c>
      <c r="FS43" s="139">
        <f t="shared" si="217"/>
        <v>5.4734613126429732</v>
      </c>
      <c r="FT43" s="249">
        <f t="shared" si="132"/>
        <v>4.8143683222741664</v>
      </c>
      <c r="FU43" s="139">
        <f t="shared" ca="1" si="218"/>
        <v>0.85882078374821447</v>
      </c>
      <c r="FV43" s="249">
        <f t="shared" ca="1" si="134"/>
        <v>0.48305628885979379</v>
      </c>
      <c r="FW43" s="139">
        <f t="shared" ca="1" si="135"/>
        <v>0.74409818868005628</v>
      </c>
      <c r="FX43" s="249">
        <f t="shared" ca="1" si="136"/>
        <v>1.0132250005805443</v>
      </c>
      <c r="FY43" s="249">
        <f t="shared" si="219"/>
        <v>0.15000000000000002</v>
      </c>
      <c r="FZ43" s="139">
        <f t="shared" si="220"/>
        <v>1050000</v>
      </c>
      <c r="GA43" s="139">
        <f t="shared" si="137"/>
        <v>3.3757716049382713E-2</v>
      </c>
      <c r="GB43" s="139">
        <f t="shared" si="138"/>
        <v>121.52777777777777</v>
      </c>
      <c r="GC43" s="139">
        <f t="shared" si="221"/>
        <v>1050000</v>
      </c>
      <c r="GD43" s="139">
        <f t="shared" si="139"/>
        <v>6.7515432098765427E-2</v>
      </c>
      <c r="GE43" s="139">
        <f t="shared" si="140"/>
        <v>243.05555555555554</v>
      </c>
      <c r="GF43" s="139">
        <f t="shared" si="141"/>
        <v>4.5814043209876545E-2</v>
      </c>
      <c r="GG43" s="139">
        <f t="shared" si="222"/>
        <v>712500</v>
      </c>
      <c r="GH43" s="139">
        <f t="shared" si="142"/>
        <v>164.93055555555554</v>
      </c>
      <c r="GI43" s="137">
        <f t="shared" si="223"/>
        <v>51.041309724449285</v>
      </c>
      <c r="GJ43" s="137">
        <f t="shared" si="143"/>
        <v>0.18374871500801596</v>
      </c>
      <c r="GK43" s="251">
        <f t="shared" si="224"/>
        <v>41.414377721596942</v>
      </c>
      <c r="GL43" s="137">
        <f t="shared" si="164"/>
        <v>0.1490917597977478</v>
      </c>
      <c r="GM43" s="137">
        <f t="shared" ca="1" si="225"/>
        <v>8.9564229015367971</v>
      </c>
      <c r="GN43" s="137">
        <f t="shared" ca="1" si="144"/>
        <v>3.2243122445532214E-2</v>
      </c>
      <c r="GO43" s="137">
        <f t="shared" ca="1" si="145"/>
        <v>0.11337244179160413</v>
      </c>
      <c r="GP43" s="137">
        <f t="shared" ca="1" si="226"/>
        <v>9.5037811873776246</v>
      </c>
      <c r="GQ43" s="137">
        <f t="shared" ca="1" si="146"/>
        <v>3.4213612274559178E-2</v>
      </c>
      <c r="GR43" s="137">
        <f t="shared" ca="1" si="147"/>
        <v>0.12030102768832342</v>
      </c>
      <c r="GS43" s="140">
        <f t="shared" si="227"/>
        <v>7.8856157131247315E-2</v>
      </c>
      <c r="GT43" s="140">
        <f t="shared" si="228"/>
        <v>6.9360604419003921E-2</v>
      </c>
      <c r="GU43" s="140">
        <f t="shared" si="148"/>
        <v>283.88216567249032</v>
      </c>
      <c r="GV43" s="140">
        <f t="shared" si="149"/>
        <v>249.69817590841413</v>
      </c>
      <c r="GW43" s="141">
        <f t="shared" ca="1" si="229"/>
        <v>8.2404386669527093E-3</v>
      </c>
      <c r="GX43" s="141">
        <f t="shared" ca="1" si="230"/>
        <v>4.6349550410996303E-3</v>
      </c>
      <c r="GY43" s="141">
        <f t="shared" ca="1" si="150"/>
        <v>29.665579201029754</v>
      </c>
      <c r="GZ43" s="141">
        <f t="shared" ca="1" si="165"/>
        <v>16.68583814795867</v>
      </c>
      <c r="HA43" s="141">
        <f t="shared" ca="1" si="231"/>
        <v>1.6492216642021357E-2</v>
      </c>
      <c r="HB43" s="141">
        <f t="shared" ca="1" si="232"/>
        <v>1.4842167363891608E-2</v>
      </c>
      <c r="HC43" s="141">
        <f t="shared" ca="1" si="233"/>
        <v>59.371979911276881</v>
      </c>
      <c r="HD43" s="141">
        <f t="shared" ca="1" si="152"/>
        <v>53.431802510009788</v>
      </c>
      <c r="HE43" s="137">
        <f t="shared" si="153"/>
        <v>8.5474614515202436</v>
      </c>
      <c r="HF43" s="250">
        <f t="shared" si="154"/>
        <v>8.6325220701638088</v>
      </c>
      <c r="HG43" s="137">
        <v>3.0740001388772704</v>
      </c>
      <c r="HH43" s="251">
        <v>3.6633091280494772</v>
      </c>
      <c r="HI43" s="137">
        <f t="shared" ca="1" si="155"/>
        <v>1.4569057046198275</v>
      </c>
      <c r="HJ43" s="251">
        <f t="shared" ca="1" si="156"/>
        <v>1.4002553326032126</v>
      </c>
      <c r="HK43" s="137">
        <f t="shared" ca="1" si="157"/>
        <v>0.65561761692374865</v>
      </c>
      <c r="HL43" s="251">
        <f t="shared" ca="1" si="158"/>
        <v>0.91719904374341898</v>
      </c>
      <c r="HM43" s="137">
        <f t="shared" ca="1" si="159"/>
        <v>0.73836811381355505</v>
      </c>
      <c r="HN43" s="251">
        <f t="shared" ca="1" si="160"/>
        <v>0.99994954063322539</v>
      </c>
      <c r="HO43" s="137">
        <f t="shared" ca="1" si="161"/>
        <v>0.30400193112793594</v>
      </c>
      <c r="HP43" s="251">
        <f t="shared" ca="1" si="162"/>
        <v>0.53548040270353947</v>
      </c>
      <c r="JN43" s="143">
        <f t="shared" si="234"/>
        <v>19.21343852757019</v>
      </c>
      <c r="JO43" s="143">
        <f t="shared" si="235"/>
        <v>3074.0001388772703</v>
      </c>
      <c r="JP43" s="143">
        <f t="shared" si="236"/>
        <v>3818.1537478896425</v>
      </c>
      <c r="JQ43" s="143">
        <f t="shared" si="237"/>
        <v>0.860795709821913</v>
      </c>
      <c r="JR43" s="143">
        <f t="shared" ca="1" si="238"/>
        <v>1.1657495204794572</v>
      </c>
      <c r="JS43" s="143">
        <f t="shared" si="239"/>
        <v>99.579742431640639</v>
      </c>
      <c r="JT43" s="143">
        <f t="shared" ca="1" si="240"/>
        <v>175.40349293363289</v>
      </c>
      <c r="JU43" s="143">
        <f t="shared" si="256"/>
        <v>0.28795333330803291</v>
      </c>
      <c r="JV43" s="143">
        <f t="shared" si="241"/>
        <v>0.3576610439545842</v>
      </c>
      <c r="JW43" s="143">
        <f t="shared" ca="1" si="242"/>
        <v>0.21657266153450572</v>
      </c>
      <c r="JX43" s="143">
        <f t="shared" ca="1" si="243"/>
        <v>0.29329778651550481</v>
      </c>
      <c r="JY43" s="143">
        <f t="shared" si="244"/>
        <v>0.72026480804523674</v>
      </c>
      <c r="JZ43" s="143">
        <f t="shared" si="245"/>
        <v>1.0048666346570878</v>
      </c>
      <c r="KA43" s="143">
        <f t="shared" si="246"/>
        <v>0.27165408802644619</v>
      </c>
      <c r="KB43" s="143">
        <f t="shared" si="247"/>
        <v>0.33741607920243799</v>
      </c>
      <c r="KC43" s="143">
        <f t="shared" ca="1" si="248"/>
        <v>0.43291137931582307</v>
      </c>
      <c r="KD43" s="143">
        <f t="shared" ca="1" si="249"/>
        <v>0.65502271077822327</v>
      </c>
      <c r="KE43" s="143">
        <f t="shared" ca="1" si="250"/>
        <v>0.53550742406906116</v>
      </c>
      <c r="KF43" s="143">
        <f t="shared" ca="1" si="251"/>
        <v>0.41172136965370004</v>
      </c>
      <c r="KG43" s="142">
        <f t="shared" si="252"/>
        <v>0.1490917597977478</v>
      </c>
      <c r="KH43" s="142">
        <f t="shared" ca="1" si="253"/>
        <v>0.12030102768832342</v>
      </c>
      <c r="KI43" s="142">
        <f t="shared" ca="1" si="254"/>
        <v>372.91972478479693</v>
      </c>
      <c r="KJ43" s="142">
        <f t="shared" ca="1" si="255"/>
        <v>319.81581656638258</v>
      </c>
    </row>
    <row r="44" spans="1:296" x14ac:dyDescent="0.3">
      <c r="A44" s="194">
        <v>41338</v>
      </c>
      <c r="B44" s="196">
        <v>42</v>
      </c>
      <c r="C44" s="177">
        <v>24</v>
      </c>
      <c r="D44" s="166">
        <v>4.2</v>
      </c>
      <c r="E44" s="166">
        <v>50016</v>
      </c>
      <c r="F44" s="166">
        <v>300</v>
      </c>
      <c r="G44" s="166">
        <v>11.7</v>
      </c>
      <c r="H44" s="166">
        <v>0.85</v>
      </c>
      <c r="I44" s="166">
        <v>1.4</v>
      </c>
      <c r="J44" s="166">
        <v>1.33</v>
      </c>
      <c r="K44" s="166">
        <v>0.91</v>
      </c>
      <c r="L44" s="166">
        <v>27996.301374360919</v>
      </c>
      <c r="M44" s="169">
        <v>19</v>
      </c>
      <c r="N44" s="167">
        <v>75147.253710962832</v>
      </c>
      <c r="O44" s="176">
        <v>17</v>
      </c>
      <c r="P44" s="166">
        <v>2</v>
      </c>
      <c r="Q44" s="166">
        <v>5</v>
      </c>
      <c r="R44" s="168">
        <v>386.9334716796875</v>
      </c>
      <c r="S44" s="169">
        <v>81.053605413500918</v>
      </c>
      <c r="T44" s="166">
        <v>180</v>
      </c>
      <c r="U44" s="170">
        <v>3.196296215057373</v>
      </c>
      <c r="V44" s="176">
        <v>17</v>
      </c>
      <c r="W44" s="166">
        <v>1250</v>
      </c>
      <c r="X44" s="169">
        <v>85943.87554974854</v>
      </c>
      <c r="Y44" s="169">
        <v>11744.992533102632</v>
      </c>
      <c r="Z44" s="169">
        <v>371.43643188476562</v>
      </c>
      <c r="AA44" s="169">
        <v>10.074728965759277</v>
      </c>
      <c r="AB44" s="169">
        <v>13.002487182617188</v>
      </c>
      <c r="AC44" s="212">
        <v>37</v>
      </c>
      <c r="AD44" s="212">
        <v>29.894258499145508</v>
      </c>
      <c r="AE44" s="254">
        <v>20</v>
      </c>
      <c r="AF44" s="254">
        <v>10</v>
      </c>
      <c r="AG44" s="217">
        <v>5000000</v>
      </c>
      <c r="AH44" s="218">
        <v>300000</v>
      </c>
      <c r="AI44" s="219">
        <v>5000000</v>
      </c>
      <c r="AJ44" s="225">
        <f t="shared" si="179"/>
        <v>300000</v>
      </c>
      <c r="AK44" s="220">
        <v>2750000</v>
      </c>
      <c r="AL44" s="226">
        <f t="shared" si="180"/>
        <v>300000</v>
      </c>
      <c r="AM44" s="221">
        <v>14.407</v>
      </c>
      <c r="BM44" s="197">
        <f t="shared" si="181"/>
        <v>7.1057415008544922</v>
      </c>
      <c r="BN44" s="196">
        <f t="shared" si="182"/>
        <v>180</v>
      </c>
      <c r="BO44" s="197">
        <f t="shared" si="183"/>
        <v>2.9277582168579102</v>
      </c>
      <c r="BP44" s="196">
        <f t="shared" si="173"/>
        <v>12.692117883605571</v>
      </c>
      <c r="BQ44" s="115">
        <f t="shared" si="184"/>
        <v>659.74492511188635</v>
      </c>
      <c r="BR44" s="184">
        <f t="shared" si="185"/>
        <v>1.0041987768</v>
      </c>
      <c r="BS44" s="115">
        <f t="shared" si="186"/>
        <v>6863.8528613899143</v>
      </c>
      <c r="BT44" s="196">
        <v>900</v>
      </c>
      <c r="BU44" s="115">
        <f t="shared" si="101"/>
        <v>1.1850729520000001</v>
      </c>
      <c r="BV44" s="115">
        <f t="shared" si="102"/>
        <v>1.0752767024286212</v>
      </c>
      <c r="BW44" s="115">
        <f t="shared" si="103"/>
        <v>484.51597759156152</v>
      </c>
      <c r="BX44" s="115">
        <f t="shared" si="187"/>
        <v>1165.5812899181876</v>
      </c>
      <c r="BY44" s="115"/>
      <c r="BZ44" s="115">
        <f t="shared" si="188"/>
        <v>681.0653123266261</v>
      </c>
      <c r="CA44" s="115">
        <f t="shared" si="189"/>
        <v>11041.888328992616</v>
      </c>
      <c r="CB44" s="115">
        <f t="shared" si="190"/>
        <v>3131.1355712901182</v>
      </c>
      <c r="CC44" s="115">
        <f t="shared" si="191"/>
        <v>1166.5125572650384</v>
      </c>
      <c r="CD44" s="129">
        <f t="shared" si="104"/>
        <v>0.23048164182661995</v>
      </c>
      <c r="CE44" s="115">
        <f t="shared" si="192"/>
        <v>21.849201875574447</v>
      </c>
      <c r="CF44" s="115">
        <f t="shared" si="193"/>
        <v>22.514890392639145</v>
      </c>
      <c r="CG44" s="115">
        <f t="shared" si="194"/>
        <v>0.02</v>
      </c>
      <c r="CH44" s="115">
        <f t="shared" si="195"/>
        <v>0.05</v>
      </c>
      <c r="CI44" s="136">
        <v>30</v>
      </c>
      <c r="CJ44" s="115">
        <f t="shared" si="18"/>
        <v>165</v>
      </c>
      <c r="CK44" s="115">
        <f t="shared" si="196"/>
        <v>453</v>
      </c>
      <c r="CL44" s="115">
        <f t="shared" si="197"/>
        <v>659.9334716796875</v>
      </c>
      <c r="CM44" s="115">
        <f t="shared" ca="1" si="198"/>
        <v>2816.5993052117487</v>
      </c>
      <c r="CN44" s="115">
        <f t="shared" ca="1" si="22"/>
        <v>125.80344444444444</v>
      </c>
      <c r="CO44" s="115">
        <f t="shared" ca="1" si="23"/>
        <v>690.58718083896258</v>
      </c>
      <c r="CP44" s="115">
        <f t="shared" ca="1" si="24"/>
        <v>2790.6388281929471</v>
      </c>
      <c r="CQ44" s="115">
        <f t="shared" si="105"/>
        <v>1.072449112508886</v>
      </c>
      <c r="CR44" s="115">
        <f t="shared" ca="1" si="199"/>
        <v>526.52136803109659</v>
      </c>
      <c r="CS44" s="115">
        <f t="shared" ca="1" si="200"/>
        <v>26.050920261390395</v>
      </c>
      <c r="CT44" s="115">
        <f t="shared" si="106"/>
        <v>1.1207499029220607</v>
      </c>
      <c r="CU44" s="115">
        <f t="shared" ca="1" si="107"/>
        <v>1.0176409640080313</v>
      </c>
      <c r="CV44" s="115">
        <f t="shared" si="108"/>
        <v>208.0653123266261</v>
      </c>
      <c r="CW44" s="115">
        <f t="shared" si="27"/>
        <v>473</v>
      </c>
      <c r="CX44" s="115">
        <f t="shared" si="28"/>
        <v>438</v>
      </c>
      <c r="CY44" s="115">
        <f t="shared" ca="1" si="109"/>
        <v>446.94907973860961</v>
      </c>
      <c r="CZ44" s="115">
        <f t="shared" ca="1" si="29"/>
        <v>212.98439194107789</v>
      </c>
      <c r="DA44" s="115">
        <v>0.21890000000000001</v>
      </c>
      <c r="DB44" s="115">
        <v>2.7E-2</v>
      </c>
      <c r="DC44" s="115">
        <v>1.06</v>
      </c>
      <c r="DD44" s="138">
        <f t="shared" si="201"/>
        <v>12.219435985456238</v>
      </c>
      <c r="DE44" s="138">
        <f t="shared" si="110"/>
        <v>12.219435985456238</v>
      </c>
      <c r="DF44" s="115">
        <f t="shared" si="31"/>
        <v>659.9334716796875</v>
      </c>
      <c r="DG44" s="115">
        <v>681.0653123266261</v>
      </c>
      <c r="DH44" s="115">
        <f t="shared" si="111"/>
        <v>1.1207499029220607</v>
      </c>
      <c r="DI44" s="115">
        <f t="shared" si="112"/>
        <v>1.1264262882691065</v>
      </c>
      <c r="DJ44" s="138">
        <f t="shared" si="202"/>
        <v>2.691713945375652</v>
      </c>
      <c r="DK44" s="138">
        <f t="shared" si="203"/>
        <v>2.9595341998940334</v>
      </c>
      <c r="DL44" s="115">
        <f t="shared" si="113"/>
        <v>659.9334716796875</v>
      </c>
      <c r="DM44" s="115">
        <f t="shared" si="167"/>
        <v>681.0653123266261</v>
      </c>
      <c r="DN44" s="115">
        <f t="shared" si="174"/>
        <v>12.80750077345653</v>
      </c>
      <c r="DO44" s="115">
        <f t="shared" si="114"/>
        <v>1.1207499029220607</v>
      </c>
      <c r="DP44" s="115">
        <f t="shared" si="115"/>
        <v>1.1264262882691065</v>
      </c>
      <c r="DQ44" s="115">
        <v>298.14999999999998</v>
      </c>
      <c r="DR44" s="138">
        <f t="shared" si="116"/>
        <v>1.7926814876201835</v>
      </c>
      <c r="DS44" s="138">
        <f t="shared" si="117"/>
        <v>1.9710497771294269</v>
      </c>
      <c r="DT44" s="115">
        <f t="shared" si="35"/>
        <v>659.9334716796875</v>
      </c>
      <c r="DU44" s="139">
        <f t="shared" si="118"/>
        <v>6.4229808683700913</v>
      </c>
      <c r="DV44" s="115">
        <f t="shared" si="119"/>
        <v>1.1207499029220607</v>
      </c>
      <c r="DW44" s="115">
        <v>298.14999999999998</v>
      </c>
      <c r="DX44" s="138">
        <f t="shared" si="204"/>
        <v>0.89903245775546747</v>
      </c>
      <c r="DY44" s="138">
        <f t="shared" si="205"/>
        <v>0.98848442276460735</v>
      </c>
      <c r="DZ44" s="138">
        <f t="shared" si="38"/>
        <v>3.1311355712901183</v>
      </c>
      <c r="EA44" s="138">
        <f t="shared" si="168"/>
        <v>4.1780354676027018</v>
      </c>
      <c r="EB44" s="115">
        <f t="shared" si="120"/>
        <v>22.514890392639145</v>
      </c>
      <c r="EC44" s="115">
        <v>30</v>
      </c>
      <c r="ED44" s="198">
        <f t="shared" ca="1" si="40"/>
        <v>125.80344444444444</v>
      </c>
      <c r="EE44" s="198">
        <v>104.83</v>
      </c>
      <c r="EF44" s="198">
        <f t="shared" ca="1" si="169"/>
        <v>0.42491111111111107</v>
      </c>
      <c r="EG44" s="199">
        <v>0.36720000000000003</v>
      </c>
      <c r="EH44" s="138">
        <f t="shared" ca="1" si="121"/>
        <v>8.4810815272590268E-2</v>
      </c>
      <c r="EI44" s="138">
        <f t="shared" ca="1" si="122"/>
        <v>8.4810815272590268E-2</v>
      </c>
      <c r="EJ44" s="115">
        <f t="shared" si="170"/>
        <v>12.80750077345653</v>
      </c>
      <c r="EK44" s="115">
        <v>435</v>
      </c>
      <c r="EL44" s="115">
        <f t="shared" ca="1" si="171"/>
        <v>446.94907973860961</v>
      </c>
      <c r="EM44" s="115">
        <f t="shared" ca="1" si="123"/>
        <v>1.0624548065495729</v>
      </c>
      <c r="EN44" s="115">
        <f t="shared" ca="1" si="124"/>
        <v>1.0661498714500328</v>
      </c>
      <c r="EO44" s="115">
        <v>298.14999999999998</v>
      </c>
      <c r="EP44" s="138">
        <f t="shared" ca="1" si="125"/>
        <v>0.32962599945492121</v>
      </c>
      <c r="EQ44" s="138">
        <f t="shared" ca="1" si="126"/>
        <v>0.38361094775621696</v>
      </c>
      <c r="ER44" s="115">
        <f t="shared" si="44"/>
        <v>0.88786005973815918</v>
      </c>
      <c r="ES44" s="115">
        <f t="shared" si="172"/>
        <v>453</v>
      </c>
      <c r="ET44" s="115">
        <f t="shared" ca="1" si="206"/>
        <v>2816.5993052117487</v>
      </c>
      <c r="EU44" s="115">
        <f t="shared" ca="1" si="207"/>
        <v>6.5855309782608691</v>
      </c>
      <c r="EV44" s="138">
        <f t="shared" ca="1" si="175"/>
        <v>0.76158320744289376</v>
      </c>
      <c r="EW44" s="138">
        <f t="shared" ca="1" si="208"/>
        <v>1.115164593372209</v>
      </c>
      <c r="EX44" s="115">
        <v>21.47</v>
      </c>
      <c r="EY44" s="115">
        <f t="shared" ca="1" si="209"/>
        <v>125.19523784764607</v>
      </c>
      <c r="EZ44" s="115">
        <f t="shared" ca="1" si="210"/>
        <v>0.42343660462697347</v>
      </c>
      <c r="FA44" s="138">
        <f t="shared" ca="1" si="127"/>
        <v>7.7255376004106341E-2</v>
      </c>
      <c r="FB44" s="138">
        <f t="shared" ca="1" si="128"/>
        <v>7.7255376004106341E-2</v>
      </c>
      <c r="FC44" s="115">
        <f t="shared" si="52"/>
        <v>21.47</v>
      </c>
      <c r="FD44" s="115">
        <v>37</v>
      </c>
      <c r="FE44" s="115">
        <f t="shared" ca="1" si="53"/>
        <v>154.93355555555553</v>
      </c>
      <c r="FF44" s="115">
        <f t="shared" ca="1" si="54"/>
        <v>0.52252222222222222</v>
      </c>
      <c r="FG44" s="138">
        <f t="shared" ca="1" si="176"/>
        <v>8.1462225449999703E-2</v>
      </c>
      <c r="FH44" s="138">
        <f t="shared" ca="1" si="129"/>
        <v>8.1462225449999703E-2</v>
      </c>
      <c r="FI44" s="115">
        <f t="shared" si="56"/>
        <v>104.00220092773438</v>
      </c>
      <c r="FJ44" s="115">
        <f t="shared" ca="1" si="211"/>
        <v>42.248304580476557</v>
      </c>
      <c r="FK44" s="115">
        <f t="shared" ca="1" si="212"/>
        <v>0.14706427613364326</v>
      </c>
      <c r="FL44" s="138">
        <f t="shared" ca="1" si="177"/>
        <v>0.31739086445467107</v>
      </c>
      <c r="FM44" s="138">
        <f t="shared" ca="1" si="213"/>
        <v>0.75299037341173547</v>
      </c>
      <c r="FN44" s="115">
        <f t="shared" si="130"/>
        <v>104.00220092773438</v>
      </c>
      <c r="FO44" s="115">
        <f t="shared" ca="1" si="214"/>
        <v>54.501298024495448</v>
      </c>
      <c r="FP44" s="115">
        <f t="shared" ca="1" si="215"/>
        <v>0.18789023793538412</v>
      </c>
      <c r="FQ44" s="138">
        <f t="shared" ca="1" si="178"/>
        <v>0.32578726715632678</v>
      </c>
      <c r="FR44" s="138">
        <f t="shared" ca="1" si="216"/>
        <v>0.77291032421592132</v>
      </c>
      <c r="FS44" s="139">
        <f t="shared" si="217"/>
        <v>6.3965864687904688</v>
      </c>
      <c r="FT44" s="249">
        <f t="shared" si="132"/>
        <v>5.0818663179595029</v>
      </c>
      <c r="FU44" s="139">
        <f t="shared" ca="1" si="218"/>
        <v>0.78628309599495871</v>
      </c>
      <c r="FV44" s="249">
        <f t="shared" ca="1" si="134"/>
        <v>0.55708505127359143</v>
      </c>
      <c r="FW44" s="139">
        <f t="shared" ca="1" si="135"/>
        <v>0.76577276069865619</v>
      </c>
      <c r="FX44" s="249">
        <f t="shared" ca="1" si="136"/>
        <v>1.1308776947305015</v>
      </c>
      <c r="FY44" s="249">
        <f t="shared" si="219"/>
        <v>0.15000000000000002</v>
      </c>
      <c r="FZ44" s="139">
        <f t="shared" si="220"/>
        <v>1050000</v>
      </c>
      <c r="GA44" s="139">
        <f t="shared" si="137"/>
        <v>3.3757716049382713E-2</v>
      </c>
      <c r="GB44" s="139">
        <f t="shared" si="138"/>
        <v>121.52777777777777</v>
      </c>
      <c r="GC44" s="139">
        <f t="shared" si="221"/>
        <v>1050000</v>
      </c>
      <c r="GD44" s="139">
        <f t="shared" si="139"/>
        <v>6.7515432098765427E-2</v>
      </c>
      <c r="GE44" s="139">
        <f t="shared" si="140"/>
        <v>243.05555555555554</v>
      </c>
      <c r="GF44" s="139">
        <f t="shared" si="141"/>
        <v>4.5814043209876545E-2</v>
      </c>
      <c r="GG44" s="139">
        <f t="shared" si="222"/>
        <v>712500</v>
      </c>
      <c r="GH44" s="139">
        <f t="shared" si="142"/>
        <v>164.93055555555554</v>
      </c>
      <c r="GI44" s="137">
        <f t="shared" si="223"/>
        <v>54.620313808500178</v>
      </c>
      <c r="GJ44" s="137">
        <f t="shared" si="143"/>
        <v>0.19663312971059907</v>
      </c>
      <c r="GK44" s="251">
        <f t="shared" si="224"/>
        <v>40.010460028453132</v>
      </c>
      <c r="GL44" s="137">
        <f t="shared" si="164"/>
        <v>0.14403765610243013</v>
      </c>
      <c r="GM44" s="137">
        <f t="shared" ca="1" si="225"/>
        <v>9.5482138409676836</v>
      </c>
      <c r="GN44" s="137">
        <f t="shared" ca="1" si="144"/>
        <v>3.4373569827483387E-2</v>
      </c>
      <c r="GO44" s="137">
        <f t="shared" ca="1" si="145"/>
        <v>0.12086346634136212</v>
      </c>
      <c r="GP44" s="137">
        <f t="shared" ca="1" si="226"/>
        <v>10.333583115650484</v>
      </c>
      <c r="GQ44" s="137">
        <f t="shared" ca="1" si="146"/>
        <v>3.7200899216341447E-2</v>
      </c>
      <c r="GR44" s="137">
        <f t="shared" ca="1" si="147"/>
        <v>0.13080484956519497</v>
      </c>
      <c r="GS44" s="140">
        <f t="shared" si="227"/>
        <v>9.2155621255864295E-2</v>
      </c>
      <c r="GT44" s="140">
        <f t="shared" si="228"/>
        <v>7.3214448042842564E-2</v>
      </c>
      <c r="GU44" s="140">
        <f t="shared" si="148"/>
        <v>331.76023652111144</v>
      </c>
      <c r="GV44" s="140">
        <f t="shared" si="149"/>
        <v>263.57201295423323</v>
      </c>
      <c r="GW44" s="141">
        <f t="shared" ca="1" si="229"/>
        <v>7.5444350556235799E-3</v>
      </c>
      <c r="GX44" s="141">
        <f t="shared" ca="1" si="230"/>
        <v>5.3452656062432874E-3</v>
      </c>
      <c r="GY44" s="141">
        <f t="shared" ca="1" si="150"/>
        <v>27.159966200244888</v>
      </c>
      <c r="GZ44" s="141">
        <f t="shared" ca="1" si="165"/>
        <v>19.242956182475833</v>
      </c>
      <c r="HA44" s="141">
        <f t="shared" ca="1" si="231"/>
        <v>1.588421887945082E-2</v>
      </c>
      <c r="HB44" s="141">
        <f t="shared" ca="1" si="232"/>
        <v>1.6717604812995647E-2</v>
      </c>
      <c r="HC44" s="141">
        <f t="shared" ca="1" si="233"/>
        <v>57.183187966022949</v>
      </c>
      <c r="HD44" s="141">
        <f t="shared" ca="1" si="152"/>
        <v>60.183377326784331</v>
      </c>
      <c r="HE44" s="137">
        <f t="shared" si="153"/>
        <v>9.5277220400805867</v>
      </c>
      <c r="HF44" s="250">
        <f t="shared" si="154"/>
        <v>9.2599017855622048</v>
      </c>
      <c r="HG44" s="137">
        <v>3.1311355712901183</v>
      </c>
      <c r="HH44" s="251">
        <v>4.6596200497447189</v>
      </c>
      <c r="HI44" s="137">
        <f t="shared" ca="1" si="155"/>
        <v>1.4090705398639667</v>
      </c>
      <c r="HJ44" s="251">
        <f t="shared" ca="1" si="156"/>
        <v>1.5874388293732098</v>
      </c>
      <c r="HK44" s="137">
        <f t="shared" ca="1" si="157"/>
        <v>0.67677239217030349</v>
      </c>
      <c r="HL44" s="251">
        <f t="shared" ca="1" si="158"/>
        <v>1.0303537780996188</v>
      </c>
      <c r="HM44" s="137">
        <f t="shared" ca="1" si="159"/>
        <v>0.76158320744289376</v>
      </c>
      <c r="HN44" s="251">
        <f t="shared" ca="1" si="160"/>
        <v>1.115164593372209</v>
      </c>
      <c r="HO44" s="137">
        <f t="shared" ca="1" si="161"/>
        <v>0.31739086445467107</v>
      </c>
      <c r="HP44" s="251">
        <f t="shared" ca="1" si="162"/>
        <v>0.75299037341173547</v>
      </c>
      <c r="JN44" s="143">
        <f t="shared" si="234"/>
        <v>19.230481641826621</v>
      </c>
      <c r="JO44" s="143">
        <f t="shared" si="235"/>
        <v>3131.1355712901182</v>
      </c>
      <c r="JP44" s="143">
        <f t="shared" si="236"/>
        <v>4178.0354676027018</v>
      </c>
      <c r="JQ44" s="143">
        <f t="shared" si="237"/>
        <v>0.88786005973815918</v>
      </c>
      <c r="JR44" s="143">
        <f t="shared" ca="1" si="238"/>
        <v>1.3000681905969826</v>
      </c>
      <c r="JS44" s="143">
        <f t="shared" si="239"/>
        <v>104.00220092773438</v>
      </c>
      <c r="JT44" s="143">
        <f t="shared" ca="1" si="240"/>
        <v>246.73884753038146</v>
      </c>
      <c r="JU44" s="143">
        <f t="shared" si="256"/>
        <v>0.27161676770661553</v>
      </c>
      <c r="JV44" s="143">
        <f t="shared" si="241"/>
        <v>0.36243224326638257</v>
      </c>
      <c r="JW44" s="143">
        <f t="shared" ca="1" si="242"/>
        <v>0.20689182723231997</v>
      </c>
      <c r="JX44" s="143">
        <f t="shared" ca="1" si="243"/>
        <v>0.30294580832766521</v>
      </c>
      <c r="JY44" s="143">
        <f t="shared" si="244"/>
        <v>0.71213582878699466</v>
      </c>
      <c r="JZ44" s="143">
        <f t="shared" si="245"/>
        <v>0.67309532901430313</v>
      </c>
      <c r="KA44" s="143">
        <f t="shared" si="246"/>
        <v>0.25624223368548632</v>
      </c>
      <c r="KB44" s="143">
        <f t="shared" si="247"/>
        <v>0.34191721062866276</v>
      </c>
      <c r="KC44" s="143">
        <f t="shared" ca="1" si="248"/>
        <v>0.46257465806645975</v>
      </c>
      <c r="KD44" s="143">
        <f t="shared" ca="1" si="249"/>
        <v>0.6490667602646758</v>
      </c>
      <c r="KE44" s="143">
        <f t="shared" ca="1" si="250"/>
        <v>0.67522801377214237</v>
      </c>
      <c r="KF44" s="143">
        <f t="shared" ca="1" si="251"/>
        <v>0.41675139545204609</v>
      </c>
      <c r="KG44" s="142">
        <f t="shared" si="252"/>
        <v>0.14403765610243013</v>
      </c>
      <c r="KH44" s="142">
        <f t="shared" ca="1" si="253"/>
        <v>0.13080484956519497</v>
      </c>
      <c r="KI44" s="142">
        <f t="shared" ca="1" si="254"/>
        <v>416.10339068737926</v>
      </c>
      <c r="KJ44" s="142">
        <f t="shared" ca="1" si="255"/>
        <v>342.99834646349342</v>
      </c>
    </row>
    <row r="45" spans="1:296" x14ac:dyDescent="0.3">
      <c r="A45" s="194">
        <v>41339</v>
      </c>
      <c r="B45" s="196">
        <v>43</v>
      </c>
      <c r="C45" s="177">
        <v>24</v>
      </c>
      <c r="D45" s="166">
        <v>4.2</v>
      </c>
      <c r="E45" s="166">
        <v>50016</v>
      </c>
      <c r="F45" s="166">
        <v>300</v>
      </c>
      <c r="G45" s="166">
        <v>11.7</v>
      </c>
      <c r="H45" s="166">
        <v>0.85</v>
      </c>
      <c r="I45" s="166">
        <v>1.4</v>
      </c>
      <c r="J45" s="166">
        <v>1.33</v>
      </c>
      <c r="K45" s="166">
        <v>0.91</v>
      </c>
      <c r="L45" s="166">
        <v>33063.276497453451</v>
      </c>
      <c r="M45" s="169">
        <v>19</v>
      </c>
      <c r="N45" s="167">
        <v>71674.331392079592</v>
      </c>
      <c r="O45" s="176">
        <v>17</v>
      </c>
      <c r="P45" s="166">
        <v>2</v>
      </c>
      <c r="Q45" s="166">
        <v>5</v>
      </c>
      <c r="R45" s="168">
        <v>396.57196044921875</v>
      </c>
      <c r="S45" s="169">
        <v>82.258700602076715</v>
      </c>
      <c r="T45" s="166">
        <v>180</v>
      </c>
      <c r="U45" s="170">
        <v>3.2693636417388916</v>
      </c>
      <c r="V45" s="176">
        <v>17</v>
      </c>
      <c r="W45" s="166">
        <v>1250</v>
      </c>
      <c r="X45" s="169">
        <v>85680.448537379503</v>
      </c>
      <c r="Y45" s="169">
        <v>11918.965511346236</v>
      </c>
      <c r="Z45" s="169">
        <v>352.89407348632812</v>
      </c>
      <c r="AA45" s="169">
        <v>10.249361991882324</v>
      </c>
      <c r="AB45" s="169">
        <v>13.818281173706055</v>
      </c>
      <c r="AC45" s="212">
        <v>37</v>
      </c>
      <c r="AD45" s="212">
        <v>30.419921875</v>
      </c>
      <c r="AE45" s="254">
        <v>20</v>
      </c>
      <c r="AF45" s="254">
        <v>10</v>
      </c>
      <c r="AG45" s="217">
        <v>5000000</v>
      </c>
      <c r="AH45" s="218">
        <v>300000</v>
      </c>
      <c r="AI45" s="219">
        <v>5000000</v>
      </c>
      <c r="AJ45" s="225">
        <f t="shared" si="179"/>
        <v>300000</v>
      </c>
      <c r="AK45" s="220">
        <v>2750000</v>
      </c>
      <c r="AL45" s="226">
        <f t="shared" si="180"/>
        <v>300000</v>
      </c>
      <c r="AM45" s="221">
        <v>14.407</v>
      </c>
      <c r="BM45" s="197">
        <f t="shared" si="181"/>
        <v>6.580078125</v>
      </c>
      <c r="BN45" s="196">
        <f t="shared" si="182"/>
        <v>180</v>
      </c>
      <c r="BO45" s="197">
        <f t="shared" si="183"/>
        <v>3.5689191818237305</v>
      </c>
      <c r="BP45" s="196">
        <f t="shared" si="173"/>
        <v>12.71964928933307</v>
      </c>
      <c r="BQ45" s="115">
        <f t="shared" si="184"/>
        <v>659.74492511188635</v>
      </c>
      <c r="BR45" s="184">
        <f t="shared" si="185"/>
        <v>1.0041987768</v>
      </c>
      <c r="BS45" s="115">
        <f t="shared" si="186"/>
        <v>6863.8528613899143</v>
      </c>
      <c r="BT45" s="196">
        <v>900</v>
      </c>
      <c r="BU45" s="115">
        <f t="shared" si="101"/>
        <v>1.1850729520000001</v>
      </c>
      <c r="BV45" s="115">
        <f t="shared" si="102"/>
        <v>1.0846546816427287</v>
      </c>
      <c r="BW45" s="115">
        <f t="shared" si="103"/>
        <v>522.03453186214404</v>
      </c>
      <c r="BX45" s="115">
        <f t="shared" si="187"/>
        <v>1255.8382203499755</v>
      </c>
      <c r="BY45" s="115"/>
      <c r="BZ45" s="115">
        <f t="shared" si="188"/>
        <v>733.80368848783144</v>
      </c>
      <c r="CA45" s="115">
        <f t="shared" si="189"/>
        <v>11922.724788653455</v>
      </c>
      <c r="CB45" s="115">
        <f t="shared" si="190"/>
        <v>2986.4304746699831</v>
      </c>
      <c r="CC45" s="115">
        <f t="shared" si="191"/>
        <v>1377.6365207272272</v>
      </c>
      <c r="CD45" s="129">
        <f t="shared" si="104"/>
        <v>0.27219589292889312</v>
      </c>
      <c r="CE45" s="115">
        <f t="shared" si="192"/>
        <v>20.758474910960476</v>
      </c>
      <c r="CF45" s="115">
        <f t="shared" si="193"/>
        <v>22.849639056132421</v>
      </c>
      <c r="CG45" s="115">
        <f t="shared" si="194"/>
        <v>0.02</v>
      </c>
      <c r="CH45" s="115">
        <f t="shared" si="195"/>
        <v>0.05</v>
      </c>
      <c r="CI45" s="136">
        <v>30</v>
      </c>
      <c r="CJ45" s="115">
        <f t="shared" ref="CJ45:CJ82" si="257">CX45-273</f>
        <v>165</v>
      </c>
      <c r="CK45" s="115">
        <f t="shared" si="196"/>
        <v>453</v>
      </c>
      <c r="CL45" s="115">
        <f t="shared" si="197"/>
        <v>669.57196044921875</v>
      </c>
      <c r="CM45" s="115">
        <f t="shared" ca="1" si="198"/>
        <v>2816.5993052117487</v>
      </c>
      <c r="CN45" s="115">
        <f t="shared" ref="CN45:CN82" ca="1" si="258">FORECAST(CI45,OFFSET(h,MATCH(CI45,Temp,1)-1,0,2),OFFSET(Temp,MATCH(CI45,Temp,1)-1,0,2))</f>
        <v>125.80344444444444</v>
      </c>
      <c r="CO45" s="115">
        <f t="shared" ref="CO45:CO82" ca="1" si="259">FORECAST(CJ45,OFFSET(h,MATCH(CJ45,Temp,1)-1,0,2),OFFSET(Temp,MATCH(CJ45,Temp,1)-1,0,2))</f>
        <v>690.58718083896258</v>
      </c>
      <c r="CP45" s="115">
        <f t="shared" ref="CP45:CP82" ca="1" si="260">FORECAST(CJ45,OFFSET(KnownA,MATCH(CJ45,KnownB,1)-1,0,2),OFFSET(KnownB,MATCH(CJ45,KnownB,1)-1,0,2))</f>
        <v>2790.6388281929471</v>
      </c>
      <c r="CQ45" s="115">
        <f t="shared" si="105"/>
        <v>1.072449112508886</v>
      </c>
      <c r="CR45" s="115">
        <f t="shared" ca="1" si="199"/>
        <v>538.55766218732344</v>
      </c>
      <c r="CS45" s="115">
        <f t="shared" ca="1" si="200"/>
        <v>26.588769420590435</v>
      </c>
      <c r="CT45" s="115">
        <f t="shared" si="106"/>
        <v>1.1233361892750495</v>
      </c>
      <c r="CU45" s="115">
        <f t="shared" ca="1" si="107"/>
        <v>1.0193792913086002</v>
      </c>
      <c r="CV45" s="115">
        <f t="shared" si="108"/>
        <v>260.80368848783144</v>
      </c>
      <c r="CW45" s="115">
        <f t="shared" ref="CW45:CW82" si="261">CK45+20</f>
        <v>473</v>
      </c>
      <c r="CX45" s="115">
        <f t="shared" ref="CX45:CX82" si="262">CK45-15</f>
        <v>438</v>
      </c>
      <c r="CY45" s="115">
        <f t="shared" ca="1" si="109"/>
        <v>446.41123057940956</v>
      </c>
      <c r="CZ45" s="115">
        <f t="shared" ref="CZ45:CZ82" ca="1" si="263">CL45-CY45</f>
        <v>223.16072986980919</v>
      </c>
      <c r="DA45" s="115">
        <v>0.21890000000000001</v>
      </c>
      <c r="DB45" s="115">
        <v>2.7E-2</v>
      </c>
      <c r="DC45" s="115">
        <v>1.06</v>
      </c>
      <c r="DD45" s="138">
        <f t="shared" si="201"/>
        <v>14.43099876757541</v>
      </c>
      <c r="DE45" s="138">
        <f t="shared" si="110"/>
        <v>14.43099876757541</v>
      </c>
      <c r="DF45" s="115">
        <f t="shared" ref="DF45:DF82" si="264">CL45</f>
        <v>669.57196044921875</v>
      </c>
      <c r="DG45" s="115">
        <v>733.80368848783144</v>
      </c>
      <c r="DH45" s="115">
        <f t="shared" si="111"/>
        <v>1.1233361892750495</v>
      </c>
      <c r="DI45" s="115">
        <f t="shared" si="112"/>
        <v>1.1406599377893409</v>
      </c>
      <c r="DJ45" s="138">
        <f t="shared" si="202"/>
        <v>2.8188522634120443</v>
      </c>
      <c r="DK45" s="138">
        <f t="shared" si="203"/>
        <v>3.673944048574862</v>
      </c>
      <c r="DL45" s="115">
        <f t="shared" si="113"/>
        <v>669.57196044921875</v>
      </c>
      <c r="DM45" s="115">
        <f t="shared" si="167"/>
        <v>733.80368848783144</v>
      </c>
      <c r="DN45" s="115">
        <f t="shared" si="174"/>
        <v>12.835282464690643</v>
      </c>
      <c r="DO45" s="115">
        <f t="shared" si="114"/>
        <v>1.1233361892750495</v>
      </c>
      <c r="DP45" s="115">
        <f t="shared" si="115"/>
        <v>1.1406599377893409</v>
      </c>
      <c r="DQ45" s="115">
        <v>298.14999999999998</v>
      </c>
      <c r="DR45" s="138">
        <f t="shared" si="116"/>
        <v>1.8773556074324216</v>
      </c>
      <c r="DS45" s="138">
        <f t="shared" si="117"/>
        <v>2.4468467363508579</v>
      </c>
      <c r="DT45" s="115">
        <f t="shared" si="35"/>
        <v>669.57196044921875</v>
      </c>
      <c r="DU45" s="139">
        <f t="shared" si="118"/>
        <v>6.436913428238249</v>
      </c>
      <c r="DV45" s="115">
        <f t="shared" si="119"/>
        <v>1.1233361892750495</v>
      </c>
      <c r="DW45" s="115">
        <v>298.14999999999998</v>
      </c>
      <c r="DX45" s="138">
        <f t="shared" si="204"/>
        <v>0.94149665597962273</v>
      </c>
      <c r="DY45" s="138">
        <f t="shared" si="205"/>
        <v>1.2270973122240036</v>
      </c>
      <c r="DZ45" s="138">
        <f t="shared" si="38"/>
        <v>2.9864304746699832</v>
      </c>
      <c r="EA45" s="138">
        <f t="shared" si="168"/>
        <v>5.0588719272635405</v>
      </c>
      <c r="EB45" s="115">
        <f t="shared" si="120"/>
        <v>22.849639056132421</v>
      </c>
      <c r="EC45" s="115">
        <v>30</v>
      </c>
      <c r="ED45" s="198">
        <f t="shared" ref="ED45:ED82" ca="1" si="265">FORECAST(EC45,OFFSET(h,MATCH(EC45,Temp,1)-1,0,2),OFFSET(Temp,MATCH(EC45,Temp,1)-1,0,2))</f>
        <v>125.80344444444444</v>
      </c>
      <c r="EE45" s="198">
        <v>104.83</v>
      </c>
      <c r="EF45" s="198">
        <f t="shared" ca="1" si="169"/>
        <v>0.42491111111111107</v>
      </c>
      <c r="EG45" s="199">
        <v>0.36720000000000003</v>
      </c>
      <c r="EH45" s="138">
        <f t="shared" ca="1" si="121"/>
        <v>8.6071772202300931E-2</v>
      </c>
      <c r="EI45" s="138">
        <f t="shared" ca="1" si="122"/>
        <v>8.6071772202300931E-2</v>
      </c>
      <c r="EJ45" s="115">
        <f t="shared" si="170"/>
        <v>12.835282464690643</v>
      </c>
      <c r="EK45" s="115">
        <v>435</v>
      </c>
      <c r="EL45" s="115">
        <f t="shared" ca="1" si="171"/>
        <v>446.41123057940956</v>
      </c>
      <c r="EM45" s="115">
        <f t="shared" ca="1" si="123"/>
        <v>1.0624942255432241</v>
      </c>
      <c r="EN45" s="115">
        <f t="shared" ca="1" si="124"/>
        <v>1.0660213040057946</v>
      </c>
      <c r="EO45" s="115">
        <v>298.14999999999998</v>
      </c>
      <c r="EP45" s="138">
        <f t="shared" ca="1" si="125"/>
        <v>0.3303532716854401</v>
      </c>
      <c r="EQ45" s="138">
        <f t="shared" ca="1" si="126"/>
        <v>0.38194961779187475</v>
      </c>
      <c r="ER45" s="115">
        <f t="shared" si="44"/>
        <v>0.90815656714969217</v>
      </c>
      <c r="ES45" s="115">
        <f t="shared" si="172"/>
        <v>453</v>
      </c>
      <c r="ET45" s="115">
        <f t="shared" ca="1" si="206"/>
        <v>2816.5993052117487</v>
      </c>
      <c r="EU45" s="115">
        <f t="shared" ca="1" si="207"/>
        <v>6.5855309782608691</v>
      </c>
      <c r="EV45" s="138">
        <f t="shared" ca="1" si="175"/>
        <v>0.77899302224965772</v>
      </c>
      <c r="EW45" s="138">
        <f t="shared" ca="1" si="208"/>
        <v>1.4040904929738955</v>
      </c>
      <c r="EX45" s="115">
        <v>21.47</v>
      </c>
      <c r="EY45" s="115">
        <f t="shared" ca="1" si="209"/>
        <v>127.39519748263889</v>
      </c>
      <c r="EZ45" s="115">
        <f t="shared" ca="1" si="210"/>
        <v>0.43076668836805554</v>
      </c>
      <c r="FA45" s="138">
        <f t="shared" ca="1" si="127"/>
        <v>7.7566587252246535E-2</v>
      </c>
      <c r="FB45" s="138">
        <f t="shared" ca="1" si="128"/>
        <v>7.7566587252246535E-2</v>
      </c>
      <c r="FC45" s="115">
        <f t="shared" ref="FC45:FC82" si="266">EX45</f>
        <v>21.47</v>
      </c>
      <c r="FD45" s="115">
        <v>37</v>
      </c>
      <c r="FE45" s="115">
        <f t="shared" ref="FE45:FE82" ca="1" si="267">FORECAST(FD45,OFFSET(KnownY1SAC,MATCH(FD45,KnownX1SAC,1)-1,0,2),OFFSET(KnownX1SAC,MATCH(FD45,KnownX1SAC,1)-1,0,2))</f>
        <v>154.93355555555553</v>
      </c>
      <c r="FF45" s="115">
        <f t="shared" ref="FF45:FF82" ca="1" si="268">FORECAST(FD45,OFFSET(KnownYSAC,MATCH(FD45,KnownXSAC,1)-1,0,2),OFFSET(KnownXSAC,MATCH(FD45,KnownXSAC,1)-1,0,2))</f>
        <v>0.52252222222222222</v>
      </c>
      <c r="FG45" s="138">
        <f t="shared" ca="1" si="176"/>
        <v>8.1462225449999703E-2</v>
      </c>
      <c r="FH45" s="138">
        <f t="shared" ca="1" si="129"/>
        <v>8.1462225449999703E-2</v>
      </c>
      <c r="FI45" s="115">
        <f t="shared" si="56"/>
        <v>98.810340576171882</v>
      </c>
      <c r="FJ45" s="115">
        <f t="shared" ca="1" si="211"/>
        <v>42.979163198471078</v>
      </c>
      <c r="FK45" s="115">
        <f t="shared" ca="1" si="212"/>
        <v>0.14949943666458129</v>
      </c>
      <c r="FL45" s="138">
        <f t="shared" ca="1" si="177"/>
        <v>0.30202231916628675</v>
      </c>
      <c r="FM45" s="138">
        <f t="shared" ca="1" si="213"/>
        <v>0.82250265921687138</v>
      </c>
      <c r="FN45" s="115">
        <f t="shared" si="130"/>
        <v>98.810340576171882</v>
      </c>
      <c r="FO45" s="115">
        <f t="shared" ca="1" si="214"/>
        <v>57.915486520979144</v>
      </c>
      <c r="FP45" s="115">
        <f t="shared" ca="1" si="215"/>
        <v>0.19926603192223444</v>
      </c>
      <c r="FQ45" s="138">
        <f t="shared" ca="1" si="178"/>
        <v>0.31174653592100765</v>
      </c>
      <c r="FR45" s="138">
        <f t="shared" ca="1" si="216"/>
        <v>0.84898478862253146</v>
      </c>
      <c r="FS45" s="139">
        <f t="shared" si="217"/>
        <v>8.6257160294933826</v>
      </c>
      <c r="FT45" s="249">
        <f t="shared" si="132"/>
        <v>5.6981827917370076</v>
      </c>
      <c r="FU45" s="139">
        <f t="shared" ca="1" si="218"/>
        <v>0.85408108569962482</v>
      </c>
      <c r="FV45" s="249">
        <f t="shared" ca="1" si="134"/>
        <v>0.74687839778738851</v>
      </c>
      <c r="FW45" s="139">
        <f t="shared" ca="1" si="135"/>
        <v>0.78482160080662533</v>
      </c>
      <c r="FX45" s="249">
        <f t="shared" ca="1" si="136"/>
        <v>1.4266769841818028</v>
      </c>
      <c r="FY45" s="249">
        <f t="shared" si="219"/>
        <v>0.15000000000000002</v>
      </c>
      <c r="FZ45" s="139">
        <f t="shared" si="220"/>
        <v>1050000</v>
      </c>
      <c r="GA45" s="139">
        <f t="shared" si="137"/>
        <v>3.3757716049382713E-2</v>
      </c>
      <c r="GB45" s="139">
        <f t="shared" si="138"/>
        <v>121.52777777777777</v>
      </c>
      <c r="GC45" s="139">
        <f t="shared" si="221"/>
        <v>1050000</v>
      </c>
      <c r="GD45" s="139">
        <f t="shared" si="139"/>
        <v>6.7515432098765427E-2</v>
      </c>
      <c r="GE45" s="139">
        <f t="shared" si="140"/>
        <v>243.05555555555554</v>
      </c>
      <c r="GF45" s="139">
        <f t="shared" si="141"/>
        <v>4.5814043209876545E-2</v>
      </c>
      <c r="GG45" s="139">
        <f t="shared" si="222"/>
        <v>712500</v>
      </c>
      <c r="GH45" s="139">
        <f t="shared" si="142"/>
        <v>164.93055555555554</v>
      </c>
      <c r="GI45" s="137">
        <f t="shared" si="223"/>
        <v>67.322481618153816</v>
      </c>
      <c r="GJ45" s="137">
        <f t="shared" si="143"/>
        <v>0.24236093382535182</v>
      </c>
      <c r="GK45" s="251">
        <f t="shared" si="224"/>
        <v>37.307646072019551</v>
      </c>
      <c r="GL45" s="137">
        <f t="shared" si="164"/>
        <v>0.13430752585926931</v>
      </c>
      <c r="GM45" s="137">
        <f t="shared" ca="1" si="225"/>
        <v>10.820099005614207</v>
      </c>
      <c r="GN45" s="137">
        <f t="shared" ca="1" si="144"/>
        <v>3.8952356420210832E-2</v>
      </c>
      <c r="GO45" s="137">
        <f t="shared" ca="1" si="145"/>
        <v>0.13696327855207746</v>
      </c>
      <c r="GP45" s="137">
        <f t="shared" ca="1" si="226"/>
        <v>11.90140111922968</v>
      </c>
      <c r="GQ45" s="137">
        <f t="shared" ca="1" si="146"/>
        <v>4.2845044029226509E-2</v>
      </c>
      <c r="GR45" s="137">
        <f t="shared" ca="1" si="147"/>
        <v>0.15065064707885553</v>
      </c>
      <c r="GS45" s="140">
        <f t="shared" si="227"/>
        <v>0.12427069083691115</v>
      </c>
      <c r="GT45" s="140">
        <f t="shared" si="228"/>
        <v>8.2093719480555077E-2</v>
      </c>
      <c r="GU45" s="140">
        <f t="shared" si="148"/>
        <v>447.37448701288014</v>
      </c>
      <c r="GV45" s="140">
        <f t="shared" si="149"/>
        <v>295.5373901299983</v>
      </c>
      <c r="GW45" s="141">
        <f t="shared" ca="1" si="229"/>
        <v>8.194960970315213E-3</v>
      </c>
      <c r="GX45" s="141">
        <f t="shared" ca="1" si="230"/>
        <v>7.1663445332306548E-3</v>
      </c>
      <c r="GY45" s="141">
        <f t="shared" ca="1" si="150"/>
        <v>29.501859493134766</v>
      </c>
      <c r="GZ45" s="141">
        <f t="shared" ca="1" si="165"/>
        <v>25.798840319630358</v>
      </c>
      <c r="HA45" s="141">
        <f t="shared" ca="1" si="231"/>
        <v>1.6812249337910864E-2</v>
      </c>
      <c r="HB45" s="141">
        <f t="shared" ca="1" si="232"/>
        <v>2.1446196443895095E-2</v>
      </c>
      <c r="HC45" s="141">
        <f t="shared" ca="1" si="233"/>
        <v>60.524097616479111</v>
      </c>
      <c r="HD45" s="141">
        <f t="shared" ca="1" si="152"/>
        <v>77.206307198022344</v>
      </c>
      <c r="HE45" s="137">
        <f t="shared" si="153"/>
        <v>11.612146504163366</v>
      </c>
      <c r="HF45" s="250">
        <f t="shared" si="154"/>
        <v>10.757054719000548</v>
      </c>
      <c r="HG45" s="137">
        <v>2.9864304746699832</v>
      </c>
      <c r="HH45" s="251">
        <v>6.5258576712377492</v>
      </c>
      <c r="HI45" s="137">
        <f t="shared" ca="1" si="155"/>
        <v>1.4954059896405467</v>
      </c>
      <c r="HJ45" s="251">
        <f t="shared" ca="1" si="156"/>
        <v>2.0648971185589833</v>
      </c>
      <c r="HK45" s="137">
        <f t="shared" ca="1" si="157"/>
        <v>0.69292125004735683</v>
      </c>
      <c r="HL45" s="251">
        <f t="shared" ca="1" si="158"/>
        <v>1.3180187207715945</v>
      </c>
      <c r="HM45" s="137">
        <f t="shared" ca="1" si="159"/>
        <v>0.77899302224965772</v>
      </c>
      <c r="HN45" s="251">
        <f t="shared" ca="1" si="160"/>
        <v>1.4040904929738955</v>
      </c>
      <c r="HO45" s="137">
        <f t="shared" ca="1" si="161"/>
        <v>0.30202231916628675</v>
      </c>
      <c r="HP45" s="251">
        <f t="shared" ca="1" si="162"/>
        <v>0.82250265921687138</v>
      </c>
      <c r="JN45" s="143">
        <f t="shared" si="234"/>
        <v>19.272195892928892</v>
      </c>
      <c r="JO45" s="143">
        <f t="shared" si="235"/>
        <v>2986.4304746699831</v>
      </c>
      <c r="JP45" s="143">
        <f t="shared" si="236"/>
        <v>5058.8719272635408</v>
      </c>
      <c r="JQ45" s="143">
        <f t="shared" si="237"/>
        <v>0.90815656714969217</v>
      </c>
      <c r="JR45" s="143">
        <f t="shared" ca="1" si="238"/>
        <v>1.6369004158525404</v>
      </c>
      <c r="JS45" s="143">
        <f t="shared" si="239"/>
        <v>98.810340576171882</v>
      </c>
      <c r="JT45" s="143">
        <f t="shared" ca="1" si="240"/>
        <v>269.09192706807761</v>
      </c>
      <c r="JU45" s="143">
        <f t="shared" si="256"/>
        <v>0.21936224610197549</v>
      </c>
      <c r="JV45" s="143">
        <f t="shared" si="241"/>
        <v>0.37158926622237559</v>
      </c>
      <c r="JW45" s="143">
        <f t="shared" ca="1" si="242"/>
        <v>0.17923577769088048</v>
      </c>
      <c r="JX45" s="143">
        <f t="shared" ca="1" si="243"/>
        <v>0.32306226662951149</v>
      </c>
      <c r="JY45" s="143">
        <f t="shared" si="244"/>
        <v>0.72490627142560304</v>
      </c>
      <c r="JZ45" s="143">
        <f t="shared" si="245"/>
        <v>1.1419037899614259</v>
      </c>
      <c r="KA45" s="143">
        <f t="shared" si="246"/>
        <v>0.20694551519054291</v>
      </c>
      <c r="KB45" s="143">
        <f t="shared" si="247"/>
        <v>0.350555911530543</v>
      </c>
      <c r="KC45" s="143">
        <f t="shared" ca="1" si="248"/>
        <v>0.44791221967533401</v>
      </c>
      <c r="KD45" s="143">
        <f t="shared" ca="1" si="249"/>
        <v>0.6382975252982056</v>
      </c>
      <c r="KE45" s="143">
        <f t="shared" ca="1" si="250"/>
        <v>0.58579034850865774</v>
      </c>
      <c r="KF45" s="143">
        <f t="shared" ca="1" si="251"/>
        <v>0.38770863222121688</v>
      </c>
      <c r="KG45" s="142">
        <f t="shared" si="252"/>
        <v>0.13430752585926931</v>
      </c>
      <c r="KH45" s="142">
        <f t="shared" ca="1" si="253"/>
        <v>0.15065064707885553</v>
      </c>
      <c r="KI45" s="142">
        <f t="shared" ca="1" si="254"/>
        <v>537.40044412249404</v>
      </c>
      <c r="KJ45" s="142">
        <f t="shared" ca="1" si="255"/>
        <v>398.54253764765099</v>
      </c>
    </row>
    <row r="46" spans="1:296" x14ac:dyDescent="0.3">
      <c r="A46" s="194">
        <v>41340</v>
      </c>
      <c r="B46" s="196">
        <v>44</v>
      </c>
      <c r="C46" s="177">
        <v>24</v>
      </c>
      <c r="D46" s="166">
        <v>4.2</v>
      </c>
      <c r="E46" s="166">
        <v>50016</v>
      </c>
      <c r="F46" s="166">
        <v>300</v>
      </c>
      <c r="G46" s="166">
        <v>11.7</v>
      </c>
      <c r="H46" s="166">
        <v>0.85</v>
      </c>
      <c r="I46" s="166">
        <v>1.4</v>
      </c>
      <c r="J46" s="166">
        <v>1.33</v>
      </c>
      <c r="K46" s="166">
        <v>0.91</v>
      </c>
      <c r="L46" s="166">
        <v>32956.005728572607</v>
      </c>
      <c r="M46" s="169">
        <v>19</v>
      </c>
      <c r="N46" s="167">
        <v>72339.126389503479</v>
      </c>
      <c r="O46" s="176">
        <v>17</v>
      </c>
      <c r="P46" s="166">
        <v>2</v>
      </c>
      <c r="Q46" s="166">
        <v>5</v>
      </c>
      <c r="R46" s="168">
        <v>401.63363647460937</v>
      </c>
      <c r="S46" s="169">
        <v>83.015077913558343</v>
      </c>
      <c r="T46" s="166">
        <v>180</v>
      </c>
      <c r="U46" s="170">
        <v>3.2813684940338135</v>
      </c>
      <c r="V46" s="176">
        <v>17</v>
      </c>
      <c r="W46" s="166">
        <v>1250</v>
      </c>
      <c r="X46" s="169">
        <v>87506.173486113548</v>
      </c>
      <c r="Y46" s="169">
        <v>12120.437302224338</v>
      </c>
      <c r="Z46" s="169">
        <v>359.8118896484375</v>
      </c>
      <c r="AA46" s="169">
        <v>10.687004089355469</v>
      </c>
      <c r="AB46" s="169">
        <v>14.245854377746582</v>
      </c>
      <c r="AC46" s="212">
        <v>37</v>
      </c>
      <c r="AD46" s="212">
        <v>30.622695922851563</v>
      </c>
      <c r="AE46" s="254">
        <v>20</v>
      </c>
      <c r="AF46" s="254">
        <v>10</v>
      </c>
      <c r="AG46" s="217">
        <v>5000000</v>
      </c>
      <c r="AH46" s="218">
        <v>300000</v>
      </c>
      <c r="AI46" s="219">
        <v>5000000</v>
      </c>
      <c r="AJ46" s="225">
        <f t="shared" si="179"/>
        <v>300000</v>
      </c>
      <c r="AK46" s="220">
        <v>2750000</v>
      </c>
      <c r="AL46" s="226">
        <f t="shared" si="180"/>
        <v>300000</v>
      </c>
      <c r="AM46" s="221">
        <v>14.407</v>
      </c>
      <c r="BM46" s="197">
        <f t="shared" si="181"/>
        <v>6.3773040771484375</v>
      </c>
      <c r="BN46" s="196">
        <f t="shared" si="182"/>
        <v>180</v>
      </c>
      <c r="BO46" s="197">
        <f t="shared" si="183"/>
        <v>3.5588502883911133</v>
      </c>
      <c r="BP46" s="196">
        <f t="shared" si="173"/>
        <v>12.719066433686651</v>
      </c>
      <c r="BQ46" s="115">
        <f t="shared" si="184"/>
        <v>659.74492511188635</v>
      </c>
      <c r="BR46" s="184">
        <f t="shared" si="185"/>
        <v>1.0041987768</v>
      </c>
      <c r="BS46" s="115">
        <f t="shared" si="186"/>
        <v>6863.8528613899143</v>
      </c>
      <c r="BT46" s="196">
        <v>900</v>
      </c>
      <c r="BU46" s="115">
        <f t="shared" si="101"/>
        <v>1.1850729520000001</v>
      </c>
      <c r="BV46" s="115">
        <f t="shared" ref="BV46:BV82" si="269">0.991615+(0.0000699703*BW46)+(0.00000027129*BW46^2)-(0.000000000122442*BW46^3)</f>
        <v>1.0844541134001331</v>
      </c>
      <c r="BW46" s="115">
        <f t="shared" ref="BW46:BW82" si="270">BX46-BZ46</f>
        <v>521.24192545642211</v>
      </c>
      <c r="BX46" s="115">
        <f t="shared" si="187"/>
        <v>1253.9314778698385</v>
      </c>
      <c r="BY46" s="115"/>
      <c r="BZ46" s="115">
        <f t="shared" si="188"/>
        <v>732.68955241341644</v>
      </c>
      <c r="CA46" s="115">
        <f t="shared" si="189"/>
        <v>11904.076975709702</v>
      </c>
      <c r="CB46" s="115">
        <f t="shared" si="190"/>
        <v>3014.1302662293115</v>
      </c>
      <c r="CC46" s="115">
        <f t="shared" si="191"/>
        <v>1373.166905357192</v>
      </c>
      <c r="CD46" s="129">
        <f t="shared" ref="CD46:CD82" si="271">(0.0002778/1.406)*CC46</f>
        <v>0.27131277831310663</v>
      </c>
      <c r="CE46" s="115">
        <f t="shared" si="192"/>
        <v>21.1654052734375</v>
      </c>
      <c r="CF46" s="115">
        <f t="shared" si="193"/>
        <v>23.059743864877319</v>
      </c>
      <c r="CG46" s="115">
        <f t="shared" si="194"/>
        <v>0.02</v>
      </c>
      <c r="CH46" s="115">
        <f t="shared" si="195"/>
        <v>0.05</v>
      </c>
      <c r="CI46" s="136">
        <v>30</v>
      </c>
      <c r="CJ46" s="115">
        <f t="shared" si="257"/>
        <v>165</v>
      </c>
      <c r="CK46" s="115">
        <f t="shared" si="196"/>
        <v>453</v>
      </c>
      <c r="CL46" s="115">
        <f t="shared" si="197"/>
        <v>674.63363647460937</v>
      </c>
      <c r="CM46" s="115">
        <f t="shared" ca="1" si="198"/>
        <v>2816.5993052117487</v>
      </c>
      <c r="CN46" s="115">
        <f t="shared" ca="1" si="258"/>
        <v>125.80344444444444</v>
      </c>
      <c r="CO46" s="115">
        <f t="shared" ca="1" si="259"/>
        <v>690.58718083896258</v>
      </c>
      <c r="CP46" s="115">
        <f t="shared" ca="1" si="260"/>
        <v>2790.6388281929471</v>
      </c>
      <c r="CQ46" s="115">
        <f t="shared" ref="CQ46:CQ82" si="272">0.991615+(0.0000699703*CW46)+(0.00000027129*CW46^2)-(0.000000000122442*CW46^3)</f>
        <v>1.072449112508886</v>
      </c>
      <c r="CR46" s="115">
        <f t="shared" ca="1" si="199"/>
        <v>540.53520457640388</v>
      </c>
      <c r="CS46" s="115">
        <f t="shared" ca="1" si="200"/>
        <v>26.687624254244017</v>
      </c>
      <c r="CT46" s="115">
        <f t="shared" ref="CT46:CT82" si="273">0.991615+(0.0000699703*CL46)+(0.00000027129*CL46^2)-(0.000000000122442*CL46^3)</f>
        <v>1.1246963109930865</v>
      </c>
      <c r="CU46" s="115">
        <f t="shared" ref="CU46:CU82" ca="1" si="274">0.991615+(0.0000699703*CZ46)+(0.00000027129*CZ46^2)-(0.000000000122442*CZ46^3)</f>
        <v>1.0202758482393173</v>
      </c>
      <c r="CV46" s="115">
        <f t="shared" si="108"/>
        <v>259.68955241341644</v>
      </c>
      <c r="CW46" s="115">
        <f t="shared" si="261"/>
        <v>473</v>
      </c>
      <c r="CX46" s="115">
        <f t="shared" si="262"/>
        <v>438</v>
      </c>
      <c r="CY46" s="115">
        <f t="shared" ref="CY46:CY82" ca="1" si="275">CW46-CS46</f>
        <v>446.31237574575596</v>
      </c>
      <c r="CZ46" s="115">
        <f t="shared" ca="1" si="263"/>
        <v>228.32126072885342</v>
      </c>
      <c r="DA46" s="115">
        <v>0.21890000000000001</v>
      </c>
      <c r="DB46" s="115">
        <v>2.7E-2</v>
      </c>
      <c r="DC46" s="115">
        <v>1.06</v>
      </c>
      <c r="DD46" s="138">
        <f t="shared" si="201"/>
        <v>14.384178715314842</v>
      </c>
      <c r="DE46" s="138">
        <f t="shared" ref="DE46:DE82" si="276">DD46</f>
        <v>14.384178715314842</v>
      </c>
      <c r="DF46" s="115">
        <f t="shared" si="264"/>
        <v>674.63363647460937</v>
      </c>
      <c r="DG46" s="115">
        <v>732.68955241341644</v>
      </c>
      <c r="DH46" s="115">
        <f t="shared" ref="DH46:DH82" si="277">0.991615+(0.0000699703*DF46)+(0.00000027129*DF46^2)-(0.000000000122442*DF46^3)</f>
        <v>1.1246963109930865</v>
      </c>
      <c r="DI46" s="115">
        <f t="shared" si="112"/>
        <v>1.1403587621117288</v>
      </c>
      <c r="DJ46" s="138">
        <f t="shared" si="202"/>
        <v>2.883176790384951</v>
      </c>
      <c r="DK46" s="138">
        <f t="shared" si="203"/>
        <v>3.6582769906776615</v>
      </c>
      <c r="DL46" s="115">
        <f t="shared" ref="DL46:DL82" si="278">DF46</f>
        <v>674.63363647460937</v>
      </c>
      <c r="DM46" s="115">
        <f t="shared" si="167"/>
        <v>732.68955241341644</v>
      </c>
      <c r="DN46" s="115">
        <f t="shared" si="174"/>
        <v>12.834694310356529</v>
      </c>
      <c r="DO46" s="115">
        <f t="shared" si="114"/>
        <v>1.1246963109930865</v>
      </c>
      <c r="DP46" s="115">
        <f t="shared" si="115"/>
        <v>1.1403587621117288</v>
      </c>
      <c r="DQ46" s="115">
        <v>298.14999999999998</v>
      </c>
      <c r="DR46" s="138">
        <f t="shared" si="116"/>
        <v>1.9201957423963776</v>
      </c>
      <c r="DS46" s="138">
        <f t="shared" si="117"/>
        <v>2.436412475791323</v>
      </c>
      <c r="DT46" s="115">
        <f t="shared" si="35"/>
        <v>674.63363647460937</v>
      </c>
      <c r="DU46" s="139">
        <f t="shared" si="118"/>
        <v>6.4366184679565777</v>
      </c>
      <c r="DV46" s="115">
        <f t="shared" ref="DV46:DV82" si="279">0.991615+(0.0000699703*DT46)+(0.00000027129*DT46^2)-(0.000000000122442*DT46^3)</f>
        <v>1.1246963109930865</v>
      </c>
      <c r="DW46" s="115">
        <v>298.14999999999998</v>
      </c>
      <c r="DX46" s="138">
        <f t="shared" si="204"/>
        <v>0.96298104798857354</v>
      </c>
      <c r="DY46" s="138">
        <f t="shared" si="205"/>
        <v>1.2218645148863392</v>
      </c>
      <c r="DZ46" s="138">
        <f t="shared" si="38"/>
        <v>3.0141302662293117</v>
      </c>
      <c r="EA46" s="138">
        <f t="shared" ref="EA46:EA82" si="280">JP46*0.001</f>
        <v>5.0402241143197877</v>
      </c>
      <c r="EB46" s="115">
        <f t="shared" si="120"/>
        <v>23.059743864877319</v>
      </c>
      <c r="EC46" s="115">
        <v>30</v>
      </c>
      <c r="ED46" s="198">
        <f t="shared" ca="1" si="265"/>
        <v>125.80344444444444</v>
      </c>
      <c r="EE46" s="198">
        <v>104.83</v>
      </c>
      <c r="EF46" s="198">
        <f t="shared" ca="1" si="169"/>
        <v>0.42491111111111107</v>
      </c>
      <c r="EG46" s="199">
        <v>0.36720000000000003</v>
      </c>
      <c r="EH46" s="138">
        <f t="shared" ca="1" si="121"/>
        <v>8.6863211103916552E-2</v>
      </c>
      <c r="EI46" s="138">
        <f t="shared" ref="EI46:EI82" ca="1" si="281">EH46</f>
        <v>8.6863211103916552E-2</v>
      </c>
      <c r="EJ46" s="115">
        <f t="shared" si="170"/>
        <v>12.834694310356529</v>
      </c>
      <c r="EK46" s="115">
        <v>435</v>
      </c>
      <c r="EL46" s="115">
        <f t="shared" ca="1" si="171"/>
        <v>446.31237574575596</v>
      </c>
      <c r="EM46" s="115">
        <f t="shared" ca="1" si="123"/>
        <v>1.0625014602948764</v>
      </c>
      <c r="EN46" s="115">
        <f t="shared" ca="1" si="124"/>
        <v>1.0659976805007509</v>
      </c>
      <c r="EO46" s="115">
        <v>298.14999999999998</v>
      </c>
      <c r="EP46" s="138">
        <f t="shared" ca="1" si="125"/>
        <v>0.33034038316886405</v>
      </c>
      <c r="EQ46" s="138">
        <f t="shared" ca="1" si="126"/>
        <v>0.38147455968564509</v>
      </c>
      <c r="ER46" s="115">
        <f t="shared" ref="ER46:ER82" si="282">JQ46</f>
        <v>0.91149124834272599</v>
      </c>
      <c r="ES46" s="115">
        <f t="shared" si="172"/>
        <v>453</v>
      </c>
      <c r="ET46" s="115">
        <f t="shared" ca="1" si="206"/>
        <v>2816.5993052117487</v>
      </c>
      <c r="EU46" s="115">
        <f t="shared" ca="1" si="207"/>
        <v>6.5855309782608691</v>
      </c>
      <c r="EV46" s="138">
        <f t="shared" ca="1" si="175"/>
        <v>0.78185342482203968</v>
      </c>
      <c r="EW46" s="138">
        <f t="shared" ca="1" si="208"/>
        <v>1.3997209618032906</v>
      </c>
      <c r="EX46" s="115">
        <v>21.47</v>
      </c>
      <c r="EY46" s="115">
        <f t="shared" ca="1" si="209"/>
        <v>128.24382940334743</v>
      </c>
      <c r="EZ46" s="115">
        <f t="shared" ca="1" si="210"/>
        <v>0.43359425981309679</v>
      </c>
      <c r="FA46" s="138">
        <f t="shared" ca="1" si="127"/>
        <v>7.7686636636359482E-2</v>
      </c>
      <c r="FB46" s="138">
        <f t="shared" ref="FB46:FB82" ca="1" si="283">FA46</f>
        <v>7.7686636636359482E-2</v>
      </c>
      <c r="FC46" s="115">
        <f t="shared" si="266"/>
        <v>21.47</v>
      </c>
      <c r="FD46" s="115">
        <v>37</v>
      </c>
      <c r="FE46" s="115">
        <f t="shared" ca="1" si="267"/>
        <v>154.93355555555553</v>
      </c>
      <c r="FF46" s="115">
        <f t="shared" ca="1" si="268"/>
        <v>0.52252222222222222</v>
      </c>
      <c r="FG46" s="138">
        <f t="shared" ca="1" si="176"/>
        <v>8.1462225449999703E-2</v>
      </c>
      <c r="FH46" s="138">
        <f t="shared" ca="1" si="129"/>
        <v>8.1462225449999703E-2</v>
      </c>
      <c r="FI46" s="115">
        <f t="shared" ref="FI46:FI82" si="284">JS46</f>
        <v>100.74732910156251</v>
      </c>
      <c r="FJ46" s="115">
        <f t="shared" ca="1" si="211"/>
        <v>44.810744003295909</v>
      </c>
      <c r="FK46" s="115">
        <f t="shared" ca="1" si="212"/>
        <v>0.1556021125793457</v>
      </c>
      <c r="FL46" s="138">
        <f t="shared" ca="1" si="177"/>
        <v>0.30915870831618053</v>
      </c>
      <c r="FM46" s="138">
        <f t="shared" ca="1" si="213"/>
        <v>0.82888411761573844</v>
      </c>
      <c r="FN46" s="115">
        <f t="shared" ref="FN46:FN82" si="285">FI46</f>
        <v>100.74732910156251</v>
      </c>
      <c r="FO46" s="115">
        <f t="shared" ca="1" si="214"/>
        <v>59.704927888022532</v>
      </c>
      <c r="FP46" s="115">
        <f t="shared" ca="1" si="215"/>
        <v>0.20522830271191067</v>
      </c>
      <c r="FQ46" s="138">
        <f t="shared" ca="1" si="178"/>
        <v>0.31904557734953476</v>
      </c>
      <c r="FR46" s="138">
        <f t="shared" ca="1" si="216"/>
        <v>0.85539176075905565</v>
      </c>
      <c r="FS46" s="139">
        <f t="shared" si="217"/>
        <v>8.4868716587005792</v>
      </c>
      <c r="FT46" s="249">
        <f t="shared" si="132"/>
        <v>5.6856776103173932</v>
      </c>
      <c r="FU46" s="139">
        <f t="shared" ca="1" si="218"/>
        <v>0.89486514550939034</v>
      </c>
      <c r="FV46" s="249">
        <f t="shared" ca="1" si="134"/>
        <v>0.74208016540630406</v>
      </c>
      <c r="FW46" s="139">
        <f t="shared" ref="FW46:FW82" ca="1" si="286">(EV46+FA46+FQ46)-(FG46+FL46)</f>
        <v>0.78796470504175364</v>
      </c>
      <c r="FX46" s="249">
        <f t="shared" ca="1" si="136"/>
        <v>1.4224530161329678</v>
      </c>
      <c r="FY46" s="249">
        <f t="shared" si="219"/>
        <v>0.15000000000000002</v>
      </c>
      <c r="FZ46" s="139">
        <f t="shared" si="220"/>
        <v>1050000</v>
      </c>
      <c r="GA46" s="139">
        <f t="shared" si="137"/>
        <v>3.3757716049382713E-2</v>
      </c>
      <c r="GB46" s="139">
        <f t="shared" si="138"/>
        <v>121.52777777777777</v>
      </c>
      <c r="GC46" s="139">
        <f t="shared" si="221"/>
        <v>1050000</v>
      </c>
      <c r="GD46" s="139">
        <f t="shared" si="139"/>
        <v>6.7515432098765427E-2</v>
      </c>
      <c r="GE46" s="139">
        <f t="shared" si="140"/>
        <v>243.05555555555554</v>
      </c>
      <c r="GF46" s="139">
        <f t="shared" si="141"/>
        <v>4.5814043209876545E-2</v>
      </c>
      <c r="GG46" s="139">
        <f t="shared" si="222"/>
        <v>712500</v>
      </c>
      <c r="GH46" s="139">
        <f t="shared" si="142"/>
        <v>164.93055555555554</v>
      </c>
      <c r="GI46" s="137">
        <f t="shared" si="223"/>
        <v>66.172538399066497</v>
      </c>
      <c r="GJ46" s="137">
        <f t="shared" si="143"/>
        <v>0.23822113823663749</v>
      </c>
      <c r="GK46" s="251">
        <f t="shared" si="224"/>
        <v>37.3566289763369</v>
      </c>
      <c r="GL46" s="137">
        <f t="shared" si="164"/>
        <v>0.13448386431481177</v>
      </c>
      <c r="GM46" s="137">
        <f t="shared" ca="1" si="225"/>
        <v>10.837443643432275</v>
      </c>
      <c r="GN46" s="137">
        <f t="shared" ca="1" si="144"/>
        <v>3.901479711635588E-2</v>
      </c>
      <c r="GO46" s="137">
        <f t="shared" ca="1" si="145"/>
        <v>0.13718283092952138</v>
      </c>
      <c r="GP46" s="137">
        <f t="shared" ca="1" si="226"/>
        <v>11.873539095524213</v>
      </c>
      <c r="GQ46" s="137">
        <f t="shared" ca="1" si="146"/>
        <v>4.274474074388683E-2</v>
      </c>
      <c r="GR46" s="137">
        <f t="shared" ca="1" si="147"/>
        <v>0.15029796323448252</v>
      </c>
      <c r="GS46" s="140">
        <f t="shared" si="227"/>
        <v>0.12227035998689927</v>
      </c>
      <c r="GT46" s="140">
        <f t="shared" si="228"/>
        <v>8.1913557331842676E-2</v>
      </c>
      <c r="GU46" s="140">
        <f t="shared" ref="GU46:GU82" si="287">GS46*3600</f>
        <v>440.17329595283735</v>
      </c>
      <c r="GV46" s="140">
        <f t="shared" si="149"/>
        <v>294.88880639463366</v>
      </c>
      <c r="GW46" s="141">
        <f t="shared" ca="1" si="229"/>
        <v>8.5862865528016207E-3</v>
      </c>
      <c r="GX46" s="141">
        <f t="shared" ca="1" si="230"/>
        <v>7.1203051960437424E-3</v>
      </c>
      <c r="GY46" s="141">
        <f t="shared" ca="1" si="150"/>
        <v>30.910631590085835</v>
      </c>
      <c r="GZ46" s="141">
        <f t="shared" ca="1" si="165"/>
        <v>25.633098705757472</v>
      </c>
      <c r="HA46" s="141">
        <f t="shared" ca="1" si="231"/>
        <v>1.7295514112194529E-2</v>
      </c>
      <c r="HB46" s="141">
        <f t="shared" ca="1" si="232"/>
        <v>2.1363221768506066E-2</v>
      </c>
      <c r="HC46" s="141">
        <f t="shared" ca="1" si="233"/>
        <v>62.263850803900304</v>
      </c>
      <c r="HD46" s="141">
        <f t="shared" ca="1" si="152"/>
        <v>76.907598366621841</v>
      </c>
      <c r="HE46" s="137">
        <f t="shared" si="153"/>
        <v>11.501001924929891</v>
      </c>
      <c r="HF46" s="250">
        <f t="shared" si="154"/>
        <v>10.725901724637181</v>
      </c>
      <c r="HG46" s="137">
        <v>3.0141302662293117</v>
      </c>
      <c r="HH46" s="251">
        <v>6.366099985923424</v>
      </c>
      <c r="HI46" s="137">
        <f t="shared" ca="1" si="155"/>
        <v>1.5387211827107325</v>
      </c>
      <c r="HJ46" s="251">
        <f t="shared" ca="1" si="156"/>
        <v>2.0549379161056778</v>
      </c>
      <c r="HK46" s="137">
        <f t="shared" ca="1" si="157"/>
        <v>0.69499021371812308</v>
      </c>
      <c r="HL46" s="251">
        <f t="shared" ca="1" si="158"/>
        <v>1.3128577506993742</v>
      </c>
      <c r="HM46" s="137">
        <f t="shared" ca="1" si="159"/>
        <v>0.78185342482203968</v>
      </c>
      <c r="HN46" s="251">
        <f t="shared" ca="1" si="160"/>
        <v>1.3997209618032906</v>
      </c>
      <c r="HO46" s="137">
        <f t="shared" ca="1" si="161"/>
        <v>0.30915870831618053</v>
      </c>
      <c r="HP46" s="251">
        <f t="shared" ca="1" si="162"/>
        <v>0.82888411761573844</v>
      </c>
      <c r="JN46" s="143">
        <f t="shared" si="234"/>
        <v>19.271312778313106</v>
      </c>
      <c r="JO46" s="143">
        <f t="shared" si="235"/>
        <v>3014.1302662293115</v>
      </c>
      <c r="JP46" s="143">
        <f t="shared" si="236"/>
        <v>5040.224114319788</v>
      </c>
      <c r="JQ46" s="143">
        <f t="shared" si="237"/>
        <v>0.91149124834272599</v>
      </c>
      <c r="JR46" s="143">
        <f t="shared" ca="1" si="238"/>
        <v>1.6318063799438616</v>
      </c>
      <c r="JS46" s="143">
        <f t="shared" si="239"/>
        <v>100.74732910156251</v>
      </c>
      <c r="JT46" s="143">
        <f t="shared" ca="1" si="240"/>
        <v>270.11324196336886</v>
      </c>
      <c r="JU46" s="143">
        <f t="shared" si="256"/>
        <v>0.22211751852063516</v>
      </c>
      <c r="JV46" s="143">
        <f t="shared" si="241"/>
        <v>0.37142458161275949</v>
      </c>
      <c r="JW46" s="143">
        <f t="shared" ca="1" si="242"/>
        <v>0.18047840279090185</v>
      </c>
      <c r="JX46" s="143">
        <f t="shared" ca="1" si="243"/>
        <v>0.32310327680242934</v>
      </c>
      <c r="JY46" s="143">
        <f t="shared" si="244"/>
        <v>0.72177963020509839</v>
      </c>
      <c r="JZ46" s="143">
        <f t="shared" si="245"/>
        <v>1.2179593410027489</v>
      </c>
      <c r="KA46" s="143">
        <f t="shared" si="246"/>
        <v>0.20954482879305203</v>
      </c>
      <c r="KB46" s="143">
        <f t="shared" si="247"/>
        <v>0.35040054869128251</v>
      </c>
      <c r="KC46" s="143">
        <f t="shared" ca="1" si="248"/>
        <v>0.43714052959874805</v>
      </c>
      <c r="KD46" s="143">
        <f t="shared" ca="1" si="249"/>
        <v>0.63887952059757447</v>
      </c>
      <c r="KE46" s="143">
        <f t="shared" ca="1" si="250"/>
        <v>0.5921781128060476</v>
      </c>
      <c r="KF46" s="143">
        <f t="shared" ca="1" si="251"/>
        <v>0.39541773240495709</v>
      </c>
      <c r="KG46" s="142">
        <f t="shared" si="252"/>
        <v>0.13448386431481177</v>
      </c>
      <c r="KH46" s="142">
        <f t="shared" ca="1" si="253"/>
        <v>0.15029796323448252</v>
      </c>
      <c r="KI46" s="142">
        <f t="shared" ca="1" si="254"/>
        <v>533.34777834682347</v>
      </c>
      <c r="KJ46" s="142">
        <f t="shared" ca="1" si="255"/>
        <v>397.42950346701298</v>
      </c>
    </row>
    <row r="47" spans="1:296" x14ac:dyDescent="0.3">
      <c r="A47" s="194">
        <v>41341</v>
      </c>
      <c r="B47" s="196">
        <v>45</v>
      </c>
      <c r="C47" s="177">
        <v>24</v>
      </c>
      <c r="D47" s="166">
        <v>4.2</v>
      </c>
      <c r="E47" s="166">
        <v>50016</v>
      </c>
      <c r="F47" s="166">
        <v>300</v>
      </c>
      <c r="G47" s="166">
        <v>11.7</v>
      </c>
      <c r="H47" s="166">
        <v>0.85</v>
      </c>
      <c r="I47" s="166">
        <v>1.4</v>
      </c>
      <c r="J47" s="166">
        <v>1.33</v>
      </c>
      <c r="K47" s="166">
        <v>0.91</v>
      </c>
      <c r="L47" s="166">
        <v>32258.53175740689</v>
      </c>
      <c r="M47" s="169">
        <v>19</v>
      </c>
      <c r="N47" s="167">
        <v>69409.60750066489</v>
      </c>
      <c r="O47" s="176">
        <v>17</v>
      </c>
      <c r="P47" s="166">
        <v>2</v>
      </c>
      <c r="Q47" s="166">
        <v>5</v>
      </c>
      <c r="R47" s="168">
        <v>406.06292724609375</v>
      </c>
      <c r="S47" s="169">
        <v>95.200852073496208</v>
      </c>
      <c r="T47" s="166">
        <v>180</v>
      </c>
      <c r="U47" s="170">
        <v>3.8559529781341553</v>
      </c>
      <c r="V47" s="176">
        <v>17</v>
      </c>
      <c r="W47" s="166">
        <v>1250</v>
      </c>
      <c r="X47" s="169">
        <v>89160.152910664678</v>
      </c>
      <c r="Y47" s="169">
        <v>12574.731773061678</v>
      </c>
      <c r="Z47" s="169">
        <v>373.8387451171875</v>
      </c>
      <c r="AA47" s="169">
        <v>10.505739212036133</v>
      </c>
      <c r="AB47" s="169">
        <v>14.613129615783691</v>
      </c>
      <c r="AC47" s="212">
        <v>37</v>
      </c>
      <c r="AD47" s="212">
        <v>30.584844589233398</v>
      </c>
      <c r="AE47" s="254">
        <v>20</v>
      </c>
      <c r="AF47" s="254">
        <v>10</v>
      </c>
      <c r="AG47" s="217">
        <v>5000000</v>
      </c>
      <c r="AH47" s="218">
        <v>300000</v>
      </c>
      <c r="AI47" s="219">
        <v>5000000</v>
      </c>
      <c r="AJ47" s="225">
        <f t="shared" si="179"/>
        <v>300000</v>
      </c>
      <c r="AK47" s="220">
        <v>2750000</v>
      </c>
      <c r="AL47" s="226">
        <f t="shared" si="180"/>
        <v>300000</v>
      </c>
      <c r="AM47" s="221">
        <v>14.407</v>
      </c>
      <c r="BK47" s="283"/>
      <c r="BM47" s="197">
        <f t="shared" si="181"/>
        <v>6.4151554107666016</v>
      </c>
      <c r="BN47" s="196">
        <f t="shared" si="182"/>
        <v>180</v>
      </c>
      <c r="BO47" s="197">
        <f t="shared" si="183"/>
        <v>4.1073904037475586</v>
      </c>
      <c r="BP47" s="196">
        <f t="shared" si="173"/>
        <v>12.71527670936039</v>
      </c>
      <c r="BQ47" s="115">
        <f t="shared" si="184"/>
        <v>659.74492511188635</v>
      </c>
      <c r="BR47" s="184">
        <f t="shared" si="185"/>
        <v>1.0041987768</v>
      </c>
      <c r="BS47" s="115">
        <f t="shared" si="186"/>
        <v>6863.8528613899143</v>
      </c>
      <c r="BT47" s="196">
        <v>900</v>
      </c>
      <c r="BU47" s="115">
        <f t="shared" ref="BU47:BU82" si="288">0.991615+(0.0000699703*BT47)+(0.00000027129*BT47^2)-(0.000000000122442*BT47^3)</f>
        <v>1.1850729520000001</v>
      </c>
      <c r="BV47" s="115">
        <f t="shared" si="269"/>
        <v>1.083152035338516</v>
      </c>
      <c r="BW47" s="115">
        <f t="shared" si="270"/>
        <v>516.08663059011326</v>
      </c>
      <c r="BX47" s="115">
        <f t="shared" si="187"/>
        <v>1241.5295850157577</v>
      </c>
      <c r="BY47" s="115"/>
      <c r="BZ47" s="115">
        <f t="shared" si="188"/>
        <v>725.44295442564442</v>
      </c>
      <c r="CA47" s="115">
        <f t="shared" si="189"/>
        <v>11782.828994706737</v>
      </c>
      <c r="CB47" s="115">
        <f t="shared" si="190"/>
        <v>2892.0669791943706</v>
      </c>
      <c r="CC47" s="115">
        <f t="shared" si="191"/>
        <v>1344.1054898919538</v>
      </c>
      <c r="CD47" s="129">
        <f t="shared" si="271"/>
        <v>0.2655707717581684</v>
      </c>
      <c r="CE47" s="115">
        <f t="shared" si="192"/>
        <v>21.990514418658087</v>
      </c>
      <c r="CF47" s="115">
        <f t="shared" si="193"/>
        <v>26.444681131526725</v>
      </c>
      <c r="CG47" s="115">
        <f t="shared" si="194"/>
        <v>0.02</v>
      </c>
      <c r="CH47" s="115">
        <f t="shared" si="195"/>
        <v>0.05</v>
      </c>
      <c r="CI47" s="136">
        <v>30</v>
      </c>
      <c r="CJ47" s="115">
        <f t="shared" si="257"/>
        <v>165</v>
      </c>
      <c r="CK47" s="115">
        <f t="shared" si="196"/>
        <v>453</v>
      </c>
      <c r="CL47" s="115">
        <f t="shared" si="197"/>
        <v>679.06292724609375</v>
      </c>
      <c r="CM47" s="115">
        <f t="shared" ca="1" si="198"/>
        <v>2816.5993052117487</v>
      </c>
      <c r="CN47" s="115">
        <f t="shared" ca="1" si="258"/>
        <v>125.80344444444444</v>
      </c>
      <c r="CO47" s="115">
        <f t="shared" ca="1" si="259"/>
        <v>690.58718083896258</v>
      </c>
      <c r="CP47" s="115">
        <f t="shared" ca="1" si="260"/>
        <v>2790.6388281929471</v>
      </c>
      <c r="CQ47" s="115">
        <f t="shared" si="272"/>
        <v>1.072449112508886</v>
      </c>
      <c r="CR47" s="115">
        <f t="shared" ca="1" si="199"/>
        <v>635.18569635271876</v>
      </c>
      <c r="CS47" s="115">
        <f t="shared" ca="1" si="200"/>
        <v>31.370111309547035</v>
      </c>
      <c r="CT47" s="115">
        <f t="shared" si="273"/>
        <v>1.1258874949185274</v>
      </c>
      <c r="CU47" s="115">
        <f t="shared" ca="1" si="274"/>
        <v>1.0218831795561827</v>
      </c>
      <c r="CV47" s="115">
        <f t="shared" si="108"/>
        <v>252.44295442564442</v>
      </c>
      <c r="CW47" s="115">
        <f t="shared" si="261"/>
        <v>473</v>
      </c>
      <c r="CX47" s="115">
        <f t="shared" si="262"/>
        <v>438</v>
      </c>
      <c r="CY47" s="115">
        <f t="shared" ca="1" si="275"/>
        <v>441.62988869045296</v>
      </c>
      <c r="CZ47" s="115">
        <f t="shared" ca="1" si="263"/>
        <v>237.43303855564079</v>
      </c>
      <c r="DA47" s="115">
        <v>0.21890000000000001</v>
      </c>
      <c r="DB47" s="115">
        <v>2.7E-2</v>
      </c>
      <c r="DC47" s="115">
        <v>1.06</v>
      </c>
      <c r="DD47" s="138">
        <f t="shared" si="201"/>
        <v>14.079754983471943</v>
      </c>
      <c r="DE47" s="138">
        <f t="shared" si="276"/>
        <v>14.079754983471943</v>
      </c>
      <c r="DF47" s="115">
        <f t="shared" si="264"/>
        <v>679.06292724609375</v>
      </c>
      <c r="DG47" s="115">
        <v>725.44295442564442</v>
      </c>
      <c r="DH47" s="115">
        <f t="shared" si="277"/>
        <v>1.1258874949185274</v>
      </c>
      <c r="DI47" s="115">
        <f t="shared" si="112"/>
        <v>1.1384000220443697</v>
      </c>
      <c r="DJ47" s="138">
        <f t="shared" si="202"/>
        <v>2.9391245707569169</v>
      </c>
      <c r="DK47" s="138">
        <f t="shared" si="203"/>
        <v>3.5569687135475294</v>
      </c>
      <c r="DL47" s="115">
        <f t="shared" si="278"/>
        <v>679.06292724609375</v>
      </c>
      <c r="DM47" s="115">
        <f t="shared" si="167"/>
        <v>725.44295442564442</v>
      </c>
      <c r="DN47" s="115">
        <f t="shared" si="174"/>
        <v>12.83087013399094</v>
      </c>
      <c r="DO47" s="115">
        <f t="shared" si="114"/>
        <v>1.1258874949185274</v>
      </c>
      <c r="DP47" s="115">
        <f t="shared" si="115"/>
        <v>1.1384000220443697</v>
      </c>
      <c r="DQ47" s="115">
        <v>298.14999999999998</v>
      </c>
      <c r="DR47" s="138">
        <f t="shared" si="116"/>
        <v>1.9574569641241069</v>
      </c>
      <c r="DS47" s="138">
        <f t="shared" si="117"/>
        <v>2.3689411632226545</v>
      </c>
      <c r="DT47" s="115">
        <f t="shared" si="35"/>
        <v>679.06292724609375</v>
      </c>
      <c r="DU47" s="139">
        <f t="shared" si="118"/>
        <v>6.4347006377672269</v>
      </c>
      <c r="DV47" s="115">
        <f t="shared" si="279"/>
        <v>1.1258874949185274</v>
      </c>
      <c r="DW47" s="115">
        <v>298.14999999999998</v>
      </c>
      <c r="DX47" s="138">
        <f t="shared" si="204"/>
        <v>0.98166760663281016</v>
      </c>
      <c r="DY47" s="138">
        <f t="shared" si="205"/>
        <v>1.1880275503248743</v>
      </c>
      <c r="DZ47" s="138">
        <f t="shared" si="38"/>
        <v>2.8920669791943707</v>
      </c>
      <c r="EA47" s="138">
        <f t="shared" si="280"/>
        <v>4.9189761333168223</v>
      </c>
      <c r="EB47" s="115">
        <f t="shared" si="120"/>
        <v>26.444681131526725</v>
      </c>
      <c r="EC47" s="115">
        <v>30</v>
      </c>
      <c r="ED47" s="198">
        <f t="shared" ca="1" si="265"/>
        <v>125.80344444444444</v>
      </c>
      <c r="EE47" s="198">
        <v>104.83</v>
      </c>
      <c r="EF47" s="198">
        <f t="shared" ca="1" si="169"/>
        <v>0.42491111111111107</v>
      </c>
      <c r="EG47" s="199">
        <v>0.36720000000000003</v>
      </c>
      <c r="EH47" s="138">
        <f t="shared" ca="1" si="121"/>
        <v>9.9613852311788709E-2</v>
      </c>
      <c r="EI47" s="138">
        <f t="shared" ca="1" si="281"/>
        <v>9.9613852311788709E-2</v>
      </c>
      <c r="EJ47" s="115">
        <f t="shared" si="170"/>
        <v>12.83087013399094</v>
      </c>
      <c r="EK47" s="115">
        <v>435</v>
      </c>
      <c r="EL47" s="115">
        <f t="shared" ca="1" si="171"/>
        <v>441.62988869045296</v>
      </c>
      <c r="EM47" s="115">
        <f t="shared" ca="1" si="123"/>
        <v>1.0628404931177056</v>
      </c>
      <c r="EN47" s="115">
        <f t="shared" ca="1" si="124"/>
        <v>1.0648811146627979</v>
      </c>
      <c r="EO47" s="115">
        <v>298.14999999999998</v>
      </c>
      <c r="EP47" s="138">
        <f t="shared" ca="1" si="125"/>
        <v>0.33034733288041002</v>
      </c>
      <c r="EQ47" s="138">
        <f t="shared" ca="1" si="126"/>
        <v>0.35994828751795455</v>
      </c>
      <c r="ER47" s="115">
        <f t="shared" si="282"/>
        <v>1.0710980494817099</v>
      </c>
      <c r="ES47" s="115">
        <f t="shared" si="172"/>
        <v>453</v>
      </c>
      <c r="ET47" s="115">
        <f t="shared" ca="1" si="206"/>
        <v>2816.5993052117487</v>
      </c>
      <c r="EU47" s="115">
        <f t="shared" ca="1" si="207"/>
        <v>6.5855309782608691</v>
      </c>
      <c r="EV47" s="138">
        <f t="shared" ca="1" si="175"/>
        <v>0.9187599769390199</v>
      </c>
      <c r="EW47" s="138">
        <f t="shared" ca="1" si="208"/>
        <v>1.3616972103456235</v>
      </c>
      <c r="EX47" s="115">
        <v>21.47</v>
      </c>
      <c r="EY47" s="115">
        <f t="shared" ca="1" si="209"/>
        <v>128.08541736645168</v>
      </c>
      <c r="EZ47" s="115">
        <f t="shared" ca="1" si="210"/>
        <v>0.43306644399431016</v>
      </c>
      <c r="FA47" s="138">
        <f t="shared" ca="1" si="127"/>
        <v>7.7664227312598047E-2</v>
      </c>
      <c r="FB47" s="138">
        <f t="shared" ca="1" si="283"/>
        <v>7.7664227312598047E-2</v>
      </c>
      <c r="FC47" s="115">
        <f t="shared" si="266"/>
        <v>21.47</v>
      </c>
      <c r="FD47" s="115">
        <v>37</v>
      </c>
      <c r="FE47" s="115">
        <f t="shared" ca="1" si="267"/>
        <v>154.93355555555553</v>
      </c>
      <c r="FF47" s="115">
        <f t="shared" ca="1" si="268"/>
        <v>0.52252222222222222</v>
      </c>
      <c r="FG47" s="138">
        <f t="shared" ca="1" si="176"/>
        <v>8.1462225449999703E-2</v>
      </c>
      <c r="FH47" s="138">
        <f t="shared" ca="1" si="129"/>
        <v>8.1462225449999703E-2</v>
      </c>
      <c r="FI47" s="115">
        <f t="shared" si="284"/>
        <v>104.67484863281251</v>
      </c>
      <c r="FJ47" s="115">
        <f t="shared" ca="1" si="211"/>
        <v>44.052130351172558</v>
      </c>
      <c r="FK47" s="115">
        <f t="shared" ca="1" si="212"/>
        <v>0.15307447456783718</v>
      </c>
      <c r="FL47" s="138">
        <f t="shared" ca="1" si="177"/>
        <v>0.32068770281249387</v>
      </c>
      <c r="FM47" s="138">
        <f t="shared" ca="1" si="213"/>
        <v>0.69415877972743134</v>
      </c>
      <c r="FN47" s="115">
        <f t="shared" si="285"/>
        <v>104.67484863281251</v>
      </c>
      <c r="FO47" s="115">
        <f t="shared" ca="1" si="214"/>
        <v>61.24201556756762</v>
      </c>
      <c r="FP47" s="115">
        <f t="shared" ca="1" si="215"/>
        <v>0.21034975186453925</v>
      </c>
      <c r="FQ47" s="138">
        <f t="shared" ca="1" si="178"/>
        <v>0.33254331123932718</v>
      </c>
      <c r="FR47" s="138">
        <f t="shared" ca="1" si="216"/>
        <v>0.71982136237815675</v>
      </c>
      <c r="FS47" s="139">
        <f t="shared" si="217"/>
        <v>8.2485634335206548</v>
      </c>
      <c r="FT47" s="249">
        <f t="shared" si="132"/>
        <v>5.6038101366075912</v>
      </c>
      <c r="FU47" s="139">
        <f t="shared" ca="1" si="218"/>
        <v>0.80796350661646588</v>
      </c>
      <c r="FV47" s="249">
        <f t="shared" ca="1" si="134"/>
        <v>0.74690951767086533</v>
      </c>
      <c r="FW47" s="139">
        <f t="shared" ca="1" si="286"/>
        <v>0.92681758722845142</v>
      </c>
      <c r="FX47" s="249">
        <f t="shared" ca="1" si="136"/>
        <v>1.3835617948589474</v>
      </c>
      <c r="FY47" s="249">
        <f t="shared" si="219"/>
        <v>0.15000000000000002</v>
      </c>
      <c r="FZ47" s="139">
        <f t="shared" si="220"/>
        <v>1050000</v>
      </c>
      <c r="GA47" s="139">
        <f t="shared" si="137"/>
        <v>3.3757716049382713E-2</v>
      </c>
      <c r="GB47" s="139">
        <f t="shared" si="138"/>
        <v>121.52777777777777</v>
      </c>
      <c r="GC47" s="139">
        <f t="shared" si="221"/>
        <v>1050000</v>
      </c>
      <c r="GD47" s="139">
        <f t="shared" si="139"/>
        <v>6.7515432098765427E-2</v>
      </c>
      <c r="GE47" s="139">
        <f t="shared" si="140"/>
        <v>243.05555555555554</v>
      </c>
      <c r="GF47" s="139">
        <f t="shared" si="141"/>
        <v>4.5814043209876545E-2</v>
      </c>
      <c r="GG47" s="139">
        <f t="shared" si="222"/>
        <v>712500</v>
      </c>
      <c r="GH47" s="139">
        <f t="shared" si="142"/>
        <v>164.93055555555554</v>
      </c>
      <c r="GI47" s="137">
        <f t="shared" si="223"/>
        <v>67.170221092003331</v>
      </c>
      <c r="GJ47" s="137">
        <f t="shared" si="143"/>
        <v>0.24181279593121008</v>
      </c>
      <c r="GK47" s="251">
        <f t="shared" si="224"/>
        <v>37.682536531275559</v>
      </c>
      <c r="GL47" s="137">
        <f t="shared" si="164"/>
        <v>0.13565713151259093</v>
      </c>
      <c r="GM47" s="137">
        <f t="shared" ca="1" si="225"/>
        <v>10.716707505429264</v>
      </c>
      <c r="GN47" s="137">
        <f t="shared" ca="1" si="144"/>
        <v>3.8580147019545041E-2</v>
      </c>
      <c r="GO47" s="137">
        <f t="shared" ca="1" si="145"/>
        <v>0.13565452538517947</v>
      </c>
      <c r="GP47" s="137">
        <f t="shared" ca="1" si="226"/>
        <v>11.556349071187141</v>
      </c>
      <c r="GQ47" s="137">
        <f t="shared" ca="1" si="146"/>
        <v>4.1602856656273376E-2</v>
      </c>
      <c r="GR47" s="137">
        <f t="shared" ca="1" si="147"/>
        <v>0.1462828996352791</v>
      </c>
      <c r="GS47" s="140">
        <f t="shared" si="227"/>
        <v>0.11883705338673209</v>
      </c>
      <c r="GT47" s="140">
        <f t="shared" si="228"/>
        <v>8.0734092638105576E-2</v>
      </c>
      <c r="GU47" s="140">
        <f t="shared" si="287"/>
        <v>427.81339219223554</v>
      </c>
      <c r="GV47" s="140">
        <f t="shared" si="149"/>
        <v>290.64273349718007</v>
      </c>
      <c r="GW47" s="141">
        <f t="shared" ca="1" si="229"/>
        <v>7.7524599397223995E-3</v>
      </c>
      <c r="GX47" s="141">
        <f t="shared" ca="1" si="230"/>
        <v>7.1666431304420472E-3</v>
      </c>
      <c r="GY47" s="141">
        <f t="shared" ca="1" si="150"/>
        <v>27.908855783000639</v>
      </c>
      <c r="GZ47" s="141">
        <f t="shared" ca="1" si="165"/>
        <v>25.79991526959137</v>
      </c>
      <c r="HA47" s="141">
        <f t="shared" ca="1" si="231"/>
        <v>1.7664342894119396E-2</v>
      </c>
      <c r="HB47" s="141">
        <f t="shared" ca="1" si="232"/>
        <v>2.1131810278984659E-2</v>
      </c>
      <c r="HC47" s="141">
        <f t="shared" ca="1" si="233"/>
        <v>63.591634418829827</v>
      </c>
      <c r="HD47" s="141">
        <f t="shared" ca="1" si="152"/>
        <v>76.07451700434477</v>
      </c>
      <c r="HE47" s="137">
        <f t="shared" si="153"/>
        <v>11.140630412715026</v>
      </c>
      <c r="HF47" s="250">
        <f t="shared" si="154"/>
        <v>10.522786269924413</v>
      </c>
      <c r="HG47" s="137">
        <v>2.8920669791943707</v>
      </c>
      <c r="HH47" s="251">
        <v>5.977883488466909</v>
      </c>
      <c r="HI47" s="137">
        <f t="shared" ca="1" si="155"/>
        <v>1.5975086766061524</v>
      </c>
      <c r="HJ47" s="251">
        <f t="shared" ca="1" si="156"/>
        <v>2.0089928757047</v>
      </c>
      <c r="HK47" s="137">
        <f t="shared" ca="1" si="157"/>
        <v>0.81914612462723113</v>
      </c>
      <c r="HL47" s="251">
        <f t="shared" ca="1" si="158"/>
        <v>1.2620833580338349</v>
      </c>
      <c r="HM47" s="137">
        <f t="shared" ca="1" si="159"/>
        <v>0.9187599769390199</v>
      </c>
      <c r="HN47" s="251">
        <f t="shared" ca="1" si="160"/>
        <v>1.3616972103456235</v>
      </c>
      <c r="HO47" s="137">
        <f t="shared" ca="1" si="161"/>
        <v>0.32068770281249387</v>
      </c>
      <c r="HP47" s="251">
        <f t="shared" ca="1" si="162"/>
        <v>0.69415877972743134</v>
      </c>
      <c r="JN47" s="143">
        <f t="shared" si="234"/>
        <v>19.265570771758167</v>
      </c>
      <c r="JO47" s="143">
        <f t="shared" si="235"/>
        <v>2892.0669791943706</v>
      </c>
      <c r="JP47" s="143">
        <f t="shared" si="236"/>
        <v>4918.9761333168226</v>
      </c>
      <c r="JQ47" s="143">
        <f t="shared" si="237"/>
        <v>1.0710980494817099</v>
      </c>
      <c r="JR47" s="143">
        <f t="shared" ca="1" si="238"/>
        <v>1.5874779731319182</v>
      </c>
      <c r="JS47" s="143">
        <f t="shared" si="239"/>
        <v>104.67484863281251</v>
      </c>
      <c r="JT47" s="143">
        <f t="shared" ca="1" si="240"/>
        <v>226.57858270789885</v>
      </c>
      <c r="JU47" s="143">
        <f t="shared" si="256"/>
        <v>0.2177304222654935</v>
      </c>
      <c r="JV47" s="143">
        <f t="shared" si="241"/>
        <v>0.37032709073677911</v>
      </c>
      <c r="JW47" s="143">
        <f t="shared" ca="1" si="242"/>
        <v>0.21665939784712018</v>
      </c>
      <c r="JX47" s="143">
        <f t="shared" ca="1" si="243"/>
        <v>0.32111161244365743</v>
      </c>
      <c r="JY47" s="143">
        <f t="shared" si="244"/>
        <v>0.73494180338099169</v>
      </c>
      <c r="JZ47" s="143">
        <f t="shared" si="245"/>
        <v>1.7163810072451178</v>
      </c>
      <c r="KA47" s="143">
        <f t="shared" si="246"/>
        <v>0.20540605874103163</v>
      </c>
      <c r="KB47" s="143">
        <f t="shared" si="247"/>
        <v>0.3493651799403576</v>
      </c>
      <c r="KC47" s="143">
        <f t="shared" ca="1" si="248"/>
        <v>0.50343634436058804</v>
      </c>
      <c r="KD47" s="143">
        <f t="shared" ca="1" si="249"/>
        <v>0.62821694058578004</v>
      </c>
      <c r="KE47" s="143">
        <f t="shared" ca="1" si="250"/>
        <v>0.50977469473646142</v>
      </c>
      <c r="KF47" s="143">
        <f t="shared" ca="1" si="251"/>
        <v>0.34904404943814682</v>
      </c>
      <c r="KG47" s="142">
        <f t="shared" si="252"/>
        <v>0.13565713151259093</v>
      </c>
      <c r="KH47" s="142">
        <f t="shared" ca="1" si="253"/>
        <v>0.1462828996352791</v>
      </c>
      <c r="KI47" s="142">
        <f t="shared" ca="1" si="254"/>
        <v>519.31388239406601</v>
      </c>
      <c r="KJ47" s="142">
        <f t="shared" ca="1" si="255"/>
        <v>392.51716577111625</v>
      </c>
    </row>
    <row r="48" spans="1:296" x14ac:dyDescent="0.3">
      <c r="A48" s="194">
        <v>41342</v>
      </c>
      <c r="B48" s="196">
        <v>46</v>
      </c>
      <c r="C48" s="177">
        <v>24</v>
      </c>
      <c r="D48" s="166">
        <v>4.2</v>
      </c>
      <c r="E48" s="166">
        <v>50016</v>
      </c>
      <c r="F48" s="166">
        <v>300</v>
      </c>
      <c r="G48" s="166">
        <v>11.7</v>
      </c>
      <c r="H48" s="166">
        <v>0.85</v>
      </c>
      <c r="I48" s="166">
        <v>1.4</v>
      </c>
      <c r="J48" s="166">
        <v>1.33</v>
      </c>
      <c r="K48" s="166">
        <v>0.91</v>
      </c>
      <c r="L48" s="166">
        <v>28585.545729719102</v>
      </c>
      <c r="M48" s="169">
        <v>19</v>
      </c>
      <c r="N48" s="167">
        <v>68541.102778039873</v>
      </c>
      <c r="O48" s="176">
        <v>17</v>
      </c>
      <c r="P48" s="166">
        <v>2</v>
      </c>
      <c r="Q48" s="166">
        <v>5</v>
      </c>
      <c r="R48" s="168">
        <v>399.7557373046875</v>
      </c>
      <c r="S48" s="169">
        <v>85.982369349017972</v>
      </c>
      <c r="T48" s="166">
        <v>180</v>
      </c>
      <c r="U48" s="170">
        <v>3.4438133239746094</v>
      </c>
      <c r="V48" s="176">
        <v>17</v>
      </c>
      <c r="W48" s="166">
        <v>1250</v>
      </c>
      <c r="X48" s="169">
        <v>80084.290974467993</v>
      </c>
      <c r="Y48" s="169">
        <v>10722.047073928639</v>
      </c>
      <c r="Z48" s="169">
        <v>352.92544555664062</v>
      </c>
      <c r="AA48" s="169">
        <v>9.8316993713378906</v>
      </c>
      <c r="AB48" s="169">
        <v>12.922719955444336</v>
      </c>
      <c r="AC48" s="212">
        <v>37</v>
      </c>
      <c r="AD48" s="212">
        <v>29.928409576416016</v>
      </c>
      <c r="AE48" s="254">
        <v>20</v>
      </c>
      <c r="AF48" s="254">
        <v>10</v>
      </c>
      <c r="AG48" s="217">
        <v>5000000</v>
      </c>
      <c r="AH48" s="218">
        <v>300000</v>
      </c>
      <c r="AI48" s="219">
        <v>5000000</v>
      </c>
      <c r="AJ48" s="225">
        <f t="shared" si="179"/>
        <v>300000</v>
      </c>
      <c r="AK48" s="220">
        <v>2750000</v>
      </c>
      <c r="AL48" s="226">
        <f t="shared" si="180"/>
        <v>300000</v>
      </c>
      <c r="AM48" s="221">
        <v>14.407</v>
      </c>
      <c r="BM48" s="197">
        <f t="shared" si="181"/>
        <v>7.0715904235839844</v>
      </c>
      <c r="BN48" s="196">
        <f t="shared" si="182"/>
        <v>180</v>
      </c>
      <c r="BO48" s="197">
        <f t="shared" si="183"/>
        <v>3.0910205841064453</v>
      </c>
      <c r="BP48" s="196">
        <f t="shared" si="173"/>
        <v>12.695319542391315</v>
      </c>
      <c r="BQ48" s="115">
        <f t="shared" si="184"/>
        <v>659.74492511188635</v>
      </c>
      <c r="BR48" s="184">
        <f t="shared" si="185"/>
        <v>1.0041987768</v>
      </c>
      <c r="BS48" s="115">
        <f t="shared" si="186"/>
        <v>6863.8528613899143</v>
      </c>
      <c r="BT48" s="196">
        <v>900</v>
      </c>
      <c r="BU48" s="115">
        <f t="shared" si="288"/>
        <v>1.1850729520000001</v>
      </c>
      <c r="BV48" s="115">
        <f t="shared" si="269"/>
        <v>1.0763565902773586</v>
      </c>
      <c r="BW48" s="115">
        <f t="shared" si="270"/>
        <v>488.88741489782205</v>
      </c>
      <c r="BX48" s="115">
        <f t="shared" si="187"/>
        <v>1176.0974870507475</v>
      </c>
      <c r="BY48" s="115"/>
      <c r="BZ48" s="115">
        <f t="shared" si="188"/>
        <v>687.21007215292548</v>
      </c>
      <c r="CA48" s="115">
        <f t="shared" si="189"/>
        <v>11144.3218123313</v>
      </c>
      <c r="CB48" s="115">
        <f t="shared" si="190"/>
        <v>2855.8792824183279</v>
      </c>
      <c r="CC48" s="115">
        <f t="shared" si="191"/>
        <v>1191.0644054049626</v>
      </c>
      <c r="CD48" s="129">
        <f t="shared" si="271"/>
        <v>0.23533263998684112</v>
      </c>
      <c r="CE48" s="115">
        <f t="shared" si="192"/>
        <v>20.760320326861212</v>
      </c>
      <c r="CF48" s="115">
        <f t="shared" si="193"/>
        <v>23.883991485838326</v>
      </c>
      <c r="CG48" s="115">
        <f t="shared" si="194"/>
        <v>0.02</v>
      </c>
      <c r="CH48" s="115">
        <f t="shared" si="195"/>
        <v>0.05</v>
      </c>
      <c r="CI48" s="136">
        <v>30</v>
      </c>
      <c r="CJ48" s="115">
        <f t="shared" si="257"/>
        <v>165</v>
      </c>
      <c r="CK48" s="115">
        <f t="shared" si="196"/>
        <v>453</v>
      </c>
      <c r="CL48" s="115">
        <f t="shared" si="197"/>
        <v>672.7557373046875</v>
      </c>
      <c r="CM48" s="115">
        <f t="shared" ca="1" si="198"/>
        <v>2816.5993052117487</v>
      </c>
      <c r="CN48" s="115">
        <f t="shared" ca="1" si="258"/>
        <v>125.80344444444444</v>
      </c>
      <c r="CO48" s="115">
        <f t="shared" ca="1" si="259"/>
        <v>690.58718083896258</v>
      </c>
      <c r="CP48" s="115">
        <f t="shared" ca="1" si="260"/>
        <v>2790.6388281929471</v>
      </c>
      <c r="CQ48" s="115">
        <f t="shared" si="272"/>
        <v>1.072449112508886</v>
      </c>
      <c r="CR48" s="115">
        <f t="shared" ca="1" si="199"/>
        <v>567.29451232988492</v>
      </c>
      <c r="CS48" s="115">
        <f t="shared" ca="1" si="200"/>
        <v>28.061191759796088</v>
      </c>
      <c r="CT48" s="115">
        <f t="shared" si="273"/>
        <v>1.1241915557098516</v>
      </c>
      <c r="CU48" s="115">
        <f t="shared" ca="1" si="274"/>
        <v>1.0201877872042504</v>
      </c>
      <c r="CV48" s="115">
        <f t="shared" si="108"/>
        <v>214.21007215292548</v>
      </c>
      <c r="CW48" s="115">
        <f t="shared" si="261"/>
        <v>473</v>
      </c>
      <c r="CX48" s="115">
        <f t="shared" si="262"/>
        <v>438</v>
      </c>
      <c r="CY48" s="115">
        <f t="shared" ca="1" si="275"/>
        <v>444.93880824020391</v>
      </c>
      <c r="CZ48" s="115">
        <f t="shared" ca="1" si="263"/>
        <v>227.81692906448359</v>
      </c>
      <c r="DA48" s="115">
        <v>0.21890000000000001</v>
      </c>
      <c r="DB48" s="115">
        <v>2.7E-2</v>
      </c>
      <c r="DC48" s="115">
        <v>1.06</v>
      </c>
      <c r="DD48" s="138">
        <f t="shared" si="201"/>
        <v>12.476621160876755</v>
      </c>
      <c r="DE48" s="138">
        <f t="shared" si="276"/>
        <v>12.476621160876755</v>
      </c>
      <c r="DF48" s="115">
        <f t="shared" si="264"/>
        <v>672.7557373046875</v>
      </c>
      <c r="DG48" s="115">
        <v>687.21007215292548</v>
      </c>
      <c r="DH48" s="115">
        <f t="shared" si="277"/>
        <v>1.1241915557098516</v>
      </c>
      <c r="DI48" s="115">
        <f t="shared" si="112"/>
        <v>1.1280807261564518</v>
      </c>
      <c r="DJ48" s="138">
        <f t="shared" si="202"/>
        <v>2.8538657104876188</v>
      </c>
      <c r="DK48" s="138">
        <f t="shared" si="203"/>
        <v>3.0398554502554198</v>
      </c>
      <c r="DL48" s="115">
        <f t="shared" si="278"/>
        <v>672.7557373046875</v>
      </c>
      <c r="DM48" s="115">
        <f t="shared" si="167"/>
        <v>687.21007215292548</v>
      </c>
      <c r="DN48" s="115">
        <f t="shared" si="174"/>
        <v>12.810731538231236</v>
      </c>
      <c r="DO48" s="115">
        <f t="shared" si="114"/>
        <v>1.1241915557098516</v>
      </c>
      <c r="DP48" s="115">
        <f t="shared" si="115"/>
        <v>1.1280807261564518</v>
      </c>
      <c r="DQ48" s="115">
        <v>298.14999999999998</v>
      </c>
      <c r="DR48" s="138">
        <f t="shared" si="116"/>
        <v>1.9006745631847539</v>
      </c>
      <c r="DS48" s="138">
        <f t="shared" si="117"/>
        <v>2.0245437298701097</v>
      </c>
      <c r="DT48" s="115">
        <f t="shared" ref="DT48:DT82" si="289">DL48</f>
        <v>672.7557373046875</v>
      </c>
      <c r="DU48" s="139">
        <f t="shared" si="118"/>
        <v>6.4246011017556039</v>
      </c>
      <c r="DV48" s="115">
        <f t="shared" si="279"/>
        <v>1.1241915557098516</v>
      </c>
      <c r="DW48" s="115">
        <v>298.14999999999998</v>
      </c>
      <c r="DX48" s="138">
        <f t="shared" si="204"/>
        <v>0.95319114730286458</v>
      </c>
      <c r="DY48" s="138">
        <f t="shared" si="205"/>
        <v>1.0153117203853101</v>
      </c>
      <c r="DZ48" s="138">
        <f t="shared" ref="DZ48:DZ82" si="290">CB48*0.001</f>
        <v>2.8558792824183281</v>
      </c>
      <c r="EA48" s="138">
        <f t="shared" si="280"/>
        <v>4.280468950941386</v>
      </c>
      <c r="EB48" s="115">
        <f t="shared" ref="EB48:EB82" si="291">CF48</f>
        <v>23.883991485838326</v>
      </c>
      <c r="EC48" s="115">
        <v>30</v>
      </c>
      <c r="ED48" s="198">
        <f t="shared" ca="1" si="265"/>
        <v>125.80344444444444</v>
      </c>
      <c r="EE48" s="198">
        <v>104.83</v>
      </c>
      <c r="EF48" s="198">
        <f t="shared" ca="1" si="169"/>
        <v>0.42491111111111107</v>
      </c>
      <c r="EG48" s="199">
        <v>0.36720000000000003</v>
      </c>
      <c r="EH48" s="138">
        <f t="shared" ca="1" si="121"/>
        <v>8.9968050234870103E-2</v>
      </c>
      <c r="EI48" s="138">
        <f t="shared" ca="1" si="281"/>
        <v>8.9968050234870103E-2</v>
      </c>
      <c r="EJ48" s="115">
        <f t="shared" si="170"/>
        <v>12.810731538231236</v>
      </c>
      <c r="EK48" s="115">
        <v>435</v>
      </c>
      <c r="EL48" s="115">
        <f t="shared" ca="1" si="171"/>
        <v>444.93880824020391</v>
      </c>
      <c r="EM48" s="115">
        <f t="shared" ca="1" si="123"/>
        <v>1.0626016544228691</v>
      </c>
      <c r="EN48" s="115">
        <f t="shared" ca="1" si="124"/>
        <v>1.0656696541987671</v>
      </c>
      <c r="EO48" s="115">
        <v>298.14999999999998</v>
      </c>
      <c r="EP48" s="138">
        <f t="shared" ca="1" si="125"/>
        <v>0.32975472044628273</v>
      </c>
      <c r="EQ48" s="138">
        <f t="shared" ca="1" si="126"/>
        <v>0.37443939484093769</v>
      </c>
      <c r="ER48" s="115">
        <f t="shared" si="282"/>
        <v>0.95661481221516931</v>
      </c>
      <c r="ES48" s="115">
        <f t="shared" si="172"/>
        <v>453</v>
      </c>
      <c r="ET48" s="115">
        <f t="shared" ca="1" si="206"/>
        <v>2816.5993052117487</v>
      </c>
      <c r="EU48" s="115">
        <f t="shared" ca="1" si="207"/>
        <v>6.5855309782608691</v>
      </c>
      <c r="EV48" s="138">
        <f t="shared" ca="1" si="175"/>
        <v>0.82055924127172253</v>
      </c>
      <c r="EW48" s="138">
        <f t="shared" ca="1" si="208"/>
        <v>1.1519147123529845</v>
      </c>
      <c r="EX48" s="115">
        <v>21.47</v>
      </c>
      <c r="EY48" s="115">
        <f t="shared" ca="1" si="209"/>
        <v>125.33816390058729</v>
      </c>
      <c r="EZ48" s="115">
        <f t="shared" ca="1" si="210"/>
        <v>0.42391282242668998</v>
      </c>
      <c r="FA48" s="138">
        <f t="shared" ca="1" si="127"/>
        <v>7.7275594645676085E-2</v>
      </c>
      <c r="FB48" s="138">
        <f t="shared" ca="1" si="283"/>
        <v>7.7275594645676085E-2</v>
      </c>
      <c r="FC48" s="115">
        <f t="shared" si="266"/>
        <v>21.47</v>
      </c>
      <c r="FD48" s="115">
        <v>37</v>
      </c>
      <c r="FE48" s="115">
        <f t="shared" ca="1" si="267"/>
        <v>154.93355555555553</v>
      </c>
      <c r="FF48" s="115">
        <f t="shared" ca="1" si="268"/>
        <v>0.52252222222222222</v>
      </c>
      <c r="FG48" s="138">
        <f t="shared" ca="1" si="176"/>
        <v>8.1462225449999703E-2</v>
      </c>
      <c r="FH48" s="138">
        <f t="shared" ca="1" si="129"/>
        <v>8.1462225449999703E-2</v>
      </c>
      <c r="FI48" s="115">
        <f t="shared" si="284"/>
        <v>98.819124755859391</v>
      </c>
      <c r="FJ48" s="115">
        <f t="shared" ca="1" si="211"/>
        <v>41.231198724534785</v>
      </c>
      <c r="FK48" s="115">
        <f t="shared" ca="1" si="212"/>
        <v>0.14367536345587836</v>
      </c>
      <c r="FL48" s="138">
        <f t="shared" ca="1" si="177"/>
        <v>0.30091106428757469</v>
      </c>
      <c r="FM48" s="138">
        <f t="shared" ca="1" si="213"/>
        <v>0.74078014320400487</v>
      </c>
      <c r="FN48" s="115">
        <f t="shared" si="285"/>
        <v>98.819124755859391</v>
      </c>
      <c r="FO48" s="115">
        <f t="shared" ca="1" si="214"/>
        <v>54.167463315751824</v>
      </c>
      <c r="FP48" s="115">
        <f t="shared" ca="1" si="215"/>
        <v>0.18677792826758491</v>
      </c>
      <c r="FQ48" s="138">
        <f t="shared" ca="1" si="178"/>
        <v>0.3093339017736319</v>
      </c>
      <c r="FR48" s="138">
        <f t="shared" ca="1" si="216"/>
        <v>0.76151540853523447</v>
      </c>
      <c r="FS48" s="139">
        <f t="shared" si="217"/>
        <v>6.7668761679708069</v>
      </c>
      <c r="FT48" s="249">
        <f t="shared" si="132"/>
        <v>5.1562967596799494</v>
      </c>
      <c r="FU48" s="139">
        <f t="shared" ca="1" si="218"/>
        <v>0.84032865170161863</v>
      </c>
      <c r="FV48" s="249">
        <f t="shared" ca="1" si="134"/>
        <v>0.58815767291105781</v>
      </c>
      <c r="FW48" s="139">
        <f t="shared" ca="1" si="286"/>
        <v>0.82479544795345605</v>
      </c>
      <c r="FX48" s="249">
        <f t="shared" ca="1" si="136"/>
        <v>1.1684633468798904</v>
      </c>
      <c r="FY48" s="249">
        <f t="shared" si="219"/>
        <v>0.15000000000000002</v>
      </c>
      <c r="FZ48" s="139">
        <f t="shared" si="220"/>
        <v>1050000</v>
      </c>
      <c r="GA48" s="139">
        <f t="shared" si="137"/>
        <v>3.3757716049382713E-2</v>
      </c>
      <c r="GB48" s="139">
        <f t="shared" si="138"/>
        <v>121.52777777777777</v>
      </c>
      <c r="GC48" s="139">
        <f t="shared" si="221"/>
        <v>1050000</v>
      </c>
      <c r="GD48" s="139">
        <f t="shared" si="139"/>
        <v>6.7515432098765427E-2</v>
      </c>
      <c r="GE48" s="139">
        <f t="shared" si="140"/>
        <v>243.05555555555554</v>
      </c>
      <c r="GF48" s="139">
        <f t="shared" si="141"/>
        <v>4.5814043209876545E-2</v>
      </c>
      <c r="GG48" s="139">
        <f t="shared" si="222"/>
        <v>712500</v>
      </c>
      <c r="GH48" s="139">
        <f t="shared" si="142"/>
        <v>164.93055555555554</v>
      </c>
      <c r="GI48" s="137">
        <f t="shared" si="223"/>
        <v>60.364159957475032</v>
      </c>
      <c r="GJ48" s="137">
        <f t="shared" si="143"/>
        <v>0.21731097584690839</v>
      </c>
      <c r="GK48" s="251">
        <f t="shared" si="224"/>
        <v>39.648272557842049</v>
      </c>
      <c r="GL48" s="137">
        <f t="shared" si="164"/>
        <v>0.14273378120823024</v>
      </c>
      <c r="GM48" s="137">
        <f t="shared" ca="1" si="225"/>
        <v>9.6482608592792207</v>
      </c>
      <c r="GN48" s="137">
        <f t="shared" ca="1" si="144"/>
        <v>3.4733739093404915E-2</v>
      </c>
      <c r="GO48" s="137">
        <f t="shared" ca="1" si="145"/>
        <v>0.12212988429467271</v>
      </c>
      <c r="GP48" s="137">
        <f t="shared" ca="1" si="226"/>
        <v>10.50046092077779</v>
      </c>
      <c r="GQ48" s="137">
        <f t="shared" ca="1" si="146"/>
        <v>3.7801659314799743E-2</v>
      </c>
      <c r="GR48" s="137">
        <f t="shared" ca="1" si="147"/>
        <v>0.13291722684528742</v>
      </c>
      <c r="GS48" s="140">
        <f t="shared" si="227"/>
        <v>9.7490384951955417E-2</v>
      </c>
      <c r="GT48" s="140">
        <f t="shared" si="228"/>
        <v>7.4286767416709032E-2</v>
      </c>
      <c r="GU48" s="140">
        <f t="shared" si="287"/>
        <v>350.96538582703948</v>
      </c>
      <c r="GV48" s="140">
        <f t="shared" si="149"/>
        <v>267.43236270015251</v>
      </c>
      <c r="GW48" s="141">
        <f t="shared" ca="1" si="229"/>
        <v>8.0630055134534358E-3</v>
      </c>
      <c r="GX48" s="141">
        <f t="shared" ca="1" si="230"/>
        <v>5.6434093373573194E-3</v>
      </c>
      <c r="GY48" s="141">
        <f t="shared" ca="1" si="150"/>
        <v>29.026819848432368</v>
      </c>
      <c r="GZ48" s="141">
        <f t="shared" ca="1" si="165"/>
        <v>20.316273614486349</v>
      </c>
      <c r="HA48" s="141">
        <f t="shared" ca="1" si="231"/>
        <v>1.7016633087314974E-2</v>
      </c>
      <c r="HB48" s="141">
        <f t="shared" ca="1" si="232"/>
        <v>1.7420939803867042E-2</v>
      </c>
      <c r="HC48" s="141">
        <f t="shared" ca="1" si="233"/>
        <v>61.259879114333906</v>
      </c>
      <c r="HD48" s="141">
        <f t="shared" ca="1" si="152"/>
        <v>62.715383293921349</v>
      </c>
      <c r="HE48" s="137">
        <f t="shared" si="153"/>
        <v>9.6227554503891355</v>
      </c>
      <c r="HF48" s="250">
        <f t="shared" si="154"/>
        <v>9.4367657106213354</v>
      </c>
      <c r="HG48" s="137">
        <v>2.8558792824183281</v>
      </c>
      <c r="HH48" s="251">
        <v>4.6099594516645954</v>
      </c>
      <c r="HI48" s="137">
        <f t="shared" ca="1" si="155"/>
        <v>1.5262351683438162</v>
      </c>
      <c r="HJ48" s="251">
        <f t="shared" ca="1" si="156"/>
        <v>1.650104335029172</v>
      </c>
      <c r="HK48" s="137">
        <f t="shared" ca="1" si="157"/>
        <v>0.73059119103685244</v>
      </c>
      <c r="HL48" s="251">
        <f t="shared" ca="1" si="158"/>
        <v>1.0619466621181144</v>
      </c>
      <c r="HM48" s="137">
        <f t="shared" ca="1" si="159"/>
        <v>0.82055924127172253</v>
      </c>
      <c r="HN48" s="251">
        <f t="shared" ca="1" si="160"/>
        <v>1.1519147123529845</v>
      </c>
      <c r="HO48" s="137">
        <f t="shared" ca="1" si="161"/>
        <v>0.30091106428757469</v>
      </c>
      <c r="HP48" s="251">
        <f t="shared" ca="1" si="162"/>
        <v>0.74078014320400487</v>
      </c>
      <c r="JN48" s="143">
        <f t="shared" si="234"/>
        <v>19.23533263998684</v>
      </c>
      <c r="JO48" s="143">
        <f t="shared" si="235"/>
        <v>2855.8792824183279</v>
      </c>
      <c r="JP48" s="143">
        <f t="shared" si="236"/>
        <v>4280.4689509413856</v>
      </c>
      <c r="JQ48" s="143">
        <f t="shared" si="237"/>
        <v>0.95661481221516931</v>
      </c>
      <c r="JR48" s="143">
        <f t="shared" ca="1" si="238"/>
        <v>1.3429117860370812</v>
      </c>
      <c r="JS48" s="143">
        <f t="shared" si="239"/>
        <v>98.819124755859391</v>
      </c>
      <c r="JT48" s="143">
        <f t="shared" ca="1" si="240"/>
        <v>243.27202976485125</v>
      </c>
      <c r="JU48" s="143">
        <f t="shared" si="256"/>
        <v>0.2426323601822577</v>
      </c>
      <c r="JV48" s="143">
        <f t="shared" si="241"/>
        <v>0.36366393028150773</v>
      </c>
      <c r="JW48" s="143">
        <f t="shared" ca="1" si="242"/>
        <v>0.21832490230058188</v>
      </c>
      <c r="JX48" s="143">
        <f t="shared" ca="1" si="243"/>
        <v>0.30648812953870386</v>
      </c>
      <c r="JY48" s="143">
        <f t="shared" si="244"/>
        <v>0.69767859673286703</v>
      </c>
      <c r="JZ48" s="143">
        <f t="shared" si="245"/>
        <v>0.74602003556306284</v>
      </c>
      <c r="KA48" s="143">
        <f t="shared" si="246"/>
        <v>0.22889845300212996</v>
      </c>
      <c r="KB48" s="143">
        <f t="shared" si="247"/>
        <v>0.34307917951085642</v>
      </c>
      <c r="KC48" s="143">
        <f t="shared" ca="1" si="248"/>
        <v>0.46507222785044561</v>
      </c>
      <c r="KD48" s="143">
        <f t="shared" ca="1" si="249"/>
        <v>0.64356334298057605</v>
      </c>
      <c r="KE48" s="143">
        <f t="shared" ca="1" si="250"/>
        <v>0.64308592924456509</v>
      </c>
      <c r="KF48" s="143">
        <f t="shared" ca="1" si="251"/>
        <v>0.36671461261129112</v>
      </c>
      <c r="KG48" s="142">
        <f t="shared" si="252"/>
        <v>0.14273378120823024</v>
      </c>
      <c r="KH48" s="142">
        <f t="shared" ca="1" si="253"/>
        <v>0.13291722684528742</v>
      </c>
      <c r="KI48" s="142">
        <f t="shared" ca="1" si="254"/>
        <v>441.25208478980574</v>
      </c>
      <c r="KJ48" s="142">
        <f t="shared" ca="1" si="255"/>
        <v>350.46401960856019</v>
      </c>
    </row>
    <row r="49" spans="1:296" x14ac:dyDescent="0.3">
      <c r="A49" s="194">
        <v>41343</v>
      </c>
      <c r="B49" s="196">
        <v>47</v>
      </c>
      <c r="C49" s="177">
        <v>24</v>
      </c>
      <c r="D49" s="166">
        <v>4.2</v>
      </c>
      <c r="E49" s="166">
        <v>50016</v>
      </c>
      <c r="F49" s="166">
        <v>300</v>
      </c>
      <c r="G49" s="166">
        <v>11.7</v>
      </c>
      <c r="H49" s="166">
        <v>0.85</v>
      </c>
      <c r="I49" s="166">
        <v>1.4</v>
      </c>
      <c r="J49" s="166">
        <v>1.33</v>
      </c>
      <c r="K49" s="166">
        <v>0.91</v>
      </c>
      <c r="L49" s="166">
        <v>27012.832557789981</v>
      </c>
      <c r="M49" s="169">
        <v>19</v>
      </c>
      <c r="N49" s="167">
        <v>77616.36305642128</v>
      </c>
      <c r="O49" s="176">
        <v>17</v>
      </c>
      <c r="P49" s="166">
        <v>2</v>
      </c>
      <c r="Q49" s="166">
        <v>5</v>
      </c>
      <c r="R49" s="168">
        <v>377.60220336914063</v>
      </c>
      <c r="S49" s="169">
        <v>77.100539767823648</v>
      </c>
      <c r="T49" s="166">
        <v>180</v>
      </c>
      <c r="U49" s="170">
        <v>3.1367566585540771</v>
      </c>
      <c r="V49" s="176">
        <v>17</v>
      </c>
      <c r="W49" s="166">
        <v>1250</v>
      </c>
      <c r="X49" s="169">
        <v>38673.332939371467</v>
      </c>
      <c r="Y49" s="169">
        <v>4788.6715875826776</v>
      </c>
      <c r="Z49" s="169">
        <v>167.44241333007812</v>
      </c>
      <c r="AA49" s="169">
        <v>10.97480583190918</v>
      </c>
      <c r="AB49" s="169">
        <v>13.905364036560059</v>
      </c>
      <c r="AC49" s="212">
        <v>37</v>
      </c>
      <c r="AD49" s="212">
        <v>29.178190231323242</v>
      </c>
      <c r="AE49" s="254">
        <v>20</v>
      </c>
      <c r="AF49" s="254">
        <v>10</v>
      </c>
      <c r="AG49" s="217">
        <v>5000000</v>
      </c>
      <c r="AH49" s="218">
        <v>300000</v>
      </c>
      <c r="AI49" s="219">
        <v>5000000</v>
      </c>
      <c r="AJ49" s="225">
        <f t="shared" si="179"/>
        <v>300000</v>
      </c>
      <c r="AK49" s="220">
        <v>2750000</v>
      </c>
      <c r="AL49" s="226">
        <f t="shared" si="180"/>
        <v>300000</v>
      </c>
      <c r="AM49" s="221">
        <v>14.407</v>
      </c>
      <c r="BM49" s="197">
        <f t="shared" si="181"/>
        <v>7.8218097686767578</v>
      </c>
      <c r="BN49" s="196">
        <f t="shared" si="182"/>
        <v>180</v>
      </c>
      <c r="BO49" s="197">
        <f t="shared" si="183"/>
        <v>2.9305582046508789</v>
      </c>
      <c r="BP49" s="196">
        <f t="shared" si="173"/>
        <v>12.686774206490211</v>
      </c>
      <c r="BQ49" s="115">
        <f t="shared" si="184"/>
        <v>659.74492511188635</v>
      </c>
      <c r="BR49" s="184">
        <f t="shared" si="185"/>
        <v>1.0041987768</v>
      </c>
      <c r="BS49" s="115">
        <f t="shared" si="186"/>
        <v>6863.8528613899143</v>
      </c>
      <c r="BT49" s="196">
        <v>900</v>
      </c>
      <c r="BU49" s="115">
        <f t="shared" si="288"/>
        <v>1.1850729520000001</v>
      </c>
      <c r="BV49" s="115">
        <f t="shared" si="269"/>
        <v>1.0734811018444379</v>
      </c>
      <c r="BW49" s="115">
        <f t="shared" si="270"/>
        <v>477.21498608168383</v>
      </c>
      <c r="BX49" s="115">
        <f t="shared" si="187"/>
        <v>1148.0175778935275</v>
      </c>
      <c r="BY49" s="115"/>
      <c r="BZ49" s="115">
        <f t="shared" si="188"/>
        <v>670.80259181184363</v>
      </c>
      <c r="CA49" s="115">
        <f t="shared" si="189"/>
        <v>10870.923370702771</v>
      </c>
      <c r="CB49" s="115">
        <f t="shared" si="190"/>
        <v>3234.0151273508868</v>
      </c>
      <c r="CC49" s="115">
        <f t="shared" si="191"/>
        <v>1125.5346899079159</v>
      </c>
      <c r="CD49" s="129">
        <f t="shared" si="271"/>
        <v>0.22238516134880443</v>
      </c>
      <c r="CE49" s="115">
        <f t="shared" si="192"/>
        <v>9.8495537252987138</v>
      </c>
      <c r="CF49" s="115">
        <f t="shared" si="193"/>
        <v>21.416816602173235</v>
      </c>
      <c r="CG49" s="115">
        <f t="shared" si="194"/>
        <v>0.02</v>
      </c>
      <c r="CH49" s="115">
        <f t="shared" si="195"/>
        <v>0.05</v>
      </c>
      <c r="CI49" s="136">
        <v>30</v>
      </c>
      <c r="CJ49" s="115">
        <f t="shared" si="257"/>
        <v>165</v>
      </c>
      <c r="CK49" s="115">
        <f t="shared" si="196"/>
        <v>453</v>
      </c>
      <c r="CL49" s="115">
        <f t="shared" si="197"/>
        <v>650.60220336914062</v>
      </c>
      <c r="CM49" s="115">
        <f t="shared" ca="1" si="198"/>
        <v>2816.5993052117487</v>
      </c>
      <c r="CN49" s="115">
        <f t="shared" ca="1" si="258"/>
        <v>125.80344444444444</v>
      </c>
      <c r="CO49" s="115">
        <f t="shared" ca="1" si="259"/>
        <v>690.58718083896258</v>
      </c>
      <c r="CP49" s="115">
        <f t="shared" ca="1" si="260"/>
        <v>2790.6388281929471</v>
      </c>
      <c r="CQ49" s="115">
        <f t="shared" si="272"/>
        <v>1.072449112508886</v>
      </c>
      <c r="CR49" s="115">
        <f t="shared" ca="1" si="199"/>
        <v>516.71350085207871</v>
      </c>
      <c r="CS49" s="115">
        <f t="shared" ca="1" si="200"/>
        <v>25.576420540153723</v>
      </c>
      <c r="CT49" s="115">
        <f t="shared" si="273"/>
        <v>1.1182511580541663</v>
      </c>
      <c r="CU49" s="115">
        <f t="shared" ca="1" si="274"/>
        <v>1.0160037559926383</v>
      </c>
      <c r="CV49" s="115">
        <f t="shared" si="108"/>
        <v>197.80259181184363</v>
      </c>
      <c r="CW49" s="115">
        <f t="shared" si="261"/>
        <v>473</v>
      </c>
      <c r="CX49" s="115">
        <f t="shared" si="262"/>
        <v>438</v>
      </c>
      <c r="CY49" s="115">
        <f t="shared" ca="1" si="275"/>
        <v>447.42357945984628</v>
      </c>
      <c r="CZ49" s="115">
        <f t="shared" ca="1" si="263"/>
        <v>203.17862390929434</v>
      </c>
      <c r="DA49" s="115">
        <v>0.21890000000000001</v>
      </c>
      <c r="DB49" s="115">
        <v>2.7E-2</v>
      </c>
      <c r="DC49" s="115">
        <v>1.06</v>
      </c>
      <c r="DD49" s="138">
        <f t="shared" si="201"/>
        <v>11.790185203823111</v>
      </c>
      <c r="DE49" s="138">
        <f t="shared" si="276"/>
        <v>11.790185203823111</v>
      </c>
      <c r="DF49" s="115">
        <f t="shared" si="264"/>
        <v>650.60220336914062</v>
      </c>
      <c r="DG49" s="115">
        <v>670.80259181184363</v>
      </c>
      <c r="DH49" s="115">
        <f t="shared" si="277"/>
        <v>1.1182511580541663</v>
      </c>
      <c r="DI49" s="115">
        <f t="shared" si="112"/>
        <v>1.1236667560952665</v>
      </c>
      <c r="DJ49" s="138">
        <f t="shared" si="202"/>
        <v>2.5752684241141721</v>
      </c>
      <c r="DK49" s="138">
        <f t="shared" si="203"/>
        <v>2.8271498584833612</v>
      </c>
      <c r="DL49" s="115">
        <f t="shared" si="278"/>
        <v>650.60220336914062</v>
      </c>
      <c r="DM49" s="115">
        <f t="shared" si="167"/>
        <v>670.80259181184363</v>
      </c>
      <c r="DN49" s="115">
        <f t="shared" si="174"/>
        <v>12.802108517458304</v>
      </c>
      <c r="DO49" s="115">
        <f t="shared" si="114"/>
        <v>1.1182511580541663</v>
      </c>
      <c r="DP49" s="115">
        <f t="shared" ref="DP49:DP82" si="292">0.991615+(0.0000699703*DM49)+(0.00000027129*DM49^2)-(0.000000000122442*DM49^3)</f>
        <v>1.1236667560952665</v>
      </c>
      <c r="DQ49" s="115">
        <v>298.14999999999998</v>
      </c>
      <c r="DR49" s="138">
        <f t="shared" si="116"/>
        <v>1.7151287704600384</v>
      </c>
      <c r="DS49" s="138">
        <f t="shared" si="117"/>
        <v>1.8828818057499188</v>
      </c>
      <c r="DT49" s="115">
        <f t="shared" si="289"/>
        <v>650.60220336914062</v>
      </c>
      <c r="DU49" s="139">
        <f t="shared" si="118"/>
        <v>6.4202766438904995</v>
      </c>
      <c r="DV49" s="115">
        <f t="shared" si="279"/>
        <v>1.1182511580541663</v>
      </c>
      <c r="DW49" s="115">
        <v>298.14999999999998</v>
      </c>
      <c r="DX49" s="138">
        <f t="shared" si="204"/>
        <v>0.86013965365413325</v>
      </c>
      <c r="DY49" s="138">
        <f t="shared" si="205"/>
        <v>0.9442680527334425</v>
      </c>
      <c r="DZ49" s="138">
        <f t="shared" si="290"/>
        <v>3.234015127350887</v>
      </c>
      <c r="EA49" s="138">
        <f t="shared" si="280"/>
        <v>4.0070705093128565</v>
      </c>
      <c r="EB49" s="115">
        <f t="shared" si="291"/>
        <v>21.416816602173235</v>
      </c>
      <c r="EC49" s="115">
        <v>30</v>
      </c>
      <c r="ED49" s="198">
        <f t="shared" ca="1" si="265"/>
        <v>125.80344444444444</v>
      </c>
      <c r="EE49" s="198">
        <v>104.83</v>
      </c>
      <c r="EF49" s="198">
        <f t="shared" ca="1" si="169"/>
        <v>0.42491111111111107</v>
      </c>
      <c r="EG49" s="199">
        <v>0.36720000000000003</v>
      </c>
      <c r="EH49" s="138">
        <f t="shared" ca="1" si="121"/>
        <v>8.0674506733005982E-2</v>
      </c>
      <c r="EI49" s="138">
        <f t="shared" ca="1" si="281"/>
        <v>8.0674506733005982E-2</v>
      </c>
      <c r="EJ49" s="115">
        <f t="shared" si="170"/>
        <v>12.802108517458304</v>
      </c>
      <c r="EK49" s="115">
        <v>435</v>
      </c>
      <c r="EL49" s="115">
        <f t="shared" ca="1" si="171"/>
        <v>447.42357945984628</v>
      </c>
      <c r="EM49" s="115">
        <f t="shared" ca="1" si="123"/>
        <v>1.0624199515798745</v>
      </c>
      <c r="EN49" s="115">
        <f t="shared" ca="1" si="124"/>
        <v>1.0662633473037515</v>
      </c>
      <c r="EO49" s="115">
        <v>298.14999999999998</v>
      </c>
      <c r="EP49" s="138">
        <f t="shared" ca="1" si="125"/>
        <v>0.32947641005340655</v>
      </c>
      <c r="EQ49" s="138">
        <f t="shared" ca="1" si="126"/>
        <v>0.38564891733178414</v>
      </c>
      <c r="ER49" s="115">
        <f t="shared" si="282"/>
        <v>0.87132129404279923</v>
      </c>
      <c r="ES49" s="115">
        <f t="shared" si="172"/>
        <v>453</v>
      </c>
      <c r="ET49" s="115">
        <f t="shared" ca="1" si="206"/>
        <v>2816.5993052117487</v>
      </c>
      <c r="EU49" s="115">
        <f t="shared" ca="1" si="207"/>
        <v>6.5855309782608691</v>
      </c>
      <c r="EV49" s="138">
        <f t="shared" ca="1" si="175"/>
        <v>0.74739668549355265</v>
      </c>
      <c r="EW49" s="138">
        <f t="shared" ca="1" si="208"/>
        <v>1.0573506273831115</v>
      </c>
      <c r="EX49" s="115">
        <v>21.47</v>
      </c>
      <c r="EY49" s="115">
        <f t="shared" ca="1" si="209"/>
        <v>122.19841258366903</v>
      </c>
      <c r="EZ49" s="115">
        <f t="shared" ca="1" si="210"/>
        <v>0.41345143044789628</v>
      </c>
      <c r="FA49" s="138">
        <f t="shared" ca="1" si="127"/>
        <v>7.6831438348149428E-2</v>
      </c>
      <c r="FB49" s="138">
        <f t="shared" ca="1" si="283"/>
        <v>7.6831438348149428E-2</v>
      </c>
      <c r="FC49" s="115">
        <f t="shared" si="266"/>
        <v>21.47</v>
      </c>
      <c r="FD49" s="115">
        <v>37</v>
      </c>
      <c r="FE49" s="115">
        <f t="shared" ca="1" si="267"/>
        <v>154.93355555555553</v>
      </c>
      <c r="FF49" s="115">
        <f t="shared" ca="1" si="268"/>
        <v>0.52252222222222222</v>
      </c>
      <c r="FG49" s="138">
        <f t="shared" ca="1" si="176"/>
        <v>8.1462225449999703E-2</v>
      </c>
      <c r="FH49" s="138">
        <f t="shared" ca="1" si="129"/>
        <v>8.1462225449999703E-2</v>
      </c>
      <c r="FI49" s="115">
        <f t="shared" si="284"/>
        <v>46.883875732421878</v>
      </c>
      <c r="FJ49" s="115">
        <f t="shared" ca="1" si="211"/>
        <v>46.01522627385458</v>
      </c>
      <c r="FK49" s="115">
        <f t="shared" ca="1" si="212"/>
        <v>0.15961534798940022</v>
      </c>
      <c r="FL49" s="138">
        <f t="shared" ca="1" si="177"/>
        <v>0.14424247593646447</v>
      </c>
      <c r="FM49" s="138">
        <f t="shared" ca="1" si="213"/>
        <v>0.69462809363958145</v>
      </c>
      <c r="FN49" s="115">
        <f t="shared" si="285"/>
        <v>46.883875732421878</v>
      </c>
      <c r="FO49" s="115">
        <f t="shared" ca="1" si="214"/>
        <v>58.2799379778968</v>
      </c>
      <c r="FP49" s="115">
        <f t="shared" ca="1" si="215"/>
        <v>0.20048035406536527</v>
      </c>
      <c r="FQ49" s="138">
        <f t="shared" ca="1" si="178"/>
        <v>0.14803116861503693</v>
      </c>
      <c r="FR49" s="138">
        <f t="shared" ca="1" si="216"/>
        <v>0.71287329052501369</v>
      </c>
      <c r="FS49" s="139">
        <f t="shared" si="217"/>
        <v>5.9809016523580514</v>
      </c>
      <c r="FT49" s="249">
        <f t="shared" si="132"/>
        <v>4.9559648360268929</v>
      </c>
      <c r="FU49" s="139">
        <f t="shared" ca="1" si="218"/>
        <v>0.71893018164608513</v>
      </c>
      <c r="FV49" s="249">
        <f t="shared" ca="1" si="134"/>
        <v>0.52055676776802917</v>
      </c>
      <c r="FW49" s="139">
        <f t="shared" ca="1" si="286"/>
        <v>0.74655459107027489</v>
      </c>
      <c r="FX49" s="249">
        <f t="shared" ca="1" si="136"/>
        <v>1.0709650371666934</v>
      </c>
      <c r="FY49" s="249">
        <f t="shared" si="219"/>
        <v>0.15000000000000002</v>
      </c>
      <c r="FZ49" s="139">
        <f t="shared" si="220"/>
        <v>1050000</v>
      </c>
      <c r="GA49" s="139">
        <f t="shared" si="137"/>
        <v>3.3757716049382713E-2</v>
      </c>
      <c r="GB49" s="139">
        <f t="shared" si="138"/>
        <v>121.52777777777777</v>
      </c>
      <c r="GC49" s="139">
        <f t="shared" si="221"/>
        <v>1050000</v>
      </c>
      <c r="GD49" s="139">
        <f t="shared" si="139"/>
        <v>6.7515432098765427E-2</v>
      </c>
      <c r="GE49" s="139">
        <f t="shared" si="140"/>
        <v>243.05555555555554</v>
      </c>
      <c r="GF49" s="139">
        <f t="shared" si="141"/>
        <v>4.5814043209876545E-2</v>
      </c>
      <c r="GG49" s="139">
        <f t="shared" si="222"/>
        <v>712500</v>
      </c>
      <c r="GH49" s="139">
        <f t="shared" si="142"/>
        <v>164.93055555555554</v>
      </c>
      <c r="GI49" s="137">
        <f t="shared" si="223"/>
        <v>51.489252689751716</v>
      </c>
      <c r="GJ49" s="137">
        <f t="shared" si="143"/>
        <v>0.18536130968310471</v>
      </c>
      <c r="GK49" s="251">
        <f t="shared" si="224"/>
        <v>40.65018718565674</v>
      </c>
      <c r="GL49" s="137">
        <f t="shared" si="164"/>
        <v>0.14634067386836311</v>
      </c>
      <c r="GM49" s="137">
        <f t="shared" ca="1" si="225"/>
        <v>7.7144444610736747</v>
      </c>
      <c r="GN49" s="137">
        <f t="shared" ca="1" si="144"/>
        <v>2.7772000059865007E-2</v>
      </c>
      <c r="GO49" s="137">
        <f t="shared" ca="1" si="145"/>
        <v>9.7651195709792568E-2</v>
      </c>
      <c r="GP49" s="137">
        <f t="shared" ca="1" si="226"/>
        <v>9.9947164410251474</v>
      </c>
      <c r="GQ49" s="137">
        <f t="shared" ca="1" si="146"/>
        <v>3.5980979187690242E-2</v>
      </c>
      <c r="GR49" s="137">
        <f t="shared" ca="1" si="147"/>
        <v>0.1265153979876591</v>
      </c>
      <c r="GS49" s="140">
        <f t="shared" si="227"/>
        <v>8.6166850105522455E-2</v>
      </c>
      <c r="GT49" s="140">
        <f t="shared" si="228"/>
        <v>7.1400585392639451E-2</v>
      </c>
      <c r="GU49" s="140">
        <f t="shared" si="287"/>
        <v>310.20066037988084</v>
      </c>
      <c r="GV49" s="140">
        <f t="shared" si="149"/>
        <v>257.04210741350204</v>
      </c>
      <c r="GW49" s="141">
        <f t="shared" ca="1" si="229"/>
        <v>6.8981796665654477E-3</v>
      </c>
      <c r="GX49" s="141">
        <f t="shared" ca="1" si="230"/>
        <v>4.9947744612538411E-3</v>
      </c>
      <c r="GY49" s="141">
        <f t="shared" ca="1" si="150"/>
        <v>24.833446799635613</v>
      </c>
      <c r="GZ49" s="141">
        <f t="shared" ca="1" si="165"/>
        <v>17.981188060513826</v>
      </c>
      <c r="HA49" s="141">
        <f t="shared" ca="1" si="231"/>
        <v>1.4887395961549827E-2</v>
      </c>
      <c r="HB49" s="141">
        <f t="shared" ca="1" si="232"/>
        <v>1.5752949007204288E-2</v>
      </c>
      <c r="HC49" s="141">
        <f t="shared" ca="1" si="233"/>
        <v>53.594625461579376</v>
      </c>
      <c r="HD49" s="141">
        <f t="shared" ca="1" si="152"/>
        <v>56.710616425935434</v>
      </c>
      <c r="HE49" s="137">
        <f t="shared" si="153"/>
        <v>9.214916779708938</v>
      </c>
      <c r="HF49" s="250">
        <f t="shared" si="154"/>
        <v>8.9630353453397493</v>
      </c>
      <c r="HG49" s="137">
        <v>3.234015127350887</v>
      </c>
      <c r="HH49" s="251">
        <v>4.4672339183082856</v>
      </c>
      <c r="HI49" s="137">
        <f t="shared" ca="1" si="155"/>
        <v>1.3294798531282543</v>
      </c>
      <c r="HJ49" s="251">
        <f t="shared" ca="1" si="156"/>
        <v>1.4972328884181347</v>
      </c>
      <c r="HK49" s="137">
        <f t="shared" ca="1" si="157"/>
        <v>0.66672217876054662</v>
      </c>
      <c r="HL49" s="251">
        <f t="shared" ca="1" si="158"/>
        <v>0.97667612065010545</v>
      </c>
      <c r="HM49" s="137">
        <f t="shared" ca="1" si="159"/>
        <v>0.74739668549355265</v>
      </c>
      <c r="HN49" s="251">
        <f t="shared" ca="1" si="160"/>
        <v>1.0573506273831115</v>
      </c>
      <c r="HO49" s="137">
        <f t="shared" ca="1" si="161"/>
        <v>0.14424247593646447</v>
      </c>
      <c r="HP49" s="251">
        <f t="shared" ca="1" si="162"/>
        <v>0.69462809363958145</v>
      </c>
      <c r="JN49" s="143">
        <f t="shared" si="234"/>
        <v>19.222385161348804</v>
      </c>
      <c r="JO49" s="143">
        <f t="shared" si="235"/>
        <v>3234.0151273508868</v>
      </c>
      <c r="JP49" s="143">
        <f t="shared" si="236"/>
        <v>4007.0705093128563</v>
      </c>
      <c r="JQ49" s="143">
        <f t="shared" si="237"/>
        <v>0.87132129404279923</v>
      </c>
      <c r="JR49" s="143">
        <f t="shared" ca="1" si="238"/>
        <v>1.2326681865066498</v>
      </c>
      <c r="JS49" s="143">
        <f t="shared" si="239"/>
        <v>46.883875732421878</v>
      </c>
      <c r="JT49" s="143">
        <f t="shared" ca="1" si="240"/>
        <v>225.77855108915492</v>
      </c>
      <c r="JU49" s="143">
        <f t="shared" si="256"/>
        <v>0.29075506242941385</v>
      </c>
      <c r="JV49" s="143">
        <f t="shared" si="241"/>
        <v>0.36025682942574355</v>
      </c>
      <c r="JW49" s="143">
        <f t="shared" ca="1" si="242"/>
        <v>0.21041777734615044</v>
      </c>
      <c r="JX49" s="143">
        <f t="shared" ca="1" si="243"/>
        <v>0.29768043290503898</v>
      </c>
      <c r="JY49" s="143">
        <f t="shared" si="244"/>
        <v>0.64525068897904214</v>
      </c>
      <c r="JZ49" s="143">
        <f t="shared" si="245"/>
        <v>0.57310735917368405</v>
      </c>
      <c r="KA49" s="143">
        <f t="shared" si="246"/>
        <v>0.27429722870699424</v>
      </c>
      <c r="KB49" s="143">
        <f t="shared" si="247"/>
        <v>0.33986493342051277</v>
      </c>
      <c r="KC49" s="143">
        <f t="shared" ca="1" si="248"/>
        <v>0.4811612189401468</v>
      </c>
      <c r="KD49" s="143">
        <f t="shared" ca="1" si="249"/>
        <v>0.65232077668423982</v>
      </c>
      <c r="KE49" s="143">
        <f t="shared" ca="1" si="250"/>
        <v>0.65695151225166459</v>
      </c>
      <c r="KF49" s="143">
        <f t="shared" ca="1" si="251"/>
        <v>0.19299319723529704</v>
      </c>
      <c r="KG49" s="142">
        <f t="shared" si="252"/>
        <v>0.14634067386836311</v>
      </c>
      <c r="KH49" s="142">
        <f t="shared" ca="1" si="253"/>
        <v>0.1265153979876591</v>
      </c>
      <c r="KI49" s="142">
        <f t="shared" ca="1" si="254"/>
        <v>388.62873264109584</v>
      </c>
      <c r="KJ49" s="142">
        <f t="shared" ca="1" si="255"/>
        <v>331.73391189995129</v>
      </c>
    </row>
    <row r="50" spans="1:296" x14ac:dyDescent="0.3">
      <c r="A50" s="194">
        <v>41344</v>
      </c>
      <c r="B50" s="196">
        <v>48</v>
      </c>
      <c r="C50" s="177">
        <v>24</v>
      </c>
      <c r="D50" s="166">
        <v>4.2</v>
      </c>
      <c r="E50" s="166">
        <v>50016</v>
      </c>
      <c r="F50" s="166">
        <v>300</v>
      </c>
      <c r="G50" s="166">
        <v>11.7</v>
      </c>
      <c r="H50" s="166">
        <v>0.85</v>
      </c>
      <c r="I50" s="166">
        <v>1.4</v>
      </c>
      <c r="J50" s="166">
        <v>1.33</v>
      </c>
      <c r="K50" s="166">
        <v>0.91</v>
      </c>
      <c r="L50" s="166">
        <v>27189.609412610531</v>
      </c>
      <c r="M50" s="169">
        <v>19</v>
      </c>
      <c r="N50" s="167">
        <v>78793.494999505579</v>
      </c>
      <c r="O50" s="176">
        <v>17</v>
      </c>
      <c r="P50" s="166">
        <v>2</v>
      </c>
      <c r="Q50" s="166">
        <v>5</v>
      </c>
      <c r="R50" s="168">
        <v>403.624267578125</v>
      </c>
      <c r="S50" s="169">
        <v>88.301909454748966</v>
      </c>
      <c r="T50" s="166">
        <v>180</v>
      </c>
      <c r="U50" s="170">
        <v>3.4574465751647949</v>
      </c>
      <c r="V50" s="176">
        <v>17</v>
      </c>
      <c r="W50" s="166">
        <v>1250</v>
      </c>
      <c r="X50" s="169">
        <v>89499.550372153521</v>
      </c>
      <c r="Y50" s="169">
        <v>11879.070061247796</v>
      </c>
      <c r="Z50" s="169">
        <v>355.85708618164062</v>
      </c>
      <c r="AA50" s="169">
        <v>11.957850456237793</v>
      </c>
      <c r="AB50" s="169">
        <v>15.604581832885742</v>
      </c>
      <c r="AC50" s="212">
        <v>37</v>
      </c>
      <c r="AD50" s="212">
        <v>31.497909545898437</v>
      </c>
      <c r="AE50" s="254">
        <v>20</v>
      </c>
      <c r="AF50" s="254">
        <v>10</v>
      </c>
      <c r="AG50" s="217">
        <v>5000000</v>
      </c>
      <c r="AH50" s="218">
        <v>300000</v>
      </c>
      <c r="AI50" s="219">
        <v>5000000</v>
      </c>
      <c r="AJ50" s="225">
        <f t="shared" si="179"/>
        <v>300000</v>
      </c>
      <c r="AK50" s="220">
        <v>2750000</v>
      </c>
      <c r="AL50" s="226">
        <f t="shared" si="180"/>
        <v>300000</v>
      </c>
      <c r="AM50" s="221">
        <v>14.407</v>
      </c>
      <c r="BM50" s="197">
        <f t="shared" si="181"/>
        <v>5.5020904541015625</v>
      </c>
      <c r="BN50" s="196">
        <f t="shared" si="182"/>
        <v>180</v>
      </c>
      <c r="BO50" s="197">
        <f t="shared" si="183"/>
        <v>3.6467313766479492</v>
      </c>
      <c r="BP50" s="196">
        <f t="shared" si="173"/>
        <v>12.687734723405148</v>
      </c>
      <c r="BQ50" s="115">
        <f t="shared" si="184"/>
        <v>659.74492511188635</v>
      </c>
      <c r="BR50" s="184">
        <f t="shared" si="185"/>
        <v>1.0041987768</v>
      </c>
      <c r="BS50" s="115">
        <f t="shared" si="186"/>
        <v>6863.8528613899143</v>
      </c>
      <c r="BT50" s="196">
        <v>900</v>
      </c>
      <c r="BU50" s="115">
        <f t="shared" si="288"/>
        <v>1.1850729520000001</v>
      </c>
      <c r="BV50" s="115">
        <f t="shared" si="269"/>
        <v>1.0738032231468364</v>
      </c>
      <c r="BW50" s="115">
        <f t="shared" si="270"/>
        <v>478.52778031241246</v>
      </c>
      <c r="BX50" s="115">
        <f t="shared" si="187"/>
        <v>1151.1757160429772</v>
      </c>
      <c r="BY50" s="115"/>
      <c r="BZ50" s="115">
        <f t="shared" si="188"/>
        <v>672.64793573056477</v>
      </c>
      <c r="CA50" s="115">
        <f t="shared" si="189"/>
        <v>10901.654032521192</v>
      </c>
      <c r="CB50" s="115">
        <f t="shared" si="190"/>
        <v>3283.0622916460657</v>
      </c>
      <c r="CC50" s="115">
        <f t="shared" si="191"/>
        <v>1132.9003921921055</v>
      </c>
      <c r="CD50" s="129">
        <f t="shared" si="271"/>
        <v>0.2238404900078001</v>
      </c>
      <c r="CE50" s="115">
        <f t="shared" si="192"/>
        <v>20.932769775390625</v>
      </c>
      <c r="CF50" s="115">
        <f t="shared" si="193"/>
        <v>24.528308181874714</v>
      </c>
      <c r="CG50" s="115">
        <f t="shared" si="194"/>
        <v>0.02</v>
      </c>
      <c r="CH50" s="115">
        <f t="shared" si="195"/>
        <v>0.05</v>
      </c>
      <c r="CI50" s="136">
        <v>30</v>
      </c>
      <c r="CJ50" s="115">
        <f t="shared" si="257"/>
        <v>165</v>
      </c>
      <c r="CK50" s="115">
        <f t="shared" si="196"/>
        <v>453</v>
      </c>
      <c r="CL50" s="115">
        <f t="shared" si="197"/>
        <v>676.624267578125</v>
      </c>
      <c r="CM50" s="115">
        <f t="shared" ca="1" si="198"/>
        <v>2816.5993052117487</v>
      </c>
      <c r="CN50" s="115">
        <f t="shared" ca="1" si="258"/>
        <v>125.80344444444444</v>
      </c>
      <c r="CO50" s="115">
        <f t="shared" ca="1" si="259"/>
        <v>690.58718083896258</v>
      </c>
      <c r="CP50" s="115">
        <f t="shared" ca="1" si="260"/>
        <v>2790.6388281929471</v>
      </c>
      <c r="CQ50" s="115">
        <f t="shared" si="272"/>
        <v>1.072449112508886</v>
      </c>
      <c r="CR50" s="115">
        <f t="shared" ca="1" si="199"/>
        <v>569.54029857258433</v>
      </c>
      <c r="CS50" s="115">
        <f t="shared" ca="1" si="200"/>
        <v>28.189121043501466</v>
      </c>
      <c r="CT50" s="115">
        <f t="shared" si="273"/>
        <v>1.1252315478837331</v>
      </c>
      <c r="CU50" s="115">
        <f t="shared" ca="1" si="274"/>
        <v>1.0208882170755949</v>
      </c>
      <c r="CV50" s="115">
        <f t="shared" si="108"/>
        <v>199.64793573056477</v>
      </c>
      <c r="CW50" s="115">
        <f t="shared" si="261"/>
        <v>473</v>
      </c>
      <c r="CX50" s="115">
        <f t="shared" si="262"/>
        <v>438</v>
      </c>
      <c r="CY50" s="115">
        <f t="shared" ca="1" si="275"/>
        <v>444.81087895649853</v>
      </c>
      <c r="CZ50" s="115">
        <f t="shared" ca="1" si="263"/>
        <v>231.81338862162647</v>
      </c>
      <c r="DA50" s="115">
        <v>0.21890000000000001</v>
      </c>
      <c r="DB50" s="115">
        <v>2.7E-2</v>
      </c>
      <c r="DC50" s="115">
        <v>1.06</v>
      </c>
      <c r="DD50" s="138">
        <f t="shared" si="201"/>
        <v>11.867342305123938</v>
      </c>
      <c r="DE50" s="138">
        <f t="shared" si="276"/>
        <v>11.867342305123938</v>
      </c>
      <c r="DF50" s="115">
        <f t="shared" si="264"/>
        <v>676.624267578125</v>
      </c>
      <c r="DG50" s="115">
        <v>672.64793573056477</v>
      </c>
      <c r="DH50" s="115">
        <f t="shared" si="277"/>
        <v>1.1252315478837331</v>
      </c>
      <c r="DI50" s="115">
        <f t="shared" si="112"/>
        <v>1.1241625851525716</v>
      </c>
      <c r="DJ50" s="138">
        <f t="shared" si="202"/>
        <v>2.9015010450817029</v>
      </c>
      <c r="DK50" s="138">
        <f t="shared" si="203"/>
        <v>2.8507900372208139</v>
      </c>
      <c r="DL50" s="115">
        <f t="shared" si="278"/>
        <v>676.624267578125</v>
      </c>
      <c r="DM50" s="115">
        <f t="shared" si="167"/>
        <v>672.64793573056477</v>
      </c>
      <c r="DN50" s="115">
        <f t="shared" si="174"/>
        <v>12.803077766345195</v>
      </c>
      <c r="DO50" s="115">
        <f t="shared" si="114"/>
        <v>1.1252315478837331</v>
      </c>
      <c r="DP50" s="115">
        <f t="shared" si="292"/>
        <v>1.1241625851525716</v>
      </c>
      <c r="DQ50" s="115">
        <v>298.14999999999998</v>
      </c>
      <c r="DR50" s="138">
        <f t="shared" si="116"/>
        <v>1.9323996960244145</v>
      </c>
      <c r="DS50" s="138">
        <f t="shared" si="117"/>
        <v>1.8986261647890619</v>
      </c>
      <c r="DT50" s="115">
        <f t="shared" si="289"/>
        <v>676.624267578125</v>
      </c>
      <c r="DU50" s="139">
        <f t="shared" si="118"/>
        <v>6.4207627236626035</v>
      </c>
      <c r="DV50" s="115">
        <f t="shared" si="279"/>
        <v>1.1252315478837331</v>
      </c>
      <c r="DW50" s="115">
        <v>298.14999999999998</v>
      </c>
      <c r="DX50" s="138">
        <f t="shared" si="204"/>
        <v>0.96910134905728851</v>
      </c>
      <c r="DY50" s="138">
        <f t="shared" si="205"/>
        <v>0.9521638724317516</v>
      </c>
      <c r="DZ50" s="138">
        <f t="shared" si="290"/>
        <v>3.2830622916460657</v>
      </c>
      <c r="EA50" s="138">
        <f t="shared" si="280"/>
        <v>4.0378011711312771</v>
      </c>
      <c r="EB50" s="115">
        <f t="shared" si="291"/>
        <v>24.528308181874714</v>
      </c>
      <c r="EC50" s="115">
        <v>30</v>
      </c>
      <c r="ED50" s="198">
        <f t="shared" ca="1" si="265"/>
        <v>125.80344444444444</v>
      </c>
      <c r="EE50" s="198">
        <v>104.83</v>
      </c>
      <c r="EF50" s="198">
        <f t="shared" ca="1" si="169"/>
        <v>0.42491111111111107</v>
      </c>
      <c r="EG50" s="199">
        <v>0.36720000000000003</v>
      </c>
      <c r="EH50" s="138">
        <f t="shared" ca="1" si="121"/>
        <v>9.2395111763113338E-2</v>
      </c>
      <c r="EI50" s="138">
        <f t="shared" ca="1" si="281"/>
        <v>9.2395111763113338E-2</v>
      </c>
      <c r="EJ50" s="115">
        <f t="shared" si="170"/>
        <v>12.803077766345195</v>
      </c>
      <c r="EK50" s="115">
        <v>435</v>
      </c>
      <c r="EL50" s="115">
        <f t="shared" ca="1" si="171"/>
        <v>444.81087895649853</v>
      </c>
      <c r="EM50" s="115">
        <f t="shared" ca="1" si="123"/>
        <v>1.0626109547309988</v>
      </c>
      <c r="EN50" s="115">
        <f t="shared" ca="1" si="124"/>
        <v>1.0656391236613922</v>
      </c>
      <c r="EO50" s="115">
        <v>298.14999999999998</v>
      </c>
      <c r="EP50" s="138">
        <f t="shared" ca="1" si="125"/>
        <v>0.32956059289893941</v>
      </c>
      <c r="EQ50" s="138">
        <f t="shared" ca="1" si="126"/>
        <v>0.37362931266476668</v>
      </c>
      <c r="ER50" s="115">
        <f t="shared" si="282"/>
        <v>0.96040182643466532</v>
      </c>
      <c r="ES50" s="115">
        <f t="shared" si="172"/>
        <v>453</v>
      </c>
      <c r="ET50" s="115">
        <f t="shared" ca="1" si="206"/>
        <v>2816.5993052117487</v>
      </c>
      <c r="EU50" s="115">
        <f t="shared" ca="1" si="207"/>
        <v>6.5855309782608691</v>
      </c>
      <c r="EV50" s="138">
        <f t="shared" ca="1" si="175"/>
        <v>0.82380764331918732</v>
      </c>
      <c r="EW50" s="138">
        <f t="shared" ca="1" si="208"/>
        <v>1.0739579966992199</v>
      </c>
      <c r="EX50" s="115">
        <v>21.47</v>
      </c>
      <c r="EY50" s="115">
        <f t="shared" ca="1" si="209"/>
        <v>131.90669566175671</v>
      </c>
      <c r="EZ50" s="115">
        <f t="shared" ca="1" si="210"/>
        <v>0.44579862755669486</v>
      </c>
      <c r="FA50" s="138">
        <f t="shared" ca="1" si="127"/>
        <v>7.820479395248342E-2</v>
      </c>
      <c r="FB50" s="138">
        <f t="shared" ca="1" si="283"/>
        <v>7.820479395248342E-2</v>
      </c>
      <c r="FC50" s="115">
        <f t="shared" si="266"/>
        <v>21.47</v>
      </c>
      <c r="FD50" s="115">
        <v>37</v>
      </c>
      <c r="FE50" s="115">
        <f t="shared" ca="1" si="267"/>
        <v>154.93355555555553</v>
      </c>
      <c r="FF50" s="115">
        <f t="shared" ca="1" si="268"/>
        <v>0.52252222222222222</v>
      </c>
      <c r="FG50" s="138">
        <f t="shared" ca="1" si="176"/>
        <v>8.1462225449999703E-2</v>
      </c>
      <c r="FH50" s="138">
        <f t="shared" ca="1" si="129"/>
        <v>8.1462225449999703E-2</v>
      </c>
      <c r="FI50" s="115">
        <f t="shared" si="284"/>
        <v>99.639984130859389</v>
      </c>
      <c r="FJ50" s="115">
        <f t="shared" ca="1" si="211"/>
        <v>50.129377253850308</v>
      </c>
      <c r="FK50" s="115">
        <f t="shared" ca="1" si="212"/>
        <v>0.17332335913976032</v>
      </c>
      <c r="FL50" s="138">
        <f t="shared" ca="1" si="177"/>
        <v>0.30925239219858247</v>
      </c>
      <c r="FM50" s="138">
        <f t="shared" ca="1" si="213"/>
        <v>0.61660778574086783</v>
      </c>
      <c r="FN50" s="115">
        <f t="shared" si="285"/>
        <v>99.639984130859389</v>
      </c>
      <c r="FO50" s="115">
        <f t="shared" ca="1" si="214"/>
        <v>65.391353257497158</v>
      </c>
      <c r="FP50" s="115">
        <f t="shared" ca="1" si="215"/>
        <v>0.22417500222524006</v>
      </c>
      <c r="FQ50" s="138">
        <f t="shared" ca="1" si="178"/>
        <v>0.31927205127153424</v>
      </c>
      <c r="FR50" s="138">
        <f t="shared" ca="1" si="216"/>
        <v>0.63658564185680022</v>
      </c>
      <c r="FS50" s="139">
        <f t="shared" si="217"/>
        <v>5.6827789683961685</v>
      </c>
      <c r="FT50" s="249">
        <f t="shared" si="132"/>
        <v>4.9787510967718456</v>
      </c>
      <c r="FU50" s="139">
        <f t="shared" ca="1" si="218"/>
        <v>0.87142657156940118</v>
      </c>
      <c r="FV50" s="249">
        <f t="shared" ca="1" si="134"/>
        <v>0.5434339671881887</v>
      </c>
      <c r="FW50" s="139">
        <f t="shared" ca="1" si="286"/>
        <v>0.83056987089462264</v>
      </c>
      <c r="FX50" s="249">
        <f t="shared" ca="1" si="136"/>
        <v>1.0906784213176361</v>
      </c>
      <c r="FY50" s="249">
        <f t="shared" si="219"/>
        <v>0.15000000000000002</v>
      </c>
      <c r="FZ50" s="139">
        <f t="shared" si="220"/>
        <v>1050000</v>
      </c>
      <c r="GA50" s="139">
        <f t="shared" si="137"/>
        <v>3.3757716049382713E-2</v>
      </c>
      <c r="GB50" s="139">
        <f t="shared" si="138"/>
        <v>121.52777777777777</v>
      </c>
      <c r="GC50" s="139">
        <f t="shared" si="221"/>
        <v>1050000</v>
      </c>
      <c r="GD50" s="139">
        <f t="shared" si="139"/>
        <v>6.7515432098765427E-2</v>
      </c>
      <c r="GE50" s="139">
        <f t="shared" si="140"/>
        <v>243.05555555555554</v>
      </c>
      <c r="GF50" s="139">
        <f t="shared" si="141"/>
        <v>4.5814043209876545E-2</v>
      </c>
      <c r="GG50" s="139">
        <f t="shared" si="222"/>
        <v>712500</v>
      </c>
      <c r="GH50" s="139">
        <f t="shared" si="142"/>
        <v>164.93055555555554</v>
      </c>
      <c r="GI50" s="137">
        <f t="shared" si="223"/>
        <v>49.627017890398257</v>
      </c>
      <c r="GJ50" s="137">
        <f t="shared" si="143"/>
        <v>0.17865726440543231</v>
      </c>
      <c r="GK50" s="251">
        <f t="shared" si="224"/>
        <v>40.531759152274041</v>
      </c>
      <c r="GL50" s="137">
        <f t="shared" si="164"/>
        <v>0.1459143329481854</v>
      </c>
      <c r="GM50" s="137">
        <f t="shared" ca="1" si="225"/>
        <v>9.3253973634006897</v>
      </c>
      <c r="GN50" s="137">
        <f t="shared" ca="1" si="144"/>
        <v>3.3571430508242218E-2</v>
      </c>
      <c r="GO50" s="137">
        <f t="shared" ca="1" si="145"/>
        <v>0.1180430046000078</v>
      </c>
      <c r="GP50" s="137">
        <f t="shared" ca="1" si="226"/>
        <v>9.9734127079158981</v>
      </c>
      <c r="GQ50" s="137">
        <f t="shared" ca="1" si="146"/>
        <v>3.5904285748496946E-2</v>
      </c>
      <c r="GR50" s="137">
        <f t="shared" ca="1" si="147"/>
        <v>0.12624573047994708</v>
      </c>
      <c r="GS50" s="140">
        <f t="shared" si="227"/>
        <v>8.1871796597683594E-2</v>
      </c>
      <c r="GT50" s="140">
        <f t="shared" si="228"/>
        <v>7.1728867051191983E-2</v>
      </c>
      <c r="GU50" s="140">
        <f t="shared" si="287"/>
        <v>294.73846775166095</v>
      </c>
      <c r="GV50" s="140">
        <f t="shared" si="149"/>
        <v>258.22392138429115</v>
      </c>
      <c r="GW50" s="141">
        <f t="shared" ca="1" si="229"/>
        <v>8.3613919826558414E-3</v>
      </c>
      <c r="GX50" s="141">
        <f t="shared" ca="1" si="230"/>
        <v>5.2142826080766357E-3</v>
      </c>
      <c r="GY50" s="141">
        <f t="shared" ca="1" si="150"/>
        <v>30.101011137561031</v>
      </c>
      <c r="GZ50" s="141">
        <f t="shared" ca="1" si="165"/>
        <v>18.771417389075889</v>
      </c>
      <c r="HA50" s="141">
        <f t="shared" ca="1" si="231"/>
        <v>1.7464312355873809E-2</v>
      </c>
      <c r="HB50" s="141">
        <f t="shared" ca="1" si="232"/>
        <v>1.6259055930881047E-2</v>
      </c>
      <c r="HC50" s="141">
        <f t="shared" ca="1" si="233"/>
        <v>62.871524481145713</v>
      </c>
      <c r="HD50" s="141">
        <f t="shared" ca="1" si="152"/>
        <v>58.53260135117177</v>
      </c>
      <c r="HE50" s="137">
        <f t="shared" si="153"/>
        <v>8.9658412600422341</v>
      </c>
      <c r="HF50" s="250">
        <f t="shared" si="154"/>
        <v>9.0165522679031227</v>
      </c>
      <c r="HG50" s="137">
        <v>3.2830622916460657</v>
      </c>
      <c r="HH50" s="251">
        <v>3.9472137571836559</v>
      </c>
      <c r="HI50" s="137">
        <f t="shared" ca="1" si="155"/>
        <v>1.5587703833596478</v>
      </c>
      <c r="HJ50" s="251">
        <f t="shared" ca="1" si="156"/>
        <v>1.5249968521242951</v>
      </c>
      <c r="HK50" s="137">
        <f t="shared" ca="1" si="157"/>
        <v>0.731412531556074</v>
      </c>
      <c r="HL50" s="251">
        <f t="shared" ca="1" si="158"/>
        <v>0.98156288493610655</v>
      </c>
      <c r="HM50" s="137">
        <f t="shared" ca="1" si="159"/>
        <v>0.82380764331918732</v>
      </c>
      <c r="HN50" s="251">
        <f t="shared" ca="1" si="160"/>
        <v>1.0739579966992199</v>
      </c>
      <c r="HO50" s="137">
        <f t="shared" ca="1" si="161"/>
        <v>0.30925239219858247</v>
      </c>
      <c r="HP50" s="251">
        <f t="shared" ca="1" si="162"/>
        <v>0.61660778574086783</v>
      </c>
      <c r="JN50" s="143">
        <f t="shared" si="234"/>
        <v>19.223840490007799</v>
      </c>
      <c r="JO50" s="143">
        <f t="shared" si="235"/>
        <v>3283.0622916460657</v>
      </c>
      <c r="JP50" s="143">
        <f t="shared" si="236"/>
        <v>4037.8011711312774</v>
      </c>
      <c r="JQ50" s="143">
        <f t="shared" si="237"/>
        <v>0.96040182643466532</v>
      </c>
      <c r="JR50" s="143">
        <f t="shared" ca="1" si="238"/>
        <v>1.2520291962676211</v>
      </c>
      <c r="JS50" s="143">
        <f t="shared" si="239"/>
        <v>99.639984130859389</v>
      </c>
      <c r="JT50" s="143">
        <f t="shared" ca="1" si="240"/>
        <v>198.66876226694563</v>
      </c>
      <c r="JU50" s="143">
        <f t="shared" si="256"/>
        <v>0.2932456096460837</v>
      </c>
      <c r="JV50" s="143">
        <f t="shared" si="241"/>
        <v>0.36065945780894493</v>
      </c>
      <c r="JW50" s="143">
        <f t="shared" ca="1" si="242"/>
        <v>0.2304228223913474</v>
      </c>
      <c r="JX50" s="143">
        <f t="shared" ca="1" si="243"/>
        <v>0.30039103756325625</v>
      </c>
      <c r="JY50" s="143">
        <f t="shared" si="244"/>
        <v>0.69165037303068544</v>
      </c>
      <c r="JZ50" s="143">
        <f t="shared" si="245"/>
        <v>1.9054323039836749</v>
      </c>
      <c r="KA50" s="143">
        <f t="shared" si="246"/>
        <v>0.27664680155290916</v>
      </c>
      <c r="KB50" s="143">
        <f t="shared" si="247"/>
        <v>0.34024477151787258</v>
      </c>
      <c r="KC50" s="143">
        <f t="shared" ca="1" si="248"/>
        <v>0.4563231144846962</v>
      </c>
      <c r="KD50" s="143">
        <f t="shared" ca="1" si="249"/>
        <v>0.6436491220088788</v>
      </c>
      <c r="KE50" s="143">
        <f t="shared" ca="1" si="250"/>
        <v>0.57414515990010295</v>
      </c>
      <c r="KF50" s="143">
        <f t="shared" ca="1" si="251"/>
        <v>0.37539393413804667</v>
      </c>
      <c r="KG50" s="142">
        <f t="shared" si="252"/>
        <v>0.1459143329481854</v>
      </c>
      <c r="KH50" s="142">
        <f t="shared" ca="1" si="253"/>
        <v>0.12624573047994708</v>
      </c>
      <c r="KI50" s="142">
        <f t="shared" ca="1" si="254"/>
        <v>387.71100337036773</v>
      </c>
      <c r="KJ50" s="142">
        <f t="shared" ca="1" si="255"/>
        <v>335.52794012453882</v>
      </c>
    </row>
    <row r="51" spans="1:296" x14ac:dyDescent="0.3">
      <c r="A51" s="194">
        <v>41345</v>
      </c>
      <c r="B51" s="196">
        <v>49</v>
      </c>
      <c r="C51" s="177">
        <v>24</v>
      </c>
      <c r="D51" s="166">
        <v>4.2</v>
      </c>
      <c r="E51" s="166">
        <v>50016</v>
      </c>
      <c r="F51" s="166">
        <v>300</v>
      </c>
      <c r="G51" s="166">
        <v>11.7</v>
      </c>
      <c r="H51" s="166">
        <v>0.85</v>
      </c>
      <c r="I51" s="166">
        <v>1.4</v>
      </c>
      <c r="J51" s="166">
        <v>1.33</v>
      </c>
      <c r="K51" s="166">
        <v>0.91</v>
      </c>
      <c r="L51" s="166">
        <v>25934.824236936867</v>
      </c>
      <c r="M51" s="169">
        <v>19</v>
      </c>
      <c r="N51" s="167">
        <v>68890.355554923415</v>
      </c>
      <c r="O51" s="176">
        <v>17</v>
      </c>
      <c r="P51" s="166">
        <v>2</v>
      </c>
      <c r="Q51" s="166">
        <v>5</v>
      </c>
      <c r="R51" s="168">
        <v>389.16650390625</v>
      </c>
      <c r="S51" s="169">
        <v>145.20641913297004</v>
      </c>
      <c r="T51" s="166">
        <v>180</v>
      </c>
      <c r="U51" s="170">
        <v>6.1266598701477051</v>
      </c>
      <c r="V51" s="176">
        <v>17</v>
      </c>
      <c r="W51" s="166">
        <v>1250</v>
      </c>
      <c r="X51" s="169">
        <v>87161.261119455099</v>
      </c>
      <c r="Y51" s="169">
        <v>12232.166837222874</v>
      </c>
      <c r="Z51" s="169">
        <v>371.83209228515625</v>
      </c>
      <c r="AA51" s="169">
        <v>10.080507278442383</v>
      </c>
      <c r="AB51" s="169">
        <v>13.699551582336426</v>
      </c>
      <c r="AC51" s="212">
        <v>37</v>
      </c>
      <c r="AD51" s="212">
        <v>29.154031753540039</v>
      </c>
      <c r="AE51" s="254">
        <v>20</v>
      </c>
      <c r="AF51" s="254">
        <v>10</v>
      </c>
      <c r="AG51" s="217">
        <v>5000000</v>
      </c>
      <c r="AH51" s="218">
        <v>300000</v>
      </c>
      <c r="AI51" s="219">
        <v>5000000</v>
      </c>
      <c r="AJ51" s="225">
        <f t="shared" si="179"/>
        <v>300000</v>
      </c>
      <c r="AK51" s="220">
        <v>2750000</v>
      </c>
      <c r="AL51" s="226">
        <f t="shared" si="180"/>
        <v>300000</v>
      </c>
      <c r="AM51" s="221">
        <v>14.407</v>
      </c>
      <c r="BM51" s="197">
        <f t="shared" si="181"/>
        <v>7.8459682464599609</v>
      </c>
      <c r="BN51" s="196">
        <f t="shared" si="182"/>
        <v>180</v>
      </c>
      <c r="BO51" s="197">
        <f t="shared" si="183"/>
        <v>3.619044303894043</v>
      </c>
      <c r="BP51" s="196">
        <f t="shared" si="173"/>
        <v>12.680916849045575</v>
      </c>
      <c r="BQ51" s="115">
        <f t="shared" si="184"/>
        <v>659.74492511188635</v>
      </c>
      <c r="BR51" s="184">
        <f t="shared" si="185"/>
        <v>1.0041987768</v>
      </c>
      <c r="BS51" s="115">
        <f t="shared" si="186"/>
        <v>6863.8528613899143</v>
      </c>
      <c r="BT51" s="196">
        <v>900</v>
      </c>
      <c r="BU51" s="115">
        <f t="shared" si="288"/>
        <v>1.1850729520000001</v>
      </c>
      <c r="BV51" s="115">
        <f t="shared" si="269"/>
        <v>1.0715229376536655</v>
      </c>
      <c r="BW51" s="115">
        <f t="shared" si="270"/>
        <v>469.20509141881871</v>
      </c>
      <c r="BX51" s="115">
        <f t="shared" si="187"/>
        <v>1128.7484850564665</v>
      </c>
      <c r="BY51" s="115"/>
      <c r="BZ51" s="115">
        <f t="shared" si="188"/>
        <v>659.5433936376478</v>
      </c>
      <c r="CA51" s="115">
        <f t="shared" si="189"/>
        <v>10683.523786185835</v>
      </c>
      <c r="CB51" s="115">
        <f t="shared" si="190"/>
        <v>2870.4314814551421</v>
      </c>
      <c r="CC51" s="115">
        <f t="shared" si="191"/>
        <v>1080.6176765390362</v>
      </c>
      <c r="CD51" s="129">
        <f t="shared" si="271"/>
        <v>0.21351037734178113</v>
      </c>
      <c r="CE51" s="115">
        <f t="shared" si="192"/>
        <v>21.872476016773899</v>
      </c>
      <c r="CF51" s="115">
        <f t="shared" si="193"/>
        <v>40.335116425825014</v>
      </c>
      <c r="CG51" s="115">
        <f t="shared" si="194"/>
        <v>0.02</v>
      </c>
      <c r="CH51" s="115">
        <f t="shared" si="195"/>
        <v>0.05</v>
      </c>
      <c r="CI51" s="136">
        <v>30</v>
      </c>
      <c r="CJ51" s="115">
        <f t="shared" si="257"/>
        <v>165</v>
      </c>
      <c r="CK51" s="115">
        <f t="shared" si="196"/>
        <v>453</v>
      </c>
      <c r="CL51" s="115">
        <f t="shared" si="197"/>
        <v>662.16650390625</v>
      </c>
      <c r="CM51" s="115">
        <f t="shared" ca="1" si="198"/>
        <v>2816.5993052117487</v>
      </c>
      <c r="CN51" s="115">
        <f t="shared" ca="1" si="258"/>
        <v>125.80344444444444</v>
      </c>
      <c r="CO51" s="115">
        <f t="shared" ca="1" si="259"/>
        <v>690.58718083896258</v>
      </c>
      <c r="CP51" s="115">
        <f t="shared" ca="1" si="260"/>
        <v>2790.6388281929471</v>
      </c>
      <c r="CQ51" s="115">
        <f t="shared" si="272"/>
        <v>1.072449112508886</v>
      </c>
      <c r="CR51" s="115">
        <f t="shared" ca="1" si="199"/>
        <v>1009.2360404817759</v>
      </c>
      <c r="CS51" s="115">
        <f t="shared" ca="1" si="200"/>
        <v>49.978505108458883</v>
      </c>
      <c r="CT51" s="115">
        <f t="shared" si="273"/>
        <v>1.1213486367673298</v>
      </c>
      <c r="CU51" s="115">
        <f t="shared" ca="1" si="274"/>
        <v>1.022188601401864</v>
      </c>
      <c r="CV51" s="115">
        <f t="shared" si="108"/>
        <v>186.5433936376478</v>
      </c>
      <c r="CW51" s="115">
        <f t="shared" si="261"/>
        <v>473</v>
      </c>
      <c r="CX51" s="115">
        <f t="shared" si="262"/>
        <v>438</v>
      </c>
      <c r="CY51" s="115">
        <f t="shared" ca="1" si="275"/>
        <v>423.02149489154112</v>
      </c>
      <c r="CZ51" s="115">
        <f t="shared" ca="1" si="263"/>
        <v>239.14500901470888</v>
      </c>
      <c r="DA51" s="115">
        <v>0.21890000000000001</v>
      </c>
      <c r="DB51" s="115">
        <v>2.7E-2</v>
      </c>
      <c r="DC51" s="115">
        <v>1.06</v>
      </c>
      <c r="DD51" s="138">
        <f t="shared" si="201"/>
        <v>11.319671135114117</v>
      </c>
      <c r="DE51" s="138">
        <f t="shared" si="276"/>
        <v>11.319671135114117</v>
      </c>
      <c r="DF51" s="115">
        <f t="shared" si="264"/>
        <v>662.16650390625</v>
      </c>
      <c r="DG51" s="115">
        <v>659.5433936376478</v>
      </c>
      <c r="DH51" s="115">
        <f t="shared" si="277"/>
        <v>1.1213486367673298</v>
      </c>
      <c r="DI51" s="115">
        <f t="shared" si="112"/>
        <v>1.120645342202671</v>
      </c>
      <c r="DJ51" s="138">
        <f t="shared" si="202"/>
        <v>2.7171867698212111</v>
      </c>
      <c r="DK51" s="138">
        <f t="shared" si="203"/>
        <v>2.6844842555124111</v>
      </c>
      <c r="DL51" s="115">
        <f t="shared" si="278"/>
        <v>662.16650390625</v>
      </c>
      <c r="DM51" s="115">
        <f t="shared" si="167"/>
        <v>659.5433936376478</v>
      </c>
      <c r="DN51" s="115">
        <f t="shared" si="174"/>
        <v>12.796197911309626</v>
      </c>
      <c r="DO51" s="115">
        <f t="shared" si="114"/>
        <v>1.1213486367673298</v>
      </c>
      <c r="DP51" s="115">
        <f t="shared" si="292"/>
        <v>1.120645342202671</v>
      </c>
      <c r="DQ51" s="115">
        <v>298.14999999999998</v>
      </c>
      <c r="DR51" s="138">
        <f t="shared" si="116"/>
        <v>1.8096463887009266</v>
      </c>
      <c r="DS51" s="138">
        <f t="shared" si="117"/>
        <v>1.787866514171266</v>
      </c>
      <c r="DT51" s="115">
        <f t="shared" si="289"/>
        <v>662.16650390625</v>
      </c>
      <c r="DU51" s="139">
        <f t="shared" si="118"/>
        <v>6.4173124660321541</v>
      </c>
      <c r="DV51" s="115">
        <f t="shared" si="279"/>
        <v>1.1213486367673298</v>
      </c>
      <c r="DW51" s="115">
        <v>298.14999999999998</v>
      </c>
      <c r="DX51" s="138">
        <f t="shared" si="204"/>
        <v>0.90754038112028435</v>
      </c>
      <c r="DY51" s="138">
        <f t="shared" si="205"/>
        <v>0.89661774134114514</v>
      </c>
      <c r="DZ51" s="138">
        <f t="shared" si="290"/>
        <v>2.8704314814551424</v>
      </c>
      <c r="EA51" s="138">
        <f t="shared" si="280"/>
        <v>3.8196709247959206</v>
      </c>
      <c r="EB51" s="115">
        <f t="shared" si="291"/>
        <v>40.335116425825014</v>
      </c>
      <c r="EC51" s="115">
        <v>30</v>
      </c>
      <c r="ED51" s="198">
        <f t="shared" ca="1" si="265"/>
        <v>125.80344444444444</v>
      </c>
      <c r="EE51" s="198">
        <v>104.83</v>
      </c>
      <c r="EF51" s="198">
        <f t="shared" ca="1" si="169"/>
        <v>0.42491111111111107</v>
      </c>
      <c r="EG51" s="199">
        <v>0.36720000000000003</v>
      </c>
      <c r="EH51" s="138">
        <f t="shared" ca="1" si="121"/>
        <v>0.15193740891172428</v>
      </c>
      <c r="EI51" s="138">
        <f t="shared" ca="1" si="281"/>
        <v>0.15193740891172428</v>
      </c>
      <c r="EJ51" s="115">
        <f t="shared" si="170"/>
        <v>12.796197911309626</v>
      </c>
      <c r="EK51" s="115">
        <v>435</v>
      </c>
      <c r="EL51" s="115">
        <f t="shared" ca="1" si="171"/>
        <v>423.02149489154112</v>
      </c>
      <c r="EM51" s="115">
        <f t="shared" ca="1" si="123"/>
        <v>1.0641182543071619</v>
      </c>
      <c r="EN51" s="115">
        <f t="shared" ca="1" si="124"/>
        <v>1.0604918463178765</v>
      </c>
      <c r="EO51" s="115">
        <v>298.14999999999998</v>
      </c>
      <c r="EP51" s="138">
        <f t="shared" ca="1" si="125"/>
        <v>0.32985072653070885</v>
      </c>
      <c r="EQ51" s="138">
        <f t="shared" ca="1" si="126"/>
        <v>0.27915104503492449</v>
      </c>
      <c r="ER51" s="115">
        <f t="shared" si="282"/>
        <v>1.7018499639299181</v>
      </c>
      <c r="ES51" s="115">
        <f t="shared" si="172"/>
        <v>453</v>
      </c>
      <c r="ET51" s="115">
        <f t="shared" ca="1" si="206"/>
        <v>2816.5993052117487</v>
      </c>
      <c r="EU51" s="115">
        <f t="shared" ca="1" si="207"/>
        <v>6.5855309782608691</v>
      </c>
      <c r="EV51" s="138">
        <f t="shared" ca="1" si="175"/>
        <v>1.4598025216930648</v>
      </c>
      <c r="EW51" s="138">
        <f t="shared" ca="1" si="208"/>
        <v>0.999465183001921</v>
      </c>
      <c r="EX51" s="115">
        <v>21.47</v>
      </c>
      <c r="EY51" s="115">
        <f t="shared" ca="1" si="209"/>
        <v>122.097306669871</v>
      </c>
      <c r="EZ51" s="115">
        <f t="shared" ca="1" si="210"/>
        <v>0.41311455389658608</v>
      </c>
      <c r="FA51" s="138">
        <f t="shared" ca="1" si="127"/>
        <v>7.6817135677715184E-2</v>
      </c>
      <c r="FB51" s="138">
        <f t="shared" ca="1" si="283"/>
        <v>7.6817135677715184E-2</v>
      </c>
      <c r="FC51" s="115">
        <f t="shared" si="266"/>
        <v>21.47</v>
      </c>
      <c r="FD51" s="115">
        <v>37</v>
      </c>
      <c r="FE51" s="115">
        <f t="shared" ca="1" si="267"/>
        <v>154.93355555555553</v>
      </c>
      <c r="FF51" s="115">
        <f t="shared" ca="1" si="268"/>
        <v>0.52252222222222222</v>
      </c>
      <c r="FG51" s="138">
        <f t="shared" ca="1" si="176"/>
        <v>8.1462225449999703E-2</v>
      </c>
      <c r="FH51" s="138">
        <f t="shared" ca="1" si="129"/>
        <v>8.1462225449999703E-2</v>
      </c>
      <c r="FI51" s="115">
        <f t="shared" si="284"/>
        <v>104.11298583984376</v>
      </c>
      <c r="FJ51" s="115">
        <f t="shared" ca="1" si="211"/>
        <v>42.272487461090094</v>
      </c>
      <c r="FK51" s="115">
        <f t="shared" ca="1" si="212"/>
        <v>0.14714485149383547</v>
      </c>
      <c r="FL51" s="138">
        <f t="shared" ca="1" si="177"/>
        <v>0.31774554364597934</v>
      </c>
      <c r="FM51" s="138">
        <f t="shared" ca="1" si="213"/>
        <v>0.51923656785904992</v>
      </c>
      <c r="FN51" s="115">
        <f t="shared" si="285"/>
        <v>104.11298583984376</v>
      </c>
      <c r="FO51" s="115">
        <f t="shared" ca="1" si="214"/>
        <v>57.418589988920431</v>
      </c>
      <c r="FP51" s="115">
        <f t="shared" ca="1" si="215"/>
        <v>0.19761041373146904</v>
      </c>
      <c r="FQ51" s="138">
        <f t="shared" ca="1" si="178"/>
        <v>0.32813551433914767</v>
      </c>
      <c r="FR51" s="138">
        <f t="shared" ca="1" si="216"/>
        <v>0.53621509936250855</v>
      </c>
      <c r="FS51" s="139">
        <f t="shared" si="217"/>
        <v>5.7320528838377633</v>
      </c>
      <c r="FT51" s="249">
        <f t="shared" si="132"/>
        <v>4.815515954805786</v>
      </c>
      <c r="FU51" s="139">
        <f t="shared" ca="1" si="218"/>
        <v>0.1719305493888772</v>
      </c>
      <c r="FV51" s="249">
        <f t="shared" ca="1" si="134"/>
        <v>0.66118769504614483</v>
      </c>
      <c r="FW51" s="139">
        <f t="shared" ca="1" si="286"/>
        <v>1.4655474026139488</v>
      </c>
      <c r="FX51" s="249">
        <f t="shared" ca="1" si="136"/>
        <v>1.0117986247330952</v>
      </c>
      <c r="FY51" s="249">
        <f t="shared" si="219"/>
        <v>0.15000000000000002</v>
      </c>
      <c r="FZ51" s="139">
        <f t="shared" si="220"/>
        <v>1050000</v>
      </c>
      <c r="GA51" s="139">
        <f t="shared" si="137"/>
        <v>3.3757716049382713E-2</v>
      </c>
      <c r="GB51" s="139">
        <f t="shared" si="138"/>
        <v>121.52777777777777</v>
      </c>
      <c r="GC51" s="139">
        <f t="shared" si="221"/>
        <v>1050000</v>
      </c>
      <c r="GD51" s="139">
        <f t="shared" si="139"/>
        <v>6.7515432098765427E-2</v>
      </c>
      <c r="GE51" s="139">
        <f t="shared" si="140"/>
        <v>243.05555555555554</v>
      </c>
      <c r="GF51" s="139">
        <f t="shared" si="141"/>
        <v>4.5814043209876545E-2</v>
      </c>
      <c r="GG51" s="139">
        <f t="shared" si="222"/>
        <v>712500</v>
      </c>
      <c r="GH51" s="139">
        <f t="shared" si="142"/>
        <v>164.93055555555554</v>
      </c>
      <c r="GI51" s="137">
        <f t="shared" si="223"/>
        <v>54.937283582263404</v>
      </c>
      <c r="GJ51" s="137">
        <f t="shared" si="143"/>
        <v>0.19777422089614669</v>
      </c>
      <c r="GK51" s="251">
        <f t="shared" si="224"/>
        <v>41.407978995534805</v>
      </c>
      <c r="GL51" s="137">
        <f t="shared" si="164"/>
        <v>0.1490687243839241</v>
      </c>
      <c r="GM51" s="137">
        <f t="shared" ca="1" si="225"/>
        <v>9.0083067021611587</v>
      </c>
      <c r="GN51" s="137">
        <f t="shared" ca="1" si="144"/>
        <v>3.2429904127779914E-2</v>
      </c>
      <c r="GO51" s="137">
        <f t="shared" ca="1" si="145"/>
        <v>0.11402919876153275</v>
      </c>
      <c r="GP51" s="137">
        <f t="shared" ca="1" si="226"/>
        <v>9.4834311775606999</v>
      </c>
      <c r="GQ51" s="137">
        <f t="shared" ca="1" si="146"/>
        <v>3.4140352239218248E-2</v>
      </c>
      <c r="GR51" s="137">
        <f t="shared" ca="1" si="147"/>
        <v>0.12004343262734968</v>
      </c>
      <c r="GS51" s="140">
        <f t="shared" si="227"/>
        <v>8.2581685897450671E-2</v>
      </c>
      <c r="GT51" s="140">
        <f t="shared" si="228"/>
        <v>6.9377138360886964E-2</v>
      </c>
      <c r="GU51" s="140">
        <f t="shared" si="287"/>
        <v>297.2940692308224</v>
      </c>
      <c r="GV51" s="140">
        <f t="shared" si="149"/>
        <v>249.75769809919308</v>
      </c>
      <c r="GW51" s="141">
        <f t="shared" ca="1" si="229"/>
        <v>1.6496842810803387E-3</v>
      </c>
      <c r="GX51" s="141">
        <f t="shared" ca="1" si="230"/>
        <v>6.3441369276048517E-3</v>
      </c>
      <c r="GY51" s="141">
        <f t="shared" ca="1" si="150"/>
        <v>5.9388634118892192</v>
      </c>
      <c r="GZ51" s="141">
        <f t="shared" ca="1" si="165"/>
        <v>22.838892939377466</v>
      </c>
      <c r="HA51" s="141">
        <f t="shared" ca="1" si="231"/>
        <v>1.5910596068777157E-2</v>
      </c>
      <c r="HB51" s="141">
        <f t="shared" ca="1" si="232"/>
        <v>1.7282050669889498E-2</v>
      </c>
      <c r="HC51" s="141">
        <f t="shared" ca="1" si="233"/>
        <v>57.278145847597763</v>
      </c>
      <c r="HD51" s="141">
        <f t="shared" ca="1" si="152"/>
        <v>62.215382411602192</v>
      </c>
      <c r="HE51" s="137">
        <f t="shared" si="153"/>
        <v>8.6024843652929057</v>
      </c>
      <c r="HF51" s="250">
        <f t="shared" si="154"/>
        <v>8.6351868796017062</v>
      </c>
      <c r="HG51" s="137">
        <v>2.8704314814551424</v>
      </c>
      <c r="HH51" s="251">
        <v>3.759944247782125</v>
      </c>
      <c r="HI51" s="137">
        <f t="shared" ca="1" si="155"/>
        <v>1.530495343666002</v>
      </c>
      <c r="HJ51" s="251">
        <f t="shared" ca="1" si="156"/>
        <v>1.5087154691363414</v>
      </c>
      <c r="HK51" s="137">
        <f t="shared" ca="1" si="157"/>
        <v>1.3078651127813405</v>
      </c>
      <c r="HL51" s="251">
        <f t="shared" ca="1" si="158"/>
        <v>0.84752777409019675</v>
      </c>
      <c r="HM51" s="137">
        <f t="shared" ca="1" si="159"/>
        <v>1.4598025216930648</v>
      </c>
      <c r="HN51" s="251">
        <f t="shared" ca="1" si="160"/>
        <v>0.999465183001921</v>
      </c>
      <c r="HO51" s="137">
        <f t="shared" ca="1" si="161"/>
        <v>0.31774554364597934</v>
      </c>
      <c r="HP51" s="251">
        <f t="shared" ca="1" si="162"/>
        <v>0.51923656785904992</v>
      </c>
      <c r="JN51" s="143">
        <f t="shared" si="234"/>
        <v>19.21351037734178</v>
      </c>
      <c r="JO51" s="143">
        <f t="shared" si="235"/>
        <v>2870.4314814551421</v>
      </c>
      <c r="JP51" s="143">
        <f t="shared" si="236"/>
        <v>3819.6709247959207</v>
      </c>
      <c r="JQ51" s="143">
        <f t="shared" si="237"/>
        <v>1.7018499639299181</v>
      </c>
      <c r="JR51" s="143">
        <f t="shared" ca="1" si="238"/>
        <v>1.1651848523102253</v>
      </c>
      <c r="JS51" s="143">
        <f t="shared" si="239"/>
        <v>104.11298583984376</v>
      </c>
      <c r="JT51" s="143">
        <f t="shared" ca="1" si="240"/>
        <v>170.1338398541609</v>
      </c>
      <c r="JU51" s="143">
        <f t="shared" si="256"/>
        <v>0.26879379568757911</v>
      </c>
      <c r="JV51" s="143">
        <f t="shared" si="241"/>
        <v>0.35768275703027819</v>
      </c>
      <c r="JW51" s="143">
        <f t="shared" ca="1" si="242"/>
        <v>0.42803185439360886</v>
      </c>
      <c r="JX51" s="143">
        <f t="shared" ca="1" si="243"/>
        <v>0.29305534777813519</v>
      </c>
      <c r="JY51" s="143">
        <f t="shared" si="244"/>
        <v>0.73131573162143837</v>
      </c>
      <c r="JZ51" s="143">
        <f t="shared" si="245"/>
        <v>0.81886848907360965</v>
      </c>
      <c r="KA51" s="143">
        <f t="shared" si="246"/>
        <v>0.25357905253545199</v>
      </c>
      <c r="KB51" s="143">
        <f t="shared" si="247"/>
        <v>0.33743656323611149</v>
      </c>
      <c r="KC51" s="143">
        <f t="shared" ca="1" si="248"/>
        <v>0.88381466861665903</v>
      </c>
      <c r="KD51" s="143">
        <f t="shared" ca="1" si="249"/>
        <v>0.56175454645226175</v>
      </c>
      <c r="KE51" s="143">
        <f t="shared" ca="1" si="250"/>
        <v>0.51951441299786827</v>
      </c>
      <c r="KF51" s="143">
        <f t="shared" ca="1" si="251"/>
        <v>0.21766337495941654</v>
      </c>
      <c r="KG51" s="142">
        <f t="shared" si="252"/>
        <v>0.1490687243839241</v>
      </c>
      <c r="KH51" s="142">
        <f t="shared" ca="1" si="253"/>
        <v>0.12004343262734968</v>
      </c>
      <c r="KI51" s="142">
        <f t="shared" ca="1" si="254"/>
        <v>360.51107849030939</v>
      </c>
      <c r="KJ51" s="142">
        <f t="shared" ca="1" si="255"/>
        <v>334.81197345017273</v>
      </c>
    </row>
    <row r="52" spans="1:296" x14ac:dyDescent="0.3">
      <c r="A52" s="194">
        <v>41346</v>
      </c>
      <c r="B52" s="196">
        <v>50</v>
      </c>
      <c r="C52" s="177">
        <v>24</v>
      </c>
      <c r="D52" s="166">
        <v>4.2</v>
      </c>
      <c r="E52" s="166">
        <v>50016</v>
      </c>
      <c r="F52" s="166">
        <v>300</v>
      </c>
      <c r="G52" s="166">
        <v>11.7</v>
      </c>
      <c r="H52" s="166">
        <v>0.85</v>
      </c>
      <c r="I52" s="166">
        <v>1.4</v>
      </c>
      <c r="J52" s="166">
        <v>1.33</v>
      </c>
      <c r="K52" s="166">
        <v>0.91</v>
      </c>
      <c r="L52" s="166">
        <v>28007.852062471211</v>
      </c>
      <c r="M52" s="169">
        <v>19</v>
      </c>
      <c r="N52" s="167">
        <v>82461.290832072496</v>
      </c>
      <c r="O52" s="176">
        <v>17</v>
      </c>
      <c r="P52" s="166">
        <v>2</v>
      </c>
      <c r="Q52" s="166">
        <v>5</v>
      </c>
      <c r="R52" s="168">
        <v>395.26101684570312</v>
      </c>
      <c r="S52" s="169">
        <v>120.42053907504305</v>
      </c>
      <c r="T52" s="166">
        <v>180</v>
      </c>
      <c r="U52" s="170">
        <v>4.8649187088012695</v>
      </c>
      <c r="V52" s="176">
        <v>17</v>
      </c>
      <c r="W52" s="166">
        <v>1250</v>
      </c>
      <c r="X52" s="169">
        <v>88678.737808853388</v>
      </c>
      <c r="Y52" s="169">
        <v>12282.709390351549</v>
      </c>
      <c r="Z52" s="169">
        <v>357.76998901367187</v>
      </c>
      <c r="AA52" s="169">
        <v>10.780605316162109</v>
      </c>
      <c r="AB52" s="169">
        <v>14.798974990844727</v>
      </c>
      <c r="AC52" s="212">
        <v>37</v>
      </c>
      <c r="AD52" s="212">
        <v>28.861635208129883</v>
      </c>
      <c r="AE52" s="254">
        <v>20</v>
      </c>
      <c r="AF52" s="254">
        <v>10</v>
      </c>
      <c r="AG52" s="217">
        <v>5000000</v>
      </c>
      <c r="AH52" s="218">
        <v>300000</v>
      </c>
      <c r="AI52" s="219">
        <v>5000000</v>
      </c>
      <c r="AJ52" s="225">
        <f t="shared" si="179"/>
        <v>300000</v>
      </c>
      <c r="AK52" s="220">
        <v>2750000</v>
      </c>
      <c r="AL52" s="226">
        <f t="shared" si="180"/>
        <v>300000</v>
      </c>
      <c r="AM52" s="221">
        <v>14.407</v>
      </c>
      <c r="BM52" s="197">
        <f t="shared" si="181"/>
        <v>8.1383647918701172</v>
      </c>
      <c r="BN52" s="196">
        <f t="shared" si="182"/>
        <v>180</v>
      </c>
      <c r="BO52" s="197">
        <f t="shared" si="183"/>
        <v>4.0183696746826172</v>
      </c>
      <c r="BP52" s="196">
        <f t="shared" si="173"/>
        <v>12.692180644261201</v>
      </c>
      <c r="BQ52" s="115">
        <f t="shared" si="184"/>
        <v>659.74492511188635</v>
      </c>
      <c r="BR52" s="184">
        <f t="shared" si="185"/>
        <v>1.0041987768</v>
      </c>
      <c r="BS52" s="115">
        <f t="shared" si="186"/>
        <v>6863.8528613899143</v>
      </c>
      <c r="BT52" s="196">
        <v>900</v>
      </c>
      <c r="BU52" s="115">
        <f t="shared" si="288"/>
        <v>1.1850729520000001</v>
      </c>
      <c r="BV52" s="115">
        <f t="shared" si="269"/>
        <v>1.0752978421345869</v>
      </c>
      <c r="BW52" s="115">
        <f t="shared" si="270"/>
        <v>484.60169007381046</v>
      </c>
      <c r="BX52" s="115">
        <f t="shared" si="187"/>
        <v>1165.7874851114163</v>
      </c>
      <c r="BY52" s="115"/>
      <c r="BZ52" s="115">
        <f t="shared" si="188"/>
        <v>681.18579503760589</v>
      </c>
      <c r="CA52" s="115">
        <f t="shared" si="189"/>
        <v>11043.896285806008</v>
      </c>
      <c r="CB52" s="115">
        <f t="shared" si="190"/>
        <v>3435.8871180030205</v>
      </c>
      <c r="CC52" s="115">
        <f t="shared" si="191"/>
        <v>1166.9938359363005</v>
      </c>
      <c r="CD52" s="129">
        <f t="shared" si="271"/>
        <v>0.23057673372909265</v>
      </c>
      <c r="CE52" s="115">
        <f t="shared" si="192"/>
        <v>21.045293471392462</v>
      </c>
      <c r="CF52" s="115">
        <f t="shared" si="193"/>
        <v>33.450149743067513</v>
      </c>
      <c r="CG52" s="115">
        <f t="shared" si="194"/>
        <v>0.02</v>
      </c>
      <c r="CH52" s="115">
        <f t="shared" si="195"/>
        <v>0.05</v>
      </c>
      <c r="CI52" s="136">
        <v>30</v>
      </c>
      <c r="CJ52" s="115">
        <f t="shared" si="257"/>
        <v>165</v>
      </c>
      <c r="CK52" s="115">
        <f t="shared" si="196"/>
        <v>453</v>
      </c>
      <c r="CL52" s="115">
        <f t="shared" si="197"/>
        <v>668.26101684570312</v>
      </c>
      <c r="CM52" s="115">
        <f t="shared" ca="1" si="198"/>
        <v>2816.5993052117487</v>
      </c>
      <c r="CN52" s="115">
        <f t="shared" ca="1" si="258"/>
        <v>125.80344444444444</v>
      </c>
      <c r="CO52" s="115">
        <f t="shared" ca="1" si="259"/>
        <v>690.58718083896258</v>
      </c>
      <c r="CP52" s="115">
        <f t="shared" ca="1" si="260"/>
        <v>2790.6388281929471</v>
      </c>
      <c r="CQ52" s="115">
        <f t="shared" si="272"/>
        <v>1.072449112508886</v>
      </c>
      <c r="CR52" s="115">
        <f t="shared" ca="1" si="199"/>
        <v>801.39119830360971</v>
      </c>
      <c r="CS52" s="115">
        <f t="shared" ca="1" si="200"/>
        <v>39.650574961810804</v>
      </c>
      <c r="CT52" s="115">
        <f t="shared" si="273"/>
        <v>1.1229841337897226</v>
      </c>
      <c r="CU52" s="115">
        <f t="shared" ca="1" si="274"/>
        <v>1.0214353100871003</v>
      </c>
      <c r="CV52" s="115">
        <f t="shared" si="108"/>
        <v>208.18579503760589</v>
      </c>
      <c r="CW52" s="115">
        <f t="shared" si="261"/>
        <v>473</v>
      </c>
      <c r="CX52" s="115">
        <f t="shared" si="262"/>
        <v>438</v>
      </c>
      <c r="CY52" s="115">
        <f t="shared" ca="1" si="275"/>
        <v>433.34942503818922</v>
      </c>
      <c r="CZ52" s="115">
        <f t="shared" ca="1" si="263"/>
        <v>234.9115918075139</v>
      </c>
      <c r="DA52" s="115">
        <v>0.21890000000000001</v>
      </c>
      <c r="DB52" s="115">
        <v>2.7E-2</v>
      </c>
      <c r="DC52" s="115">
        <v>1.06</v>
      </c>
      <c r="DD52" s="138">
        <f t="shared" si="201"/>
        <v>12.224477469045956</v>
      </c>
      <c r="DE52" s="138">
        <f t="shared" si="276"/>
        <v>12.224477469045956</v>
      </c>
      <c r="DF52" s="115">
        <f t="shared" si="264"/>
        <v>668.26101684570312</v>
      </c>
      <c r="DG52" s="115">
        <v>681.18579503760589</v>
      </c>
      <c r="DH52" s="115">
        <f t="shared" si="277"/>
        <v>1.1229841337897226</v>
      </c>
      <c r="DI52" s="115">
        <f t="shared" si="112"/>
        <v>1.1264587127099415</v>
      </c>
      <c r="DJ52" s="138">
        <f t="shared" si="202"/>
        <v>2.7961912983911104</v>
      </c>
      <c r="DK52" s="138">
        <f t="shared" si="203"/>
        <v>2.9611015191863554</v>
      </c>
      <c r="DL52" s="115">
        <f t="shared" si="278"/>
        <v>668.26101684570312</v>
      </c>
      <c r="DM52" s="115">
        <f t="shared" si="167"/>
        <v>681.18579503760589</v>
      </c>
      <c r="DN52" s="115">
        <f t="shared" si="174"/>
        <v>12.807564104663575</v>
      </c>
      <c r="DO52" s="115">
        <f t="shared" si="114"/>
        <v>1.1229841337897226</v>
      </c>
      <c r="DP52" s="115">
        <f t="shared" si="292"/>
        <v>1.1264587127099415</v>
      </c>
      <c r="DQ52" s="115">
        <v>298.14999999999998</v>
      </c>
      <c r="DR52" s="138">
        <f t="shared" si="116"/>
        <v>1.8622634047284794</v>
      </c>
      <c r="DS52" s="138">
        <f t="shared" si="117"/>
        <v>1.9720936117781127</v>
      </c>
      <c r="DT52" s="115">
        <f t="shared" si="289"/>
        <v>668.26101684570312</v>
      </c>
      <c r="DU52" s="139">
        <f t="shared" si="118"/>
        <v>6.4230126290655161</v>
      </c>
      <c r="DV52" s="115">
        <f t="shared" si="279"/>
        <v>1.1229841337897226</v>
      </c>
      <c r="DW52" s="115">
        <v>298.14999999999998</v>
      </c>
      <c r="DX52" s="138">
        <f t="shared" si="204"/>
        <v>0.93392789366263074</v>
      </c>
      <c r="DY52" s="138">
        <f t="shared" si="205"/>
        <v>0.98900790740824263</v>
      </c>
      <c r="DZ52" s="138">
        <f t="shared" si="290"/>
        <v>3.4358871180030208</v>
      </c>
      <c r="EA52" s="138">
        <f t="shared" si="280"/>
        <v>4.1800434244160938</v>
      </c>
      <c r="EB52" s="115">
        <f t="shared" si="291"/>
        <v>33.450149743067513</v>
      </c>
      <c r="EC52" s="115">
        <v>30</v>
      </c>
      <c r="ED52" s="198">
        <f t="shared" ca="1" si="265"/>
        <v>125.80344444444444</v>
      </c>
      <c r="EE52" s="198">
        <v>104.83</v>
      </c>
      <c r="EF52" s="198">
        <f t="shared" ca="1" si="169"/>
        <v>0.42491111111111107</v>
      </c>
      <c r="EG52" s="199">
        <v>0.36720000000000003</v>
      </c>
      <c r="EH52" s="138">
        <f t="shared" ca="1" si="121"/>
        <v>0.12600258856366756</v>
      </c>
      <c r="EI52" s="138">
        <f t="shared" ca="1" si="281"/>
        <v>0.12600258856366756</v>
      </c>
      <c r="EJ52" s="115">
        <f t="shared" si="170"/>
        <v>12.807564104663575</v>
      </c>
      <c r="EK52" s="115">
        <v>435</v>
      </c>
      <c r="EL52" s="115">
        <f t="shared" ca="1" si="171"/>
        <v>433.34942503818922</v>
      </c>
      <c r="EM52" s="115">
        <f t="shared" ca="1" si="123"/>
        <v>1.0634226698839304</v>
      </c>
      <c r="EN52" s="115">
        <f t="shared" ca="1" si="124"/>
        <v>1.0629183452617244</v>
      </c>
      <c r="EO52" s="115">
        <v>298.14999999999998</v>
      </c>
      <c r="EP52" s="138">
        <f t="shared" ca="1" si="125"/>
        <v>0.32992790994083537</v>
      </c>
      <c r="EQ52" s="138">
        <f t="shared" ca="1" si="126"/>
        <v>0.32273174781573721</v>
      </c>
      <c r="ER52" s="115">
        <f t="shared" si="282"/>
        <v>1.3513663080003526</v>
      </c>
      <c r="ES52" s="115">
        <f t="shared" si="172"/>
        <v>453</v>
      </c>
      <c r="ET52" s="115">
        <f t="shared" ca="1" si="206"/>
        <v>2816.5993052117487</v>
      </c>
      <c r="EU52" s="115">
        <f t="shared" ca="1" si="207"/>
        <v>6.5855309782608691</v>
      </c>
      <c r="EV52" s="138">
        <f t="shared" ca="1" si="175"/>
        <v>1.1591667808333297</v>
      </c>
      <c r="EW52" s="138">
        <f t="shared" ca="1" si="208"/>
        <v>1.1180402550872051</v>
      </c>
      <c r="EX52" s="115">
        <v>21.47</v>
      </c>
      <c r="EY52" s="115">
        <f t="shared" ca="1" si="209"/>
        <v>120.87359463882446</v>
      </c>
      <c r="EZ52" s="115">
        <f t="shared" ca="1" si="210"/>
        <v>0.4090372465133667</v>
      </c>
      <c r="FA52" s="138">
        <f t="shared" ca="1" si="127"/>
        <v>7.6644026615854052E-2</v>
      </c>
      <c r="FB52" s="138">
        <f t="shared" ca="1" si="283"/>
        <v>7.6644026615854052E-2</v>
      </c>
      <c r="FC52" s="115">
        <f t="shared" si="266"/>
        <v>21.47</v>
      </c>
      <c r="FD52" s="115">
        <v>37</v>
      </c>
      <c r="FE52" s="115">
        <f t="shared" ca="1" si="267"/>
        <v>154.93355555555553</v>
      </c>
      <c r="FF52" s="115">
        <f t="shared" ca="1" si="268"/>
        <v>0.52252222222222222</v>
      </c>
      <c r="FG52" s="138">
        <f t="shared" ca="1" si="176"/>
        <v>8.1462225449999703E-2</v>
      </c>
      <c r="FH52" s="138">
        <f t="shared" ca="1" si="129"/>
        <v>8.1462225449999703E-2</v>
      </c>
      <c r="FI52" s="115">
        <f t="shared" si="284"/>
        <v>100.17559692382814</v>
      </c>
      <c r="FJ52" s="115">
        <f t="shared" ca="1" si="211"/>
        <v>45.202475537618007</v>
      </c>
      <c r="FK52" s="115">
        <f t="shared" ca="1" si="212"/>
        <v>0.15690732968648274</v>
      </c>
      <c r="FL52" s="138">
        <f t="shared" ca="1" si="177"/>
        <v>0.30766281861131467</v>
      </c>
      <c r="FM52" s="138">
        <f t="shared" ca="1" si="213"/>
        <v>0.53690271850165383</v>
      </c>
      <c r="FN52" s="115">
        <f t="shared" si="285"/>
        <v>100.17559692382814</v>
      </c>
      <c r="FO52" s="115">
        <f t="shared" ca="1" si="214"/>
        <v>62.019799111684165</v>
      </c>
      <c r="FP52" s="115">
        <f t="shared" ca="1" si="215"/>
        <v>0.21294126237233479</v>
      </c>
      <c r="FQ52" s="138">
        <f t="shared" ca="1" si="178"/>
        <v>0.31876293027747921</v>
      </c>
      <c r="FR52" s="138">
        <f t="shared" ca="1" si="216"/>
        <v>0.55627353541133318</v>
      </c>
      <c r="FS52" s="139">
        <f t="shared" si="217"/>
        <v>5.9923990526518258</v>
      </c>
      <c r="FT52" s="249">
        <f t="shared" si="132"/>
        <v>5.0833325254435069</v>
      </c>
      <c r="FU52" s="139">
        <f t="shared" ca="1" si="218"/>
        <v>0.49917130251798181</v>
      </c>
      <c r="FV52" s="249">
        <f t="shared" ca="1" si="134"/>
        <v>0.65732419743883819</v>
      </c>
      <c r="FW52" s="139">
        <f t="shared" ca="1" si="286"/>
        <v>1.1654486936653488</v>
      </c>
      <c r="FX52" s="249">
        <f t="shared" ca="1" si="136"/>
        <v>1.1325928731627388</v>
      </c>
      <c r="FY52" s="249">
        <f t="shared" si="219"/>
        <v>0.15000000000000002</v>
      </c>
      <c r="FZ52" s="139">
        <f t="shared" si="220"/>
        <v>1050000</v>
      </c>
      <c r="GA52" s="139">
        <f t="shared" si="137"/>
        <v>3.3757716049382713E-2</v>
      </c>
      <c r="GB52" s="139">
        <f t="shared" si="138"/>
        <v>121.52777777777777</v>
      </c>
      <c r="GC52" s="139">
        <f t="shared" si="221"/>
        <v>1050000</v>
      </c>
      <c r="GD52" s="139">
        <f t="shared" si="139"/>
        <v>6.7515432098765427E-2</v>
      </c>
      <c r="GE52" s="139">
        <f t="shared" si="140"/>
        <v>243.05555555555554</v>
      </c>
      <c r="GF52" s="139">
        <f t="shared" si="141"/>
        <v>4.5814043209876545E-2</v>
      </c>
      <c r="GG52" s="139">
        <f t="shared" si="222"/>
        <v>712500</v>
      </c>
      <c r="GH52" s="139">
        <f t="shared" si="142"/>
        <v>164.93055555555554</v>
      </c>
      <c r="GI52" s="137">
        <f t="shared" si="223"/>
        <v>49.358733009999312</v>
      </c>
      <c r="GJ52" s="137">
        <f t="shared" si="143"/>
        <v>0.17769143883599611</v>
      </c>
      <c r="GK52" s="251">
        <f t="shared" si="224"/>
        <v>40.003214412148864</v>
      </c>
      <c r="GL52" s="137">
        <f t="shared" si="164"/>
        <v>0.14401157188373476</v>
      </c>
      <c r="GM52" s="137">
        <f t="shared" ca="1" si="225"/>
        <v>9.5211394800131757</v>
      </c>
      <c r="GN52" s="137">
        <f t="shared" ca="1" si="144"/>
        <v>3.4276102128047159E-2</v>
      </c>
      <c r="GO52" s="137">
        <f t="shared" ca="1" si="145"/>
        <v>0.12052075291155823</v>
      </c>
      <c r="GP52" s="137">
        <f t="shared" ca="1" si="226"/>
        <v>10.115493715665215</v>
      </c>
      <c r="GQ52" s="137">
        <f t="shared" ca="1" si="146"/>
        <v>3.6415777376394481E-2</v>
      </c>
      <c r="GR52" s="137">
        <f t="shared" ca="1" si="147"/>
        <v>0.12804422424892575</v>
      </c>
      <c r="GS52" s="140">
        <f t="shared" si="227"/>
        <v>8.6332493151554862E-2</v>
      </c>
      <c r="GT52" s="140">
        <f t="shared" si="228"/>
        <v>7.3235571694064597E-2</v>
      </c>
      <c r="GU52" s="140">
        <f t="shared" si="287"/>
        <v>310.7969753455975</v>
      </c>
      <c r="GV52" s="140">
        <f t="shared" si="149"/>
        <v>263.64805809863253</v>
      </c>
      <c r="GW52" s="141">
        <f t="shared" ca="1" si="229"/>
        <v>4.7895795962807908E-3</v>
      </c>
      <c r="GX52" s="141">
        <f t="shared" ca="1" si="230"/>
        <v>6.3070664285258928E-3</v>
      </c>
      <c r="GY52" s="141">
        <f t="shared" ca="1" si="150"/>
        <v>17.242486546610849</v>
      </c>
      <c r="GZ52" s="141">
        <f t="shared" ca="1" si="165"/>
        <v>22.705439142693216</v>
      </c>
      <c r="HA52" s="141">
        <f t="shared" ca="1" si="231"/>
        <v>1.6585381303125184E-2</v>
      </c>
      <c r="HB52" s="141">
        <f t="shared" ca="1" si="232"/>
        <v>1.8067971483116254E-2</v>
      </c>
      <c r="HC52" s="141">
        <f t="shared" ca="1" si="233"/>
        <v>59.707372691250661</v>
      </c>
      <c r="HD52" s="141">
        <f t="shared" ca="1" si="152"/>
        <v>65.044697339218516</v>
      </c>
      <c r="HE52" s="137">
        <f t="shared" si="153"/>
        <v>9.4282861706548466</v>
      </c>
      <c r="HF52" s="250">
        <f t="shared" si="154"/>
        <v>9.2633759498596007</v>
      </c>
      <c r="HG52" s="137">
        <v>3.4358871180030208</v>
      </c>
      <c r="HH52" s="251">
        <v>4.4745944191653688</v>
      </c>
      <c r="HI52" s="137">
        <f t="shared" ca="1" si="155"/>
        <v>1.5395316569127422</v>
      </c>
      <c r="HJ52" s="251">
        <f t="shared" ca="1" si="156"/>
        <v>1.6493618639623755</v>
      </c>
      <c r="HK52" s="137">
        <f t="shared" ca="1" si="157"/>
        <v>1.0331641922696622</v>
      </c>
      <c r="HL52" s="251">
        <f t="shared" ca="1" si="158"/>
        <v>0.99203766652353753</v>
      </c>
      <c r="HM52" s="137">
        <f t="shared" ca="1" si="159"/>
        <v>1.1591667808333297</v>
      </c>
      <c r="HN52" s="251">
        <f t="shared" ca="1" si="160"/>
        <v>1.1180402550872051</v>
      </c>
      <c r="HO52" s="137">
        <f t="shared" ca="1" si="161"/>
        <v>0.30766281861131467</v>
      </c>
      <c r="HP52" s="251">
        <f t="shared" ca="1" si="162"/>
        <v>0.53690271850165383</v>
      </c>
      <c r="JN52" s="143">
        <f t="shared" si="234"/>
        <v>19.230576733729091</v>
      </c>
      <c r="JO52" s="143">
        <f t="shared" si="235"/>
        <v>3435.8871180030205</v>
      </c>
      <c r="JP52" s="143">
        <f t="shared" si="236"/>
        <v>4180.0434244160933</v>
      </c>
      <c r="JQ52" s="143">
        <f t="shared" si="237"/>
        <v>1.3513663080003526</v>
      </c>
      <c r="JR52" s="143">
        <f t="shared" ca="1" si="238"/>
        <v>1.3034206610258356</v>
      </c>
      <c r="JS52" s="143">
        <f t="shared" si="239"/>
        <v>100.17559692382814</v>
      </c>
      <c r="JT52" s="143">
        <f t="shared" ca="1" si="240"/>
        <v>174.81654285914172</v>
      </c>
      <c r="JU52" s="143">
        <f t="shared" si="256"/>
        <v>0.29793014501481507</v>
      </c>
      <c r="JV52" s="143">
        <f t="shared" si="241"/>
        <v>0.36245688546611216</v>
      </c>
      <c r="JW52" s="143">
        <f t="shared" ca="1" si="242"/>
        <v>0.3147678120899628</v>
      </c>
      <c r="JX52" s="143">
        <f t="shared" ca="1" si="243"/>
        <v>0.3036000433598558</v>
      </c>
      <c r="JY52" s="143">
        <f t="shared" si="244"/>
        <v>0.72177144902190604</v>
      </c>
      <c r="JZ52" s="143">
        <f t="shared" si="245"/>
        <v>0.93123570877912654</v>
      </c>
      <c r="KA52" s="143">
        <f t="shared" si="246"/>
        <v>0.28106617454227845</v>
      </c>
      <c r="KB52" s="143">
        <f t="shared" si="247"/>
        <v>0.34194045798689832</v>
      </c>
      <c r="KC52" s="143">
        <f t="shared" ca="1" si="248"/>
        <v>0.67424150636988367</v>
      </c>
      <c r="KD52" s="143">
        <f t="shared" ca="1" si="249"/>
        <v>0.60146756645645805</v>
      </c>
      <c r="KE52" s="143">
        <f t="shared" ca="1" si="250"/>
        <v>0.48021769883390863</v>
      </c>
      <c r="KF52" s="143">
        <f t="shared" ca="1" si="251"/>
        <v>0.26541721493272491</v>
      </c>
      <c r="KG52" s="142">
        <f t="shared" si="252"/>
        <v>0.14401157188373476</v>
      </c>
      <c r="KH52" s="142">
        <f t="shared" ca="1" si="253"/>
        <v>0.12804422424892575</v>
      </c>
      <c r="KI52" s="142">
        <f t="shared" ca="1" si="254"/>
        <v>387.74683458345902</v>
      </c>
      <c r="KJ52" s="142">
        <f t="shared" ca="1" si="255"/>
        <v>351.39819458054421</v>
      </c>
    </row>
    <row r="53" spans="1:296" x14ac:dyDescent="0.3">
      <c r="A53" s="194">
        <v>41347</v>
      </c>
      <c r="B53" s="196">
        <v>51</v>
      </c>
      <c r="C53" s="177">
        <v>24</v>
      </c>
      <c r="D53" s="166">
        <v>4.2</v>
      </c>
      <c r="E53" s="166">
        <v>50016</v>
      </c>
      <c r="F53" s="166">
        <v>300</v>
      </c>
      <c r="G53" s="166">
        <v>11.7</v>
      </c>
      <c r="H53" s="166">
        <v>0.85</v>
      </c>
      <c r="I53" s="166">
        <v>1.4</v>
      </c>
      <c r="J53" s="166">
        <v>1.33</v>
      </c>
      <c r="K53" s="166">
        <v>0.91</v>
      </c>
      <c r="L53" s="166">
        <v>27200.187296397984</v>
      </c>
      <c r="M53" s="169">
        <v>19</v>
      </c>
      <c r="N53" s="167">
        <v>78428.546665906906</v>
      </c>
      <c r="O53" s="176">
        <v>17</v>
      </c>
      <c r="P53" s="166">
        <v>2</v>
      </c>
      <c r="Q53" s="166">
        <v>5</v>
      </c>
      <c r="R53" s="168">
        <v>391.16558837890625</v>
      </c>
      <c r="S53" s="169">
        <v>98.584641349036247</v>
      </c>
      <c r="T53" s="166">
        <v>180</v>
      </c>
      <c r="U53" s="170">
        <v>3.9214644432067871</v>
      </c>
      <c r="V53" s="176">
        <v>17</v>
      </c>
      <c r="W53" s="166">
        <v>1250</v>
      </c>
      <c r="X53" s="169">
        <v>88727.827548339963</v>
      </c>
      <c r="Y53" s="169">
        <v>12492.44599337317</v>
      </c>
      <c r="Z53" s="169">
        <v>370.60446166992187</v>
      </c>
      <c r="AA53" s="169">
        <v>9.5195837020874023</v>
      </c>
      <c r="AB53" s="169">
        <v>13.451358795166016</v>
      </c>
      <c r="AC53" s="212">
        <v>37</v>
      </c>
      <c r="AD53" s="212">
        <v>28.751840591430664</v>
      </c>
      <c r="AE53" s="254">
        <v>20</v>
      </c>
      <c r="AF53" s="254">
        <v>10</v>
      </c>
      <c r="AG53" s="217">
        <v>5000000</v>
      </c>
      <c r="AH53" s="218">
        <v>300000</v>
      </c>
      <c r="AI53" s="219">
        <v>5000000</v>
      </c>
      <c r="AJ53" s="225">
        <f t="shared" si="179"/>
        <v>300000</v>
      </c>
      <c r="AK53" s="220">
        <v>2750000</v>
      </c>
      <c r="AL53" s="226">
        <f t="shared" si="180"/>
        <v>300000</v>
      </c>
      <c r="AM53" s="221">
        <v>14.407</v>
      </c>
      <c r="BK53" s="283"/>
      <c r="BM53" s="197">
        <f t="shared" si="181"/>
        <v>8.2481594085693359</v>
      </c>
      <c r="BN53" s="196">
        <f t="shared" si="182"/>
        <v>180</v>
      </c>
      <c r="BO53" s="197">
        <f t="shared" si="183"/>
        <v>3.9317750930786133</v>
      </c>
      <c r="BP53" s="196">
        <f t="shared" si="173"/>
        <v>12.687792198329184</v>
      </c>
      <c r="BQ53" s="115">
        <f t="shared" si="184"/>
        <v>659.74492511188635</v>
      </c>
      <c r="BR53" s="184">
        <f t="shared" si="185"/>
        <v>1.0041987768</v>
      </c>
      <c r="BS53" s="115">
        <f t="shared" si="186"/>
        <v>6863.8528613899143</v>
      </c>
      <c r="BT53" s="196">
        <v>900</v>
      </c>
      <c r="BU53" s="115">
        <f t="shared" si="288"/>
        <v>1.1850729520000001</v>
      </c>
      <c r="BV53" s="115">
        <f t="shared" si="269"/>
        <v>1.0738225069864673</v>
      </c>
      <c r="BW53" s="115">
        <f t="shared" si="270"/>
        <v>478.60632832509123</v>
      </c>
      <c r="BX53" s="115">
        <f t="shared" si="187"/>
        <v>1151.3646759497149</v>
      </c>
      <c r="BY53" s="115"/>
      <c r="BZ53" s="115">
        <f t="shared" si="188"/>
        <v>672.75834762462364</v>
      </c>
      <c r="CA53" s="115">
        <f t="shared" si="189"/>
        <v>10903.492878278215</v>
      </c>
      <c r="CB53" s="115">
        <f t="shared" si="190"/>
        <v>3267.8561110794544</v>
      </c>
      <c r="CC53" s="115">
        <f t="shared" si="191"/>
        <v>1133.3411373499159</v>
      </c>
      <c r="CD53" s="129">
        <f t="shared" si="271"/>
        <v>0.22392757322603601</v>
      </c>
      <c r="CE53" s="115">
        <f t="shared" si="192"/>
        <v>21.800262451171875</v>
      </c>
      <c r="CF53" s="115">
        <f t="shared" si="193"/>
        <v>27.384622596954515</v>
      </c>
      <c r="CG53" s="115">
        <f t="shared" si="194"/>
        <v>0.02</v>
      </c>
      <c r="CH53" s="115">
        <f t="shared" si="195"/>
        <v>0.05</v>
      </c>
      <c r="CI53" s="136">
        <v>30</v>
      </c>
      <c r="CJ53" s="115">
        <f t="shared" si="257"/>
        <v>165</v>
      </c>
      <c r="CK53" s="115">
        <f t="shared" si="196"/>
        <v>453</v>
      </c>
      <c r="CL53" s="115">
        <f t="shared" si="197"/>
        <v>664.16558837890625</v>
      </c>
      <c r="CM53" s="115">
        <f t="shared" ca="1" si="198"/>
        <v>2816.5993052117487</v>
      </c>
      <c r="CN53" s="115">
        <f t="shared" ca="1" si="258"/>
        <v>125.80344444444444</v>
      </c>
      <c r="CO53" s="115">
        <f t="shared" ca="1" si="259"/>
        <v>690.58718083896258</v>
      </c>
      <c r="CP53" s="115">
        <f t="shared" ca="1" si="260"/>
        <v>2790.6388281929471</v>
      </c>
      <c r="CQ53" s="115">
        <f t="shared" si="272"/>
        <v>1.072449112508886</v>
      </c>
      <c r="CR53" s="115">
        <f t="shared" ca="1" si="199"/>
        <v>645.97730760866864</v>
      </c>
      <c r="CS53" s="115">
        <f t="shared" ca="1" si="200"/>
        <v>31.972188926934564</v>
      </c>
      <c r="CT53" s="115">
        <f t="shared" si="273"/>
        <v>1.1218848807849986</v>
      </c>
      <c r="CU53" s="115">
        <f t="shared" ca="1" si="274"/>
        <v>1.0193753261290623</v>
      </c>
      <c r="CV53" s="115">
        <f t="shared" si="108"/>
        <v>199.75834762462364</v>
      </c>
      <c r="CW53" s="115">
        <f t="shared" si="261"/>
        <v>473</v>
      </c>
      <c r="CX53" s="115">
        <f t="shared" si="262"/>
        <v>438</v>
      </c>
      <c r="CY53" s="115">
        <f t="shared" ca="1" si="275"/>
        <v>441.02781107306544</v>
      </c>
      <c r="CZ53" s="115">
        <f t="shared" ca="1" si="263"/>
        <v>223.13777730584081</v>
      </c>
      <c r="DA53" s="115">
        <v>0.21890000000000001</v>
      </c>
      <c r="DB53" s="115">
        <v>2.7E-2</v>
      </c>
      <c r="DC53" s="115">
        <v>1.06</v>
      </c>
      <c r="DD53" s="138">
        <f t="shared" si="201"/>
        <v>11.871959192621823</v>
      </c>
      <c r="DE53" s="138">
        <f t="shared" si="276"/>
        <v>11.871959192621823</v>
      </c>
      <c r="DF53" s="115">
        <f t="shared" si="264"/>
        <v>664.16558837890625</v>
      </c>
      <c r="DG53" s="115">
        <v>672.75834762462364</v>
      </c>
      <c r="DH53" s="115">
        <f t="shared" si="277"/>
        <v>1.1218848807849986</v>
      </c>
      <c r="DI53" s="115">
        <f t="shared" si="112"/>
        <v>1.1241922572132867</v>
      </c>
      <c r="DJ53" s="138">
        <f t="shared" si="202"/>
        <v>2.7436907989527892</v>
      </c>
      <c r="DK53" s="138">
        <f t="shared" si="203"/>
        <v>2.8522067801892685</v>
      </c>
      <c r="DL53" s="115">
        <f t="shared" si="278"/>
        <v>664.16558837890625</v>
      </c>
      <c r="DM53" s="115">
        <f t="shared" si="167"/>
        <v>672.75834762462364</v>
      </c>
      <c r="DN53" s="115">
        <f t="shared" si="174"/>
        <v>12.803135763768541</v>
      </c>
      <c r="DO53" s="115">
        <f t="shared" si="114"/>
        <v>1.1218848807849986</v>
      </c>
      <c r="DP53" s="115">
        <f t="shared" si="292"/>
        <v>1.1241922572132867</v>
      </c>
      <c r="DQ53" s="115">
        <v>298.14999999999998</v>
      </c>
      <c r="DR53" s="138">
        <f t="shared" si="116"/>
        <v>1.8272980721025578</v>
      </c>
      <c r="DS53" s="138">
        <f t="shared" si="117"/>
        <v>1.8995697156060531</v>
      </c>
      <c r="DT53" s="115">
        <f t="shared" si="289"/>
        <v>664.16558837890625</v>
      </c>
      <c r="DU53" s="139">
        <f t="shared" si="118"/>
        <v>6.4207918094574943</v>
      </c>
      <c r="DV53" s="115">
        <f t="shared" si="279"/>
        <v>1.1218848807849986</v>
      </c>
      <c r="DW53" s="115">
        <v>298.14999999999998</v>
      </c>
      <c r="DX53" s="138">
        <f t="shared" si="204"/>
        <v>0.91639272685023143</v>
      </c>
      <c r="DY53" s="138">
        <f t="shared" si="205"/>
        <v>0.9526370645832154</v>
      </c>
      <c r="DZ53" s="138">
        <f t="shared" si="290"/>
        <v>3.2678561110794546</v>
      </c>
      <c r="EA53" s="138">
        <f t="shared" si="280"/>
        <v>4.0396400168883009</v>
      </c>
      <c r="EB53" s="115">
        <f t="shared" si="291"/>
        <v>27.384622596954515</v>
      </c>
      <c r="EC53" s="115">
        <v>30</v>
      </c>
      <c r="ED53" s="198">
        <f t="shared" ca="1" si="265"/>
        <v>125.80344444444444</v>
      </c>
      <c r="EE53" s="198">
        <v>104.83</v>
      </c>
      <c r="EF53" s="198">
        <f t="shared" ca="1" si="169"/>
        <v>0.42491111111111107</v>
      </c>
      <c r="EG53" s="199">
        <v>0.36720000000000003</v>
      </c>
      <c r="EH53" s="138">
        <f t="shared" ca="1" si="121"/>
        <v>0.10315449588594114</v>
      </c>
      <c r="EI53" s="138">
        <f t="shared" ca="1" si="281"/>
        <v>0.10315449588594114</v>
      </c>
      <c r="EJ53" s="115">
        <f t="shared" si="170"/>
        <v>12.803135763768541</v>
      </c>
      <c r="EK53" s="115">
        <v>435</v>
      </c>
      <c r="EL53" s="115">
        <f t="shared" ca="1" si="171"/>
        <v>441.02781107306544</v>
      </c>
      <c r="EM53" s="115">
        <f t="shared" ca="1" si="123"/>
        <v>1.0628835684717928</v>
      </c>
      <c r="EN53" s="115">
        <f t="shared" ca="1" si="124"/>
        <v>1.064737891242572</v>
      </c>
      <c r="EO53" s="115">
        <v>298.14999999999998</v>
      </c>
      <c r="EP53" s="138">
        <f t="shared" ca="1" si="125"/>
        <v>0.32964663522741838</v>
      </c>
      <c r="EQ53" s="138">
        <f t="shared" ca="1" si="126"/>
        <v>0.35645920442885254</v>
      </c>
      <c r="ER53" s="115">
        <f t="shared" si="282"/>
        <v>1.0892956786685519</v>
      </c>
      <c r="ES53" s="115">
        <f t="shared" si="172"/>
        <v>453</v>
      </c>
      <c r="ET53" s="115">
        <f t="shared" ca="1" si="206"/>
        <v>2816.5993052117487</v>
      </c>
      <c r="EU53" s="115">
        <f t="shared" ca="1" si="207"/>
        <v>6.5855309782608691</v>
      </c>
      <c r="EV53" s="138">
        <f t="shared" ca="1" si="175"/>
        <v>0.9343694287349017</v>
      </c>
      <c r="EW53" s="138">
        <f t="shared" ca="1" si="208"/>
        <v>1.0713608484688255</v>
      </c>
      <c r="EX53" s="115">
        <v>21.47</v>
      </c>
      <c r="EY53" s="115">
        <f t="shared" ca="1" si="209"/>
        <v>120.41409196853637</v>
      </c>
      <c r="EZ53" s="115">
        <f t="shared" ca="1" si="210"/>
        <v>0.40750622158050537</v>
      </c>
      <c r="FA53" s="138">
        <f t="shared" ca="1" si="127"/>
        <v>7.6579024332507878E-2</v>
      </c>
      <c r="FB53" s="138">
        <f t="shared" ca="1" si="283"/>
        <v>7.6579024332507878E-2</v>
      </c>
      <c r="FC53" s="115">
        <f t="shared" si="266"/>
        <v>21.47</v>
      </c>
      <c r="FD53" s="115">
        <v>37</v>
      </c>
      <c r="FE53" s="115">
        <f t="shared" ca="1" si="267"/>
        <v>154.93355555555553</v>
      </c>
      <c r="FF53" s="115">
        <f t="shared" ca="1" si="268"/>
        <v>0.52252222222222222</v>
      </c>
      <c r="FG53" s="138">
        <f t="shared" ca="1" si="176"/>
        <v>8.1462225449999703E-2</v>
      </c>
      <c r="FH53" s="138">
        <f t="shared" ca="1" si="129"/>
        <v>8.1462225449999703E-2</v>
      </c>
      <c r="FI53" s="115">
        <f t="shared" si="284"/>
        <v>103.76924926757813</v>
      </c>
      <c r="FJ53" s="115">
        <f t="shared" ca="1" si="211"/>
        <v>39.924959969202682</v>
      </c>
      <c r="FK53" s="115">
        <f t="shared" ca="1" si="212"/>
        <v>0.13932308384577433</v>
      </c>
      <c r="FL53" s="138">
        <f t="shared" ca="1" si="177"/>
        <v>0.31509143619024987</v>
      </c>
      <c r="FM53" s="138">
        <f t="shared" ca="1" si="213"/>
        <v>0.51240981049743783</v>
      </c>
      <c r="FN53" s="115">
        <f t="shared" si="285"/>
        <v>103.76924926757813</v>
      </c>
      <c r="FO53" s="115">
        <f t="shared" ca="1" si="214"/>
        <v>56.379875597635909</v>
      </c>
      <c r="FP53" s="115">
        <f t="shared" ca="1" si="215"/>
        <v>0.19414950319925944</v>
      </c>
      <c r="FQ53" s="138">
        <f t="shared" ca="1" si="178"/>
        <v>0.32634196310816538</v>
      </c>
      <c r="FR53" s="138">
        <f t="shared" ca="1" si="216"/>
        <v>0.53070570719240429</v>
      </c>
      <c r="FS53" s="139">
        <f t="shared" si="217"/>
        <v>5.8604122825895786</v>
      </c>
      <c r="FT53" s="249">
        <f t="shared" si="132"/>
        <v>4.9801123955442534</v>
      </c>
      <c r="FU53" s="139">
        <f t="shared" ca="1" si="218"/>
        <v>0.66643650402617882</v>
      </c>
      <c r="FV53" s="249">
        <f t="shared" ca="1" si="134"/>
        <v>0.57490415859431621</v>
      </c>
      <c r="FW53" s="139">
        <f t="shared" ca="1" si="286"/>
        <v>0.94073675453532535</v>
      </c>
      <c r="FX53" s="249">
        <f t="shared" ca="1" si="136"/>
        <v>1.0847735440463002</v>
      </c>
      <c r="FY53" s="249">
        <f t="shared" si="219"/>
        <v>0.15000000000000002</v>
      </c>
      <c r="FZ53" s="139">
        <f t="shared" si="220"/>
        <v>1050000</v>
      </c>
      <c r="GA53" s="139">
        <f t="shared" si="137"/>
        <v>3.3757716049382713E-2</v>
      </c>
      <c r="GB53" s="139">
        <f t="shared" si="138"/>
        <v>121.52777777777777</v>
      </c>
      <c r="GC53" s="139">
        <f t="shared" si="221"/>
        <v>1050000</v>
      </c>
      <c r="GD53" s="139">
        <f t="shared" si="139"/>
        <v>6.7515432098765427E-2</v>
      </c>
      <c r="GE53" s="139">
        <f t="shared" si="140"/>
        <v>243.05555555555554</v>
      </c>
      <c r="GF53" s="139">
        <f t="shared" si="141"/>
        <v>4.5814043209876545E-2</v>
      </c>
      <c r="GG53" s="139">
        <f t="shared" si="222"/>
        <v>712500</v>
      </c>
      <c r="GH53" s="139">
        <f t="shared" si="142"/>
        <v>164.93055555555554</v>
      </c>
      <c r="GI53" s="137">
        <f t="shared" si="223"/>
        <v>50.57403789494883</v>
      </c>
      <c r="GJ53" s="137">
        <f t="shared" si="143"/>
        <v>0.18206653642181433</v>
      </c>
      <c r="GK53" s="251">
        <f t="shared" si="224"/>
        <v>40.524722096747432</v>
      </c>
      <c r="GL53" s="137">
        <f t="shared" si="164"/>
        <v>0.1458889995482896</v>
      </c>
      <c r="GM53" s="137">
        <f t="shared" ca="1" si="225"/>
        <v>9.3345004378490977</v>
      </c>
      <c r="GN53" s="137">
        <f t="shared" ca="1" si="144"/>
        <v>3.3604201576256487E-2</v>
      </c>
      <c r="GO53" s="137">
        <f t="shared" ca="1" si="145"/>
        <v>0.11815823339049399</v>
      </c>
      <c r="GP53" s="137">
        <f t="shared" ca="1" si="226"/>
        <v>9.8427166281670928</v>
      </c>
      <c r="GQ53" s="137">
        <f t="shared" ca="1" si="146"/>
        <v>3.5433779861401254E-2</v>
      </c>
      <c r="GR53" s="137">
        <f t="shared" ca="1" si="147"/>
        <v>0.12459134972363312</v>
      </c>
      <c r="GS53" s="140">
        <f t="shared" si="227"/>
        <v>8.443095975526807E-2</v>
      </c>
      <c r="GT53" s="140">
        <f t="shared" si="228"/>
        <v>7.1748479282606067E-2</v>
      </c>
      <c r="GU53" s="140">
        <f t="shared" si="287"/>
        <v>303.95145511896504</v>
      </c>
      <c r="GV53" s="140">
        <f t="shared" si="149"/>
        <v>258.29452541738186</v>
      </c>
      <c r="GW53" s="141">
        <f t="shared" ca="1" si="229"/>
        <v>6.3944995751944343E-3</v>
      </c>
      <c r="GX53" s="141">
        <f t="shared" ca="1" si="230"/>
        <v>5.5162410457702954E-3</v>
      </c>
      <c r="GY53" s="141">
        <f t="shared" ca="1" si="150"/>
        <v>23.020198470699963</v>
      </c>
      <c r="GZ53" s="141">
        <f t="shared" ca="1" si="165"/>
        <v>19.858467764773064</v>
      </c>
      <c r="HA53" s="141">
        <f t="shared" ca="1" si="231"/>
        <v>1.6263473572463747E-2</v>
      </c>
      <c r="HB53" s="141">
        <f t="shared" ca="1" si="232"/>
        <v>1.6588838227164081E-2</v>
      </c>
      <c r="HC53" s="141">
        <f t="shared" ca="1" si="233"/>
        <v>58.548504860869492</v>
      </c>
      <c r="HD53" s="141">
        <f t="shared" ca="1" si="152"/>
        <v>59.719817617790689</v>
      </c>
      <c r="HE53" s="137">
        <f t="shared" si="153"/>
        <v>9.1282683936690336</v>
      </c>
      <c r="HF53" s="250">
        <f t="shared" si="154"/>
        <v>9.0197524124325543</v>
      </c>
      <c r="HG53" s="137">
        <v>3.2678561110794546</v>
      </c>
      <c r="HH53" s="251">
        <v>4.2353981665314882</v>
      </c>
      <c r="HI53" s="137">
        <f t="shared" ca="1" si="155"/>
        <v>1.4708388676737052</v>
      </c>
      <c r="HJ53" s="251">
        <f t="shared" ca="1" si="156"/>
        <v>1.5431105111772006</v>
      </c>
      <c r="HK53" s="137">
        <f t="shared" ca="1" si="157"/>
        <v>0.83121493284896053</v>
      </c>
      <c r="HL53" s="251">
        <f t="shared" ca="1" si="158"/>
        <v>0.96820635258288434</v>
      </c>
      <c r="HM53" s="137">
        <f t="shared" ca="1" si="159"/>
        <v>0.9343694287349017</v>
      </c>
      <c r="HN53" s="251">
        <f t="shared" ca="1" si="160"/>
        <v>1.0713608484688255</v>
      </c>
      <c r="HO53" s="137">
        <f t="shared" ca="1" si="161"/>
        <v>0.31509143619024987</v>
      </c>
      <c r="HP53" s="251">
        <f t="shared" ca="1" si="162"/>
        <v>0.51240981049743783</v>
      </c>
      <c r="JN53" s="143">
        <f t="shared" si="234"/>
        <v>19.223927573226035</v>
      </c>
      <c r="JO53" s="143">
        <f t="shared" si="235"/>
        <v>3267.8561110794544</v>
      </c>
      <c r="JP53" s="143">
        <f t="shared" si="236"/>
        <v>4039.640016888301</v>
      </c>
      <c r="JQ53" s="143">
        <f t="shared" si="237"/>
        <v>1.0892956786685519</v>
      </c>
      <c r="JR53" s="143">
        <f t="shared" ca="1" si="238"/>
        <v>1.2490014191837102</v>
      </c>
      <c r="JS53" s="143">
        <f t="shared" si="239"/>
        <v>103.76924926757813</v>
      </c>
      <c r="JT53" s="143">
        <f t="shared" ca="1" si="240"/>
        <v>168.75222632377736</v>
      </c>
      <c r="JU53" s="143">
        <f t="shared" si="256"/>
        <v>0.29177386996890803</v>
      </c>
      <c r="JV53" s="143">
        <f t="shared" si="241"/>
        <v>0.36068338413450624</v>
      </c>
      <c r="JW53" s="143">
        <f t="shared" ca="1" si="242"/>
        <v>0.26124668453610078</v>
      </c>
      <c r="JX53" s="143">
        <f t="shared" ca="1" si="243"/>
        <v>0.29954904451788789</v>
      </c>
      <c r="JY53" s="143">
        <f t="shared" si="244"/>
        <v>0.7336900977816696</v>
      </c>
      <c r="JZ53" s="143">
        <f t="shared" si="245"/>
        <v>0.86915544697432578</v>
      </c>
      <c r="KA53" s="143">
        <f t="shared" si="246"/>
        <v>0.27525836789519625</v>
      </c>
      <c r="KB53" s="143">
        <f t="shared" si="247"/>
        <v>0.34026734352311905</v>
      </c>
      <c r="KC53" s="143">
        <f t="shared" ca="1" si="248"/>
        <v>0.55501227614303661</v>
      </c>
      <c r="KD53" s="143">
        <f t="shared" ca="1" si="249"/>
        <v>0.62743811643422986</v>
      </c>
      <c r="KE53" s="143">
        <f t="shared" ca="1" si="250"/>
        <v>0.47827938759360772</v>
      </c>
      <c r="KF53" s="143">
        <f t="shared" ca="1" si="251"/>
        <v>0.33722361466478085</v>
      </c>
      <c r="KG53" s="142">
        <f t="shared" si="252"/>
        <v>0.1458889995482896</v>
      </c>
      <c r="KH53" s="142">
        <f t="shared" ca="1" si="253"/>
        <v>0.12459134972363312</v>
      </c>
      <c r="KI53" s="142">
        <f t="shared" ca="1" si="254"/>
        <v>385.5201584505345</v>
      </c>
      <c r="KJ53" s="142">
        <f t="shared" ca="1" si="255"/>
        <v>337.87281079994563</v>
      </c>
    </row>
    <row r="54" spans="1:296" x14ac:dyDescent="0.3">
      <c r="A54" s="194">
        <v>41348</v>
      </c>
      <c r="B54" s="196">
        <v>52</v>
      </c>
      <c r="C54" s="177">
        <v>24</v>
      </c>
      <c r="D54" s="166">
        <v>4.2</v>
      </c>
      <c r="E54" s="166">
        <v>50016</v>
      </c>
      <c r="F54" s="166">
        <v>300</v>
      </c>
      <c r="G54" s="166">
        <v>11.7</v>
      </c>
      <c r="H54" s="166">
        <v>0.85</v>
      </c>
      <c r="I54" s="166">
        <v>1.4</v>
      </c>
      <c r="J54" s="166">
        <v>1.33</v>
      </c>
      <c r="K54" s="166">
        <v>0.91</v>
      </c>
      <c r="L54" s="166">
        <v>25746.532776921988</v>
      </c>
      <c r="M54" s="169">
        <v>19</v>
      </c>
      <c r="N54" s="167">
        <v>67878.884167060256</v>
      </c>
      <c r="O54" s="176">
        <v>17</v>
      </c>
      <c r="P54" s="166">
        <v>2</v>
      </c>
      <c r="Q54" s="166">
        <v>5</v>
      </c>
      <c r="R54" s="168">
        <v>387.93283081054687</v>
      </c>
      <c r="S54" s="169">
        <v>87.702384354139213</v>
      </c>
      <c r="T54" s="166">
        <v>180</v>
      </c>
      <c r="U54" s="170">
        <v>3.4398963451385498</v>
      </c>
      <c r="V54" s="176">
        <v>17</v>
      </c>
      <c r="W54" s="166">
        <v>1250</v>
      </c>
      <c r="X54" s="169">
        <v>81600.830476015806</v>
      </c>
      <c r="Y54" s="169">
        <v>11760.162257414311</v>
      </c>
      <c r="Z54" s="169">
        <v>352.3145751953125</v>
      </c>
      <c r="AA54" s="169">
        <v>9.9899740219116211</v>
      </c>
      <c r="AB54" s="169">
        <v>13.711405754089355</v>
      </c>
      <c r="AC54" s="212">
        <v>37</v>
      </c>
      <c r="AD54" s="212">
        <v>28.446144104003906</v>
      </c>
      <c r="AE54" s="254">
        <v>20</v>
      </c>
      <c r="AF54" s="254">
        <v>10</v>
      </c>
      <c r="AG54" s="217">
        <v>5000000</v>
      </c>
      <c r="AH54" s="218">
        <v>300000</v>
      </c>
      <c r="AI54" s="219">
        <v>5000000</v>
      </c>
      <c r="AJ54" s="225">
        <f t="shared" si="179"/>
        <v>300000</v>
      </c>
      <c r="AK54" s="220">
        <v>2750000</v>
      </c>
      <c r="AL54" s="226">
        <f t="shared" si="180"/>
        <v>300000</v>
      </c>
      <c r="AM54" s="221">
        <v>14.407</v>
      </c>
      <c r="BM54" s="197">
        <f t="shared" si="181"/>
        <v>8.5538558959960937</v>
      </c>
      <c r="BN54" s="196">
        <f t="shared" si="182"/>
        <v>180</v>
      </c>
      <c r="BO54" s="197">
        <f t="shared" si="183"/>
        <v>3.7214317321777344</v>
      </c>
      <c r="BP54" s="196">
        <f t="shared" si="173"/>
        <v>12.679893767531505</v>
      </c>
      <c r="BQ54" s="115">
        <f t="shared" si="184"/>
        <v>659.74492511188635</v>
      </c>
      <c r="BR54" s="184">
        <f t="shared" si="185"/>
        <v>1.0041987768</v>
      </c>
      <c r="BS54" s="115">
        <f t="shared" si="186"/>
        <v>6863.8528613899143</v>
      </c>
      <c r="BT54" s="196">
        <v>900</v>
      </c>
      <c r="BU54" s="115">
        <f t="shared" si="288"/>
        <v>1.1850729520000001</v>
      </c>
      <c r="BV54" s="115">
        <f t="shared" si="269"/>
        <v>1.0711820197962405</v>
      </c>
      <c r="BW54" s="115">
        <f t="shared" si="270"/>
        <v>467.80527555746789</v>
      </c>
      <c r="BX54" s="115">
        <f t="shared" si="187"/>
        <v>1125.3810023463366</v>
      </c>
      <c r="BY54" s="115"/>
      <c r="BZ54" s="115">
        <f t="shared" si="188"/>
        <v>657.57572678886868</v>
      </c>
      <c r="CA54" s="115">
        <f t="shared" si="189"/>
        <v>10650.791440161873</v>
      </c>
      <c r="CB54" s="115">
        <f t="shared" si="190"/>
        <v>2828.2868402941772</v>
      </c>
      <c r="CC54" s="115">
        <f t="shared" si="191"/>
        <v>1072.7721990384161</v>
      </c>
      <c r="CD54" s="129">
        <f t="shared" si="271"/>
        <v>0.21196025383561309</v>
      </c>
      <c r="CE54" s="115">
        <f t="shared" si="192"/>
        <v>20.724386776194851</v>
      </c>
      <c r="CF54" s="115">
        <f t="shared" si="193"/>
        <v>24.361773431705338</v>
      </c>
      <c r="CG54" s="115">
        <f t="shared" si="194"/>
        <v>0.02</v>
      </c>
      <c r="CH54" s="115">
        <f t="shared" si="195"/>
        <v>0.05</v>
      </c>
      <c r="CI54" s="136">
        <v>30</v>
      </c>
      <c r="CJ54" s="115">
        <f t="shared" si="257"/>
        <v>165</v>
      </c>
      <c r="CK54" s="115">
        <f t="shared" si="196"/>
        <v>453</v>
      </c>
      <c r="CL54" s="115">
        <f t="shared" si="197"/>
        <v>660.93283081054687</v>
      </c>
      <c r="CM54" s="115">
        <f t="shared" ca="1" si="198"/>
        <v>2816.5993052117487</v>
      </c>
      <c r="CN54" s="115">
        <f t="shared" ca="1" si="258"/>
        <v>125.80344444444444</v>
      </c>
      <c r="CO54" s="115">
        <f t="shared" ca="1" si="259"/>
        <v>690.58718083896258</v>
      </c>
      <c r="CP54" s="115">
        <f t="shared" ca="1" si="260"/>
        <v>2790.6388281929471</v>
      </c>
      <c r="CQ54" s="115">
        <f t="shared" si="272"/>
        <v>1.072449112508886</v>
      </c>
      <c r="CR54" s="115">
        <f t="shared" ca="1" si="199"/>
        <v>566.64927393001597</v>
      </c>
      <c r="CS54" s="115">
        <f t="shared" ca="1" si="200"/>
        <v>28.063374203275416</v>
      </c>
      <c r="CT54" s="115">
        <f t="shared" si="273"/>
        <v>1.1210178219028757</v>
      </c>
      <c r="CU54" s="115">
        <f t="shared" ca="1" si="274"/>
        <v>1.0181513125290818</v>
      </c>
      <c r="CV54" s="115">
        <f t="shared" si="108"/>
        <v>184.57572678886868</v>
      </c>
      <c r="CW54" s="115">
        <f t="shared" si="261"/>
        <v>473</v>
      </c>
      <c r="CX54" s="115">
        <f t="shared" si="262"/>
        <v>438</v>
      </c>
      <c r="CY54" s="115">
        <f t="shared" ca="1" si="275"/>
        <v>444.93662579672457</v>
      </c>
      <c r="CZ54" s="115">
        <f t="shared" ca="1" si="263"/>
        <v>215.9962050138223</v>
      </c>
      <c r="DA54" s="115">
        <v>0.21890000000000001</v>
      </c>
      <c r="DB54" s="115">
        <v>2.7E-2</v>
      </c>
      <c r="DC54" s="115">
        <v>1.06</v>
      </c>
      <c r="DD54" s="138">
        <f t="shared" si="201"/>
        <v>11.237488299192547</v>
      </c>
      <c r="DE54" s="138">
        <f t="shared" si="276"/>
        <v>11.237488299192547</v>
      </c>
      <c r="DF54" s="115">
        <f t="shared" si="264"/>
        <v>660.93283081054687</v>
      </c>
      <c r="DG54" s="115">
        <v>657.57572678886868</v>
      </c>
      <c r="DH54" s="115">
        <f t="shared" si="277"/>
        <v>1.1210178219028757</v>
      </c>
      <c r="DI54" s="115">
        <f t="shared" si="112"/>
        <v>1.1201180431287023</v>
      </c>
      <c r="DJ54" s="138">
        <f t="shared" si="202"/>
        <v>2.7015709312092264</v>
      </c>
      <c r="DK54" s="138">
        <f t="shared" si="203"/>
        <v>2.6598313345017446</v>
      </c>
      <c r="DL54" s="115">
        <f t="shared" si="278"/>
        <v>660.93283081054687</v>
      </c>
      <c r="DM54" s="115">
        <f t="shared" si="167"/>
        <v>657.57572678886868</v>
      </c>
      <c r="DN54" s="115">
        <f t="shared" si="174"/>
        <v>12.795165529054518</v>
      </c>
      <c r="DO54" s="115">
        <f t="shared" si="114"/>
        <v>1.1210178219028757</v>
      </c>
      <c r="DP54" s="115">
        <f t="shared" si="292"/>
        <v>1.1201180431287023</v>
      </c>
      <c r="DQ54" s="115">
        <v>298.14999999999998</v>
      </c>
      <c r="DR54" s="138">
        <f t="shared" si="116"/>
        <v>1.7992462401853448</v>
      </c>
      <c r="DS54" s="138">
        <f t="shared" si="117"/>
        <v>1.771447668778162</v>
      </c>
      <c r="DT54" s="115">
        <f t="shared" si="289"/>
        <v>660.93283081054687</v>
      </c>
      <c r="DU54" s="139">
        <f t="shared" si="118"/>
        <v>6.416794724781095</v>
      </c>
      <c r="DV54" s="115">
        <f t="shared" si="279"/>
        <v>1.1210178219028757</v>
      </c>
      <c r="DW54" s="115">
        <v>298.14999999999998</v>
      </c>
      <c r="DX54" s="138">
        <f t="shared" si="204"/>
        <v>0.90232469102388158</v>
      </c>
      <c r="DY54" s="138">
        <f t="shared" si="205"/>
        <v>0.88838366572358274</v>
      </c>
      <c r="DZ54" s="138">
        <f t="shared" si="290"/>
        <v>2.8282868402941772</v>
      </c>
      <c r="EA54" s="138">
        <f t="shared" si="280"/>
        <v>3.7869385787719585</v>
      </c>
      <c r="EB54" s="115">
        <f t="shared" si="291"/>
        <v>24.361773431705338</v>
      </c>
      <c r="EC54" s="115">
        <v>30</v>
      </c>
      <c r="ED54" s="198">
        <f t="shared" ca="1" si="265"/>
        <v>125.80344444444444</v>
      </c>
      <c r="EE54" s="198">
        <v>104.83</v>
      </c>
      <c r="EF54" s="198">
        <f t="shared" ca="1" si="169"/>
        <v>0.42491111111111107</v>
      </c>
      <c r="EG54" s="199">
        <v>0.36720000000000003</v>
      </c>
      <c r="EH54" s="138">
        <f t="shared" ca="1" si="121"/>
        <v>9.1767795898511154E-2</v>
      </c>
      <c r="EI54" s="138">
        <f t="shared" ca="1" si="281"/>
        <v>9.1767795898511154E-2</v>
      </c>
      <c r="EJ54" s="115">
        <f t="shared" si="170"/>
        <v>12.795165529054518</v>
      </c>
      <c r="EK54" s="115">
        <v>435</v>
      </c>
      <c r="EL54" s="115">
        <f t="shared" ca="1" si="171"/>
        <v>444.93662579672457</v>
      </c>
      <c r="EM54" s="115">
        <f t="shared" ca="1" si="123"/>
        <v>1.0626018131287862</v>
      </c>
      <c r="EN54" s="115">
        <f t="shared" ca="1" si="124"/>
        <v>1.0656691333253803</v>
      </c>
      <c r="EO54" s="115">
        <v>298.14999999999998</v>
      </c>
      <c r="EP54" s="138">
        <f t="shared" ca="1" si="125"/>
        <v>0.32935409267443755</v>
      </c>
      <c r="EQ54" s="138">
        <f t="shared" ca="1" si="126"/>
        <v>0.37397442229955419</v>
      </c>
      <c r="ER54" s="115">
        <f t="shared" si="282"/>
        <v>0.95552676253848612</v>
      </c>
      <c r="ES54" s="115">
        <f t="shared" si="172"/>
        <v>453</v>
      </c>
      <c r="ET54" s="115">
        <f t="shared" ca="1" si="206"/>
        <v>2816.5993052117487</v>
      </c>
      <c r="EU54" s="115">
        <f t="shared" ca="1" si="207"/>
        <v>6.5855309782608691</v>
      </c>
      <c r="EV54" s="138">
        <f t="shared" ca="1" si="175"/>
        <v>0.81962594063099992</v>
      </c>
      <c r="EW54" s="138">
        <f t="shared" ca="1" si="208"/>
        <v>0.98855127721316727</v>
      </c>
      <c r="EX54" s="115">
        <v>21.47</v>
      </c>
      <c r="EY54" s="115">
        <f t="shared" ca="1" si="209"/>
        <v>119.13471820237901</v>
      </c>
      <c r="EZ54" s="115">
        <f t="shared" ca="1" si="210"/>
        <v>0.4032434538947211</v>
      </c>
      <c r="FA54" s="138">
        <f t="shared" ca="1" si="127"/>
        <v>7.6398041236150224E-2</v>
      </c>
      <c r="FB54" s="138">
        <f t="shared" ca="1" si="283"/>
        <v>7.6398041236150224E-2</v>
      </c>
      <c r="FC54" s="115">
        <f t="shared" si="266"/>
        <v>21.47</v>
      </c>
      <c r="FD54" s="115">
        <v>37</v>
      </c>
      <c r="FE54" s="115">
        <f t="shared" ca="1" si="267"/>
        <v>154.93355555555553</v>
      </c>
      <c r="FF54" s="115">
        <f t="shared" ca="1" si="268"/>
        <v>0.52252222222222222</v>
      </c>
      <c r="FG54" s="138">
        <f t="shared" ca="1" si="176"/>
        <v>8.1462225449999703E-2</v>
      </c>
      <c r="FH54" s="138">
        <f t="shared" ca="1" si="129"/>
        <v>8.1462225449999703E-2</v>
      </c>
      <c r="FI54" s="115">
        <f t="shared" si="284"/>
        <v>98.648081054687509</v>
      </c>
      <c r="FJ54" s="115">
        <f t="shared" ca="1" si="211"/>
        <v>41.89359572325813</v>
      </c>
      <c r="FK54" s="115">
        <f t="shared" ca="1" si="212"/>
        <v>0.14588241552776762</v>
      </c>
      <c r="FL54" s="138">
        <f t="shared" ca="1" si="177"/>
        <v>0.30082076639880401</v>
      </c>
      <c r="FM54" s="138">
        <f t="shared" ca="1" si="213"/>
        <v>0.48506718142339034</v>
      </c>
      <c r="FN54" s="115">
        <f t="shared" si="285"/>
        <v>98.648081054687509</v>
      </c>
      <c r="FO54" s="115">
        <f t="shared" ca="1" si="214"/>
        <v>57.468201014836637</v>
      </c>
      <c r="FP54" s="115">
        <f t="shared" ca="1" si="215"/>
        <v>0.19777571357091267</v>
      </c>
      <c r="FQ54" s="138">
        <f t="shared" ca="1" si="178"/>
        <v>0.31094388253301325</v>
      </c>
      <c r="FR54" s="138">
        <f t="shared" ca="1" si="216"/>
        <v>0.50139049403649871</v>
      </c>
      <c r="FS54" s="139">
        <f t="shared" si="217"/>
        <v>5.7076305276891421</v>
      </c>
      <c r="FT54" s="249">
        <f t="shared" si="132"/>
        <v>4.7907183859188445</v>
      </c>
      <c r="FU54" s="139">
        <f t="shared" ca="1" si="218"/>
        <v>0.74203400277841869</v>
      </c>
      <c r="FV54" s="249">
        <f t="shared" ca="1" si="134"/>
        <v>0.50068976516395169</v>
      </c>
      <c r="FW54" s="139">
        <f t="shared" ca="1" si="286"/>
        <v>0.82468487255135958</v>
      </c>
      <c r="FX54" s="249">
        <f t="shared" ca="1" si="136"/>
        <v>0.99981040561242607</v>
      </c>
      <c r="FY54" s="249">
        <f t="shared" si="219"/>
        <v>0.15000000000000002</v>
      </c>
      <c r="FZ54" s="139">
        <f t="shared" si="220"/>
        <v>1050000</v>
      </c>
      <c r="GA54" s="139">
        <f t="shared" si="137"/>
        <v>3.3757716049382713E-2</v>
      </c>
      <c r="GB54" s="139">
        <f t="shared" si="138"/>
        <v>121.52777777777777</v>
      </c>
      <c r="GC54" s="139">
        <f t="shared" si="221"/>
        <v>1050000</v>
      </c>
      <c r="GD54" s="139">
        <f t="shared" si="139"/>
        <v>6.7515432098765427E-2</v>
      </c>
      <c r="GE54" s="139">
        <f t="shared" si="140"/>
        <v>243.05555555555554</v>
      </c>
      <c r="GF54" s="139">
        <f t="shared" si="141"/>
        <v>4.5814043209876545E-2</v>
      </c>
      <c r="GG54" s="139">
        <f t="shared" si="222"/>
        <v>712500</v>
      </c>
      <c r="GH54" s="139">
        <f t="shared" si="142"/>
        <v>164.93055555555554</v>
      </c>
      <c r="GI54" s="137">
        <f t="shared" si="223"/>
        <v>55.416825244505965</v>
      </c>
      <c r="GJ54" s="137">
        <f t="shared" si="143"/>
        <v>0.19950057088021989</v>
      </c>
      <c r="GK54" s="251">
        <f t="shared" si="224"/>
        <v>41.547021866592978</v>
      </c>
      <c r="GL54" s="137">
        <f t="shared" si="164"/>
        <v>0.14956927871973352</v>
      </c>
      <c r="GM54" s="137">
        <f t="shared" ca="1" si="225"/>
        <v>8.8880485076843545</v>
      </c>
      <c r="GN54" s="137">
        <f t="shared" ca="1" si="144"/>
        <v>3.1996974627663419E-2</v>
      </c>
      <c r="GO54" s="137">
        <f t="shared" ca="1" si="145"/>
        <v>0.11250694313524409</v>
      </c>
      <c r="GP54" s="137">
        <f t="shared" ca="1" si="226"/>
        <v>9.3755303916348041</v>
      </c>
      <c r="GQ54" s="137">
        <f t="shared" ca="1" si="146"/>
        <v>3.3751909409885025E-2</v>
      </c>
      <c r="GR54" s="137">
        <f t="shared" ca="1" si="147"/>
        <v>0.1186775998941105</v>
      </c>
      <c r="GS54" s="140">
        <f t="shared" si="227"/>
        <v>8.2229833012417472E-2</v>
      </c>
      <c r="GT54" s="140">
        <f t="shared" si="228"/>
        <v>6.9019879785932797E-2</v>
      </c>
      <c r="GU54" s="140">
        <f t="shared" si="287"/>
        <v>296.02739884470287</v>
      </c>
      <c r="GV54" s="140">
        <f t="shared" si="149"/>
        <v>248.47156722935807</v>
      </c>
      <c r="GW54" s="141">
        <f t="shared" ca="1" si="229"/>
        <v>7.1198622627670983E-3</v>
      </c>
      <c r="GX54" s="141">
        <f t="shared" ca="1" si="230"/>
        <v>4.8041493395135568E-3</v>
      </c>
      <c r="GY54" s="141">
        <f t="shared" ca="1" si="150"/>
        <v>25.631504145961554</v>
      </c>
      <c r="GZ54" s="141">
        <f t="shared" ca="1" si="165"/>
        <v>17.294937622248803</v>
      </c>
      <c r="HA54" s="141">
        <f t="shared" ca="1" si="231"/>
        <v>1.597991766301788E-2</v>
      </c>
      <c r="HB54" s="141">
        <f t="shared" ca="1" si="232"/>
        <v>1.4949316620305266E-2</v>
      </c>
      <c r="HC54" s="141">
        <f t="shared" ca="1" si="233"/>
        <v>57.527703586864369</v>
      </c>
      <c r="HD54" s="141">
        <f t="shared" ca="1" si="152"/>
        <v>53.817539833098955</v>
      </c>
      <c r="HE54" s="137">
        <f t="shared" si="153"/>
        <v>8.5359173679833198</v>
      </c>
      <c r="HF54" s="250">
        <f t="shared" si="154"/>
        <v>8.577656964690803</v>
      </c>
      <c r="HG54" s="137">
        <v>2.8282868402941772</v>
      </c>
      <c r="HH54" s="251">
        <v>3.7105054630162324</v>
      </c>
      <c r="HI54" s="137">
        <f t="shared" ca="1" si="155"/>
        <v>1.4252718178857906</v>
      </c>
      <c r="HJ54" s="251">
        <f t="shared" ca="1" si="156"/>
        <v>1.3974732464786077</v>
      </c>
      <c r="HK54" s="137">
        <f t="shared" ca="1" si="157"/>
        <v>0.72785814473248878</v>
      </c>
      <c r="HL54" s="251">
        <f t="shared" ca="1" si="158"/>
        <v>0.89678348131465613</v>
      </c>
      <c r="HM54" s="137">
        <f t="shared" ca="1" si="159"/>
        <v>0.81962594063099992</v>
      </c>
      <c r="HN54" s="251">
        <f t="shared" ca="1" si="160"/>
        <v>0.98855127721316727</v>
      </c>
      <c r="HO54" s="137">
        <f t="shared" ca="1" si="161"/>
        <v>0.30082076639880401</v>
      </c>
      <c r="HP54" s="251">
        <f t="shared" ca="1" si="162"/>
        <v>0.48506718142339034</v>
      </c>
      <c r="JN54" s="143">
        <f t="shared" si="234"/>
        <v>19.211960253835613</v>
      </c>
      <c r="JO54" s="143">
        <f t="shared" si="235"/>
        <v>2828.2868402941772</v>
      </c>
      <c r="JP54" s="143">
        <f t="shared" si="236"/>
        <v>3786.9385787719584</v>
      </c>
      <c r="JQ54" s="143">
        <f t="shared" si="237"/>
        <v>0.95552676253848612</v>
      </c>
      <c r="JR54" s="143">
        <f t="shared" ca="1" si="238"/>
        <v>1.1524613298495412</v>
      </c>
      <c r="JS54" s="143">
        <f t="shared" si="239"/>
        <v>98.648081054687509</v>
      </c>
      <c r="JT54" s="143">
        <f t="shared" ca="1" si="240"/>
        <v>159.06796330206299</v>
      </c>
      <c r="JU54" s="143">
        <f t="shared" si="256"/>
        <v>0.26678417551075395</v>
      </c>
      <c r="JV54" s="143">
        <f t="shared" si="241"/>
        <v>0.35721104099273748</v>
      </c>
      <c r="JW54" s="143">
        <f t="shared" ca="1" si="242"/>
        <v>0.24208040614213697</v>
      </c>
      <c r="JX54" s="143">
        <f t="shared" ca="1" si="243"/>
        <v>0.29197330491499163</v>
      </c>
      <c r="JY54" s="143">
        <f t="shared" si="244"/>
        <v>0.75100661156314275</v>
      </c>
      <c r="JZ54" s="143">
        <f t="shared" si="245"/>
        <v>0.73350018242422133</v>
      </c>
      <c r="KA54" s="143">
        <f t="shared" si="246"/>
        <v>0.25168318444410748</v>
      </c>
      <c r="KB54" s="143">
        <f t="shared" si="247"/>
        <v>0.33699154810635606</v>
      </c>
      <c r="KC54" s="143">
        <f t="shared" ca="1" si="248"/>
        <v>0.49517792578525749</v>
      </c>
      <c r="KD54" s="143">
        <f t="shared" ca="1" si="249"/>
        <v>0.64171781719213328</v>
      </c>
      <c r="KE54" s="143">
        <f t="shared" ca="1" si="250"/>
        <v>0.49068489678233695</v>
      </c>
      <c r="KF54" s="143">
        <f t="shared" ca="1" si="251"/>
        <v>0.36702201758916164</v>
      </c>
      <c r="KG54" s="142">
        <f t="shared" si="252"/>
        <v>0.14956927871973352</v>
      </c>
      <c r="KH54" s="142">
        <f t="shared" ca="1" si="253"/>
        <v>0.1186775998941105</v>
      </c>
      <c r="KI54" s="142">
        <f t="shared" ca="1" si="254"/>
        <v>379.18660657752883</v>
      </c>
      <c r="KJ54" s="142">
        <f t="shared" ca="1" si="255"/>
        <v>319.58404468470587</v>
      </c>
    </row>
    <row r="55" spans="1:296" x14ac:dyDescent="0.3">
      <c r="A55" s="194">
        <v>41351</v>
      </c>
      <c r="B55" s="196">
        <v>54</v>
      </c>
      <c r="C55" s="177">
        <v>24</v>
      </c>
      <c r="D55" s="166">
        <v>4.2</v>
      </c>
      <c r="E55" s="166">
        <v>50016</v>
      </c>
      <c r="F55" s="166">
        <v>300</v>
      </c>
      <c r="G55" s="166">
        <v>11.7</v>
      </c>
      <c r="H55" s="166">
        <v>0.85</v>
      </c>
      <c r="I55" s="166">
        <v>1.4</v>
      </c>
      <c r="J55" s="166">
        <v>1.33</v>
      </c>
      <c r="K55" s="166">
        <v>0.91</v>
      </c>
      <c r="L55" s="166">
        <v>28337.775823332369</v>
      </c>
      <c r="M55" s="169">
        <v>19</v>
      </c>
      <c r="N55" s="167">
        <v>76271.309168800712</v>
      </c>
      <c r="O55" s="176">
        <v>17</v>
      </c>
      <c r="P55" s="166">
        <v>2</v>
      </c>
      <c r="Q55" s="166">
        <v>5</v>
      </c>
      <c r="R55" s="168">
        <v>398.86892700195312</v>
      </c>
      <c r="S55" s="169">
        <v>92.814229416311719</v>
      </c>
      <c r="T55" s="166">
        <v>180</v>
      </c>
      <c r="U55" s="170">
        <v>3.6646273136138916</v>
      </c>
      <c r="V55" s="176">
        <v>17</v>
      </c>
      <c r="W55" s="166">
        <v>1250</v>
      </c>
      <c r="X55" s="169">
        <v>85945.624717995524</v>
      </c>
      <c r="Y55" s="169">
        <v>11910.287784283981</v>
      </c>
      <c r="Z55" s="169">
        <v>351.5906982421875</v>
      </c>
      <c r="AA55" s="169">
        <v>11.251971244812012</v>
      </c>
      <c r="AB55" s="169">
        <v>15.382678985595703</v>
      </c>
      <c r="AC55" s="212">
        <v>37</v>
      </c>
      <c r="AD55" s="212">
        <v>29.59687614440918</v>
      </c>
      <c r="AE55" s="254">
        <v>20</v>
      </c>
      <c r="AF55" s="254">
        <v>10</v>
      </c>
      <c r="AG55" s="217">
        <v>5000000</v>
      </c>
      <c r="AH55" s="218">
        <v>300000</v>
      </c>
      <c r="AI55" s="219">
        <v>5000000</v>
      </c>
      <c r="AJ55" s="225">
        <f t="shared" si="179"/>
        <v>300000</v>
      </c>
      <c r="AK55" s="220">
        <v>2750000</v>
      </c>
      <c r="AL55" s="226">
        <f t="shared" si="180"/>
        <v>300000</v>
      </c>
      <c r="AM55" s="221">
        <v>14.407</v>
      </c>
      <c r="BM55" s="197">
        <f t="shared" si="181"/>
        <v>7.4031238555908203</v>
      </c>
      <c r="BN55" s="196">
        <f t="shared" si="182"/>
        <v>180</v>
      </c>
      <c r="BO55" s="197">
        <f t="shared" si="183"/>
        <v>4.1307077407836914</v>
      </c>
      <c r="BP55" s="196">
        <f t="shared" si="173"/>
        <v>12.693973284781185</v>
      </c>
      <c r="BQ55" s="115">
        <f t="shared" si="184"/>
        <v>659.74492511188635</v>
      </c>
      <c r="BR55" s="184">
        <f t="shared" si="185"/>
        <v>1.0041987768</v>
      </c>
      <c r="BS55" s="115">
        <f t="shared" si="186"/>
        <v>6863.8528613899143</v>
      </c>
      <c r="BT55" s="196">
        <v>900</v>
      </c>
      <c r="BU55" s="115">
        <f t="shared" si="288"/>
        <v>1.1850729520000001</v>
      </c>
      <c r="BV55" s="115">
        <f t="shared" si="269"/>
        <v>1.0759021466975829</v>
      </c>
      <c r="BW55" s="115">
        <f t="shared" si="270"/>
        <v>487.04954867036781</v>
      </c>
      <c r="BX55" s="115">
        <f t="shared" si="187"/>
        <v>1171.6762035695674</v>
      </c>
      <c r="BY55" s="115"/>
      <c r="BZ55" s="115">
        <f t="shared" si="188"/>
        <v>684.62665489919959</v>
      </c>
      <c r="CA55" s="115">
        <f t="shared" si="189"/>
        <v>11101.249809439962</v>
      </c>
      <c r="CB55" s="115">
        <f t="shared" si="190"/>
        <v>3177.9712153666965</v>
      </c>
      <c r="CC55" s="115">
        <f t="shared" si="191"/>
        <v>1180.7406593055155</v>
      </c>
      <c r="CD55" s="129">
        <f t="shared" si="271"/>
        <v>0.23329285572906985</v>
      </c>
      <c r="CE55" s="115">
        <f t="shared" si="192"/>
        <v>20.681805778952207</v>
      </c>
      <c r="CF55" s="115">
        <f t="shared" si="193"/>
        <v>25.781730393419924</v>
      </c>
      <c r="CG55" s="115">
        <f t="shared" si="194"/>
        <v>0.02</v>
      </c>
      <c r="CH55" s="115">
        <f t="shared" si="195"/>
        <v>0.05</v>
      </c>
      <c r="CI55" s="136">
        <v>30</v>
      </c>
      <c r="CJ55" s="115">
        <f t="shared" si="257"/>
        <v>165</v>
      </c>
      <c r="CK55" s="115">
        <f t="shared" si="196"/>
        <v>453</v>
      </c>
      <c r="CL55" s="115">
        <f t="shared" si="197"/>
        <v>671.86892700195312</v>
      </c>
      <c r="CM55" s="115">
        <f t="shared" ca="1" si="198"/>
        <v>2816.5993052117487</v>
      </c>
      <c r="CN55" s="115">
        <f t="shared" ca="1" si="258"/>
        <v>125.80344444444444</v>
      </c>
      <c r="CO55" s="115">
        <f t="shared" ca="1" si="259"/>
        <v>690.58718083896258</v>
      </c>
      <c r="CP55" s="115">
        <f t="shared" ca="1" si="260"/>
        <v>2790.6388281929471</v>
      </c>
      <c r="CQ55" s="115">
        <f t="shared" si="272"/>
        <v>1.072449112508886</v>
      </c>
      <c r="CR55" s="115">
        <f t="shared" ca="1" si="199"/>
        <v>603.66888944724235</v>
      </c>
      <c r="CS55" s="115">
        <f t="shared" ca="1" si="200"/>
        <v>29.863615163239526</v>
      </c>
      <c r="CT55" s="115">
        <f t="shared" si="273"/>
        <v>1.1239532514007375</v>
      </c>
      <c r="CU55" s="115">
        <f t="shared" ca="1" si="274"/>
        <v>1.0203477324150689</v>
      </c>
      <c r="CV55" s="115">
        <f t="shared" si="108"/>
        <v>211.62665489919959</v>
      </c>
      <c r="CW55" s="115">
        <f t="shared" si="261"/>
        <v>473</v>
      </c>
      <c r="CX55" s="115">
        <f t="shared" si="262"/>
        <v>438</v>
      </c>
      <c r="CY55" s="115">
        <f t="shared" ca="1" si="275"/>
        <v>443.1363848367605</v>
      </c>
      <c r="CZ55" s="115">
        <f t="shared" ca="1" si="263"/>
        <v>228.73254216519263</v>
      </c>
      <c r="DA55" s="115">
        <v>0.21890000000000001</v>
      </c>
      <c r="DB55" s="115">
        <v>2.7E-2</v>
      </c>
      <c r="DC55" s="115">
        <v>1.06</v>
      </c>
      <c r="DD55" s="138">
        <f t="shared" si="201"/>
        <v>12.368478000473868</v>
      </c>
      <c r="DE55" s="138">
        <f t="shared" si="276"/>
        <v>12.368478000473868</v>
      </c>
      <c r="DF55" s="115">
        <f t="shared" si="264"/>
        <v>671.86892700195312</v>
      </c>
      <c r="DG55" s="115">
        <v>684.62665489919959</v>
      </c>
      <c r="DH55" s="115">
        <f t="shared" si="277"/>
        <v>1.1239532514007375</v>
      </c>
      <c r="DI55" s="115">
        <f t="shared" si="112"/>
        <v>1.1273849739781692</v>
      </c>
      <c r="DJ55" s="138">
        <f t="shared" si="202"/>
        <v>2.8422892355330767</v>
      </c>
      <c r="DK55" s="138">
        <f t="shared" si="203"/>
        <v>3.0059904853656043</v>
      </c>
      <c r="DL55" s="115">
        <f t="shared" si="278"/>
        <v>671.86892700195312</v>
      </c>
      <c r="DM55" s="115">
        <f t="shared" si="167"/>
        <v>684.62665489919959</v>
      </c>
      <c r="DN55" s="115">
        <f t="shared" si="174"/>
        <v>12.80937304191556</v>
      </c>
      <c r="DO55" s="115">
        <f t="shared" si="114"/>
        <v>1.1239532514007375</v>
      </c>
      <c r="DP55" s="115">
        <f t="shared" si="292"/>
        <v>1.1273849739781692</v>
      </c>
      <c r="DQ55" s="115">
        <v>298.14999999999998</v>
      </c>
      <c r="DR55" s="138">
        <f t="shared" si="116"/>
        <v>1.892964630865029</v>
      </c>
      <c r="DS55" s="138">
        <f t="shared" si="117"/>
        <v>2.0019896632534926</v>
      </c>
      <c r="DT55" s="115">
        <f t="shared" si="289"/>
        <v>671.86892700195312</v>
      </c>
      <c r="DU55" s="139">
        <f t="shared" si="118"/>
        <v>6.4239198138135087</v>
      </c>
      <c r="DV55" s="115">
        <f t="shared" si="279"/>
        <v>1.1239532514007375</v>
      </c>
      <c r="DW55" s="115">
        <v>298.14999999999998</v>
      </c>
      <c r="DX55" s="138">
        <f t="shared" si="204"/>
        <v>0.94932460466804758</v>
      </c>
      <c r="DY55" s="138">
        <f t="shared" si="205"/>
        <v>1.0040008221121119</v>
      </c>
      <c r="DZ55" s="138">
        <f t="shared" si="290"/>
        <v>3.1779712153666964</v>
      </c>
      <c r="EA55" s="138">
        <f t="shared" si="280"/>
        <v>4.2373969480500477</v>
      </c>
      <c r="EB55" s="115">
        <f t="shared" si="291"/>
        <v>25.781730393419924</v>
      </c>
      <c r="EC55" s="115">
        <v>30</v>
      </c>
      <c r="ED55" s="198">
        <f t="shared" ca="1" si="265"/>
        <v>125.80344444444444</v>
      </c>
      <c r="EE55" s="198">
        <v>104.83</v>
      </c>
      <c r="EF55" s="198">
        <f t="shared" ca="1" si="169"/>
        <v>0.42491111111111107</v>
      </c>
      <c r="EG55" s="199">
        <v>0.36720000000000003</v>
      </c>
      <c r="EH55" s="138">
        <f t="shared" ca="1" si="121"/>
        <v>9.7116598645264743E-2</v>
      </c>
      <c r="EI55" s="138">
        <f t="shared" ca="1" si="281"/>
        <v>9.7116598645264743E-2</v>
      </c>
      <c r="EJ55" s="115">
        <f t="shared" si="170"/>
        <v>12.80937304191556</v>
      </c>
      <c r="EK55" s="115">
        <v>435</v>
      </c>
      <c r="EL55" s="115">
        <f t="shared" ca="1" si="171"/>
        <v>443.1363848367605</v>
      </c>
      <c r="EM55" s="115">
        <f t="shared" ca="1" si="123"/>
        <v>1.0627321959143186</v>
      </c>
      <c r="EN55" s="115">
        <f t="shared" ca="1" si="124"/>
        <v>1.065239829068815</v>
      </c>
      <c r="EO55" s="115">
        <v>298.14999999999998</v>
      </c>
      <c r="EP55" s="138">
        <f t="shared" ca="1" si="125"/>
        <v>0.3297602584068679</v>
      </c>
      <c r="EQ55" s="138">
        <f t="shared" ca="1" si="126"/>
        <v>0.36616834089419642</v>
      </c>
      <c r="ER55" s="115">
        <f t="shared" si="282"/>
        <v>1.0179520315594144</v>
      </c>
      <c r="ES55" s="115">
        <f t="shared" si="172"/>
        <v>453</v>
      </c>
      <c r="ET55" s="115">
        <f t="shared" ca="1" si="206"/>
        <v>2816.5993052117487</v>
      </c>
      <c r="EU55" s="115">
        <f t="shared" ca="1" si="207"/>
        <v>6.5855309782608691</v>
      </c>
      <c r="EV55" s="138">
        <f t="shared" ca="1" si="175"/>
        <v>0.87317270859853846</v>
      </c>
      <c r="EW55" s="138">
        <f t="shared" ca="1" si="208"/>
        <v>1.1376604949007934</v>
      </c>
      <c r="EX55" s="115">
        <v>21.47</v>
      </c>
      <c r="EY55" s="115">
        <f t="shared" ca="1" si="209"/>
        <v>123.95065965059068</v>
      </c>
      <c r="EZ55" s="115">
        <f t="shared" ca="1" si="210"/>
        <v>0.41928977290259467</v>
      </c>
      <c r="FA55" s="138">
        <f t="shared" ca="1" si="127"/>
        <v>7.7079315167374471E-2</v>
      </c>
      <c r="FB55" s="138">
        <f t="shared" ca="1" si="283"/>
        <v>7.7079315167374471E-2</v>
      </c>
      <c r="FC55" s="115">
        <f t="shared" si="266"/>
        <v>21.47</v>
      </c>
      <c r="FD55" s="115">
        <v>37</v>
      </c>
      <c r="FE55" s="115">
        <f t="shared" ca="1" si="267"/>
        <v>154.93355555555553</v>
      </c>
      <c r="FF55" s="115">
        <f t="shared" ca="1" si="268"/>
        <v>0.52252222222222222</v>
      </c>
      <c r="FG55" s="138">
        <f t="shared" ca="1" si="176"/>
        <v>8.1462225449999703E-2</v>
      </c>
      <c r="FH55" s="138">
        <f t="shared" ca="1" si="129"/>
        <v>8.1462225449999703E-2</v>
      </c>
      <c r="FI55" s="115">
        <f t="shared" si="284"/>
        <v>98.445395507812506</v>
      </c>
      <c r="FJ55" s="115">
        <f t="shared" ca="1" si="211"/>
        <v>47.175194323009919</v>
      </c>
      <c r="FK55" s="115">
        <f t="shared" ca="1" si="212"/>
        <v>0.16348026569154528</v>
      </c>
      <c r="FL55" s="138">
        <f t="shared" ca="1" si="177"/>
        <v>0.30362854806435646</v>
      </c>
      <c r="FM55" s="138">
        <f t="shared" ca="1" si="213"/>
        <v>0.5477921704980182</v>
      </c>
      <c r="FN55" s="115">
        <f t="shared" si="285"/>
        <v>98.445395507812506</v>
      </c>
      <c r="FO55" s="115">
        <f t="shared" ca="1" si="214"/>
        <v>64.462665185716418</v>
      </c>
      <c r="FP55" s="115">
        <f t="shared" ca="1" si="215"/>
        <v>0.22108069029914007</v>
      </c>
      <c r="FQ55" s="138">
        <f t="shared" ca="1" si="178"/>
        <v>0.31484189857603945</v>
      </c>
      <c r="FR55" s="138">
        <f t="shared" ca="1" si="216"/>
        <v>0.56802276361750292</v>
      </c>
      <c r="FS55" s="139">
        <f t="shared" si="217"/>
        <v>6.3482175495740947</v>
      </c>
      <c r="FT55" s="249">
        <f t="shared" si="132"/>
        <v>5.1250905670582156</v>
      </c>
      <c r="FU55" s="139">
        <f t="shared" ca="1" si="218"/>
        <v>0.78714826250488734</v>
      </c>
      <c r="FV55" s="249">
        <f t="shared" ca="1" si="134"/>
        <v>0.59527742610376744</v>
      </c>
      <c r="FW55" s="139">
        <f t="shared" ca="1" si="286"/>
        <v>0.88000314882759623</v>
      </c>
      <c r="FX55" s="249">
        <f t="shared" ca="1" si="136"/>
        <v>1.153508177737653</v>
      </c>
      <c r="FY55" s="249">
        <f t="shared" si="219"/>
        <v>0.15000000000000002</v>
      </c>
      <c r="FZ55" s="139">
        <f t="shared" si="220"/>
        <v>1050000</v>
      </c>
      <c r="GA55" s="139">
        <f t="shared" si="137"/>
        <v>3.3757716049382713E-2</v>
      </c>
      <c r="GB55" s="139">
        <f t="shared" si="138"/>
        <v>121.52777777777777</v>
      </c>
      <c r="GC55" s="139">
        <f t="shared" si="221"/>
        <v>1050000</v>
      </c>
      <c r="GD55" s="139">
        <f t="shared" si="139"/>
        <v>6.7515432098765427E-2</v>
      </c>
      <c r="GE55" s="139">
        <f t="shared" si="140"/>
        <v>243.05555555555554</v>
      </c>
      <c r="GF55" s="139">
        <f t="shared" si="141"/>
        <v>4.5814043209876545E-2</v>
      </c>
      <c r="GG55" s="139">
        <f t="shared" si="222"/>
        <v>712500</v>
      </c>
      <c r="GH55" s="139">
        <f t="shared" si="142"/>
        <v>164.93055555555554</v>
      </c>
      <c r="GI55" s="137">
        <f t="shared" si="223"/>
        <v>53.808390950499323</v>
      </c>
      <c r="GJ55" s="137">
        <f t="shared" si="143"/>
        <v>0.19371020742179601</v>
      </c>
      <c r="GK55" s="251">
        <f t="shared" si="224"/>
        <v>39.798743366998714</v>
      </c>
      <c r="GL55" s="137">
        <f t="shared" si="164"/>
        <v>0.14327547612119423</v>
      </c>
      <c r="GM55" s="137">
        <f t="shared" ca="1" si="225"/>
        <v>9.5947591993812029</v>
      </c>
      <c r="GN55" s="137">
        <f t="shared" ca="1" si="144"/>
        <v>3.4541133117772058E-2</v>
      </c>
      <c r="GO55" s="137">
        <f t="shared" ca="1" si="145"/>
        <v>0.12145264809343199</v>
      </c>
      <c r="GP55" s="137">
        <f t="shared" ca="1" si="226"/>
        <v>10.227667807235965</v>
      </c>
      <c r="GQ55" s="137">
        <f t="shared" ca="1" si="146"/>
        <v>3.6819604106049182E-2</v>
      </c>
      <c r="GR55" s="137">
        <f t="shared" ca="1" si="147"/>
        <v>0.12946414945868209</v>
      </c>
      <c r="GS55" s="140">
        <f t="shared" si="227"/>
        <v>9.145877023671399E-2</v>
      </c>
      <c r="GT55" s="140">
        <f t="shared" si="228"/>
        <v>7.3837179799607716E-2</v>
      </c>
      <c r="GU55" s="140">
        <f t="shared" si="287"/>
        <v>329.25157285217034</v>
      </c>
      <c r="GV55" s="140">
        <f t="shared" si="149"/>
        <v>265.81384727858779</v>
      </c>
      <c r="GW55" s="141">
        <f t="shared" ca="1" si="229"/>
        <v>7.5527363819266691E-3</v>
      </c>
      <c r="GX55" s="141">
        <f t="shared" ca="1" si="230"/>
        <v>5.7117238106660665E-3</v>
      </c>
      <c r="GY55" s="141">
        <f t="shared" ca="1" si="150"/>
        <v>27.189850974936007</v>
      </c>
      <c r="GZ55" s="141">
        <f t="shared" ca="1" si="165"/>
        <v>20.562205718397841</v>
      </c>
      <c r="HA55" s="141">
        <f t="shared" ca="1" si="231"/>
        <v>1.7008054943234874E-2</v>
      </c>
      <c r="HB55" s="141">
        <f t="shared" ca="1" si="232"/>
        <v>1.7399786598316206E-2</v>
      </c>
      <c r="HC55" s="141">
        <f t="shared" ca="1" si="233"/>
        <v>61.228997795645547</v>
      </c>
      <c r="HD55" s="141">
        <f t="shared" ca="1" si="152"/>
        <v>62.63923175393834</v>
      </c>
      <c r="HE55" s="137">
        <f t="shared" si="153"/>
        <v>9.526188764940791</v>
      </c>
      <c r="HF55" s="250">
        <f t="shared" si="154"/>
        <v>9.3624875151082634</v>
      </c>
      <c r="HG55" s="137">
        <v>3.1779712153666964</v>
      </c>
      <c r="HH55" s="251">
        <v>4.5281819919430779</v>
      </c>
      <c r="HI55" s="137">
        <f t="shared" ca="1" si="155"/>
        <v>1.5267962899708325</v>
      </c>
      <c r="HJ55" s="251">
        <f t="shared" ca="1" si="156"/>
        <v>1.6358213223592961</v>
      </c>
      <c r="HK55" s="137">
        <f t="shared" ca="1" si="157"/>
        <v>0.77605610995327368</v>
      </c>
      <c r="HL55" s="251">
        <f t="shared" ca="1" si="158"/>
        <v>1.0405438962555287</v>
      </c>
      <c r="HM55" s="137">
        <f t="shared" ca="1" si="159"/>
        <v>0.87317270859853846</v>
      </c>
      <c r="HN55" s="251">
        <f t="shared" ca="1" si="160"/>
        <v>1.1376604949007934</v>
      </c>
      <c r="HO55" s="137">
        <f t="shared" ca="1" si="161"/>
        <v>0.30362854806435646</v>
      </c>
      <c r="HP55" s="251">
        <f t="shared" ca="1" si="162"/>
        <v>0.5477921704980182</v>
      </c>
      <c r="JN55" s="143">
        <f t="shared" si="234"/>
        <v>19.233292855729069</v>
      </c>
      <c r="JO55" s="143">
        <f t="shared" si="235"/>
        <v>3177.9712153666965</v>
      </c>
      <c r="JP55" s="143">
        <f t="shared" si="236"/>
        <v>4237.3969480500473</v>
      </c>
      <c r="JQ55" s="143">
        <f t="shared" si="237"/>
        <v>1.0179520315594144</v>
      </c>
      <c r="JR55" s="143">
        <f t="shared" ca="1" si="238"/>
        <v>1.3262941003594828</v>
      </c>
      <c r="JS55" s="143">
        <f t="shared" si="239"/>
        <v>98.445395507812506</v>
      </c>
      <c r="JT55" s="143">
        <f t="shared" ca="1" si="240"/>
        <v>177.61049553657281</v>
      </c>
      <c r="JU55" s="143">
        <f t="shared" si="256"/>
        <v>0.27235764078325864</v>
      </c>
      <c r="JV55" s="143">
        <f t="shared" si="241"/>
        <v>0.36315226212642854</v>
      </c>
      <c r="JW55" s="143">
        <f t="shared" ca="1" si="242"/>
        <v>0.23435156443497218</v>
      </c>
      <c r="JX55" s="143">
        <f t="shared" ca="1" si="243"/>
        <v>0.30533766590550526</v>
      </c>
      <c r="JY55" s="143">
        <f t="shared" si="244"/>
        <v>0.72214350224026969</v>
      </c>
      <c r="JZ55" s="143">
        <f t="shared" si="245"/>
        <v>1.2103650420706134</v>
      </c>
      <c r="KA55" s="143">
        <f t="shared" si="246"/>
        <v>0.25694117055024396</v>
      </c>
      <c r="KB55" s="143">
        <f t="shared" si="247"/>
        <v>0.34259647370417784</v>
      </c>
      <c r="KC55" s="143">
        <f t="shared" ca="1" si="248"/>
        <v>0.4964521105662687</v>
      </c>
      <c r="KD55" s="143">
        <f t="shared" ca="1" si="249"/>
        <v>0.63609874870366856</v>
      </c>
      <c r="KE55" s="143">
        <f t="shared" ca="1" si="250"/>
        <v>0.48150759646953106</v>
      </c>
      <c r="KF55" s="143">
        <f t="shared" ca="1" si="251"/>
        <v>0.34773023145866183</v>
      </c>
      <c r="KG55" s="142">
        <f t="shared" si="252"/>
        <v>0.14327547612119423</v>
      </c>
      <c r="KH55" s="142">
        <f t="shared" ca="1" si="253"/>
        <v>0.12946414945868209</v>
      </c>
      <c r="KI55" s="142">
        <f t="shared" ca="1" si="254"/>
        <v>417.67042162275192</v>
      </c>
      <c r="KJ55" s="142">
        <f t="shared" ca="1" si="255"/>
        <v>349.01528475092397</v>
      </c>
    </row>
    <row r="56" spans="1:296" x14ac:dyDescent="0.3">
      <c r="A56" s="194">
        <v>41352</v>
      </c>
      <c r="B56" s="196">
        <v>55</v>
      </c>
      <c r="C56" s="177">
        <v>24</v>
      </c>
      <c r="D56" s="166">
        <v>4.2</v>
      </c>
      <c r="E56" s="166">
        <v>50016</v>
      </c>
      <c r="F56" s="166">
        <v>300</v>
      </c>
      <c r="G56" s="166">
        <v>11.7</v>
      </c>
      <c r="H56" s="166">
        <v>0.85</v>
      </c>
      <c r="I56" s="166">
        <v>1.4</v>
      </c>
      <c r="J56" s="166">
        <v>1.33</v>
      </c>
      <c r="K56" s="166">
        <v>0.91</v>
      </c>
      <c r="L56" s="166">
        <v>26377.888870820403</v>
      </c>
      <c r="M56" s="169">
        <v>19</v>
      </c>
      <c r="N56" s="167">
        <v>70937.916944235563</v>
      </c>
      <c r="O56" s="176">
        <v>17</v>
      </c>
      <c r="P56" s="166">
        <v>2</v>
      </c>
      <c r="Q56" s="166">
        <v>5</v>
      </c>
      <c r="R56" s="168">
        <v>392.54776000976562</v>
      </c>
      <c r="S56" s="169">
        <v>84.308621949894587</v>
      </c>
      <c r="T56" s="166">
        <v>180</v>
      </c>
      <c r="U56" s="170">
        <v>3.3518338203430176</v>
      </c>
      <c r="V56" s="176">
        <v>17</v>
      </c>
      <c r="W56" s="166">
        <v>1250</v>
      </c>
      <c r="X56" s="169">
        <v>86389.607480376959</v>
      </c>
      <c r="Y56" s="169">
        <v>12058.711619533598</v>
      </c>
      <c r="Z56" s="169">
        <v>368.48922729492187</v>
      </c>
      <c r="AA56" s="169">
        <v>10.519038200378418</v>
      </c>
      <c r="AB56" s="169">
        <v>14.351489067077637</v>
      </c>
      <c r="AC56" s="212">
        <v>37</v>
      </c>
      <c r="AD56" s="212">
        <v>29.574359893798828</v>
      </c>
      <c r="AE56" s="254">
        <v>20</v>
      </c>
      <c r="AF56" s="254">
        <v>10</v>
      </c>
      <c r="AG56" s="217">
        <v>5000000</v>
      </c>
      <c r="AH56" s="218">
        <v>300000</v>
      </c>
      <c r="AI56" s="219">
        <v>5000000</v>
      </c>
      <c r="AJ56" s="225">
        <f t="shared" si="179"/>
        <v>300000</v>
      </c>
      <c r="AK56" s="220">
        <v>2750000</v>
      </c>
      <c r="AL56" s="226">
        <f t="shared" si="180"/>
        <v>300000</v>
      </c>
      <c r="AM56" s="221">
        <v>14.407</v>
      </c>
      <c r="BM56" s="197">
        <f t="shared" si="181"/>
        <v>7.4256401062011719</v>
      </c>
      <c r="BN56" s="196">
        <f t="shared" si="182"/>
        <v>180</v>
      </c>
      <c r="BO56" s="197">
        <f t="shared" si="183"/>
        <v>3.8324508666992187</v>
      </c>
      <c r="BP56" s="196">
        <f t="shared" si="173"/>
        <v>12.683324240418658</v>
      </c>
      <c r="BQ56" s="115">
        <f t="shared" si="184"/>
        <v>659.74492511188635</v>
      </c>
      <c r="BR56" s="184">
        <f t="shared" si="185"/>
        <v>1.0041987768</v>
      </c>
      <c r="BS56" s="115">
        <f t="shared" si="186"/>
        <v>6863.8528613899143</v>
      </c>
      <c r="BT56" s="196">
        <v>900</v>
      </c>
      <c r="BU56" s="115">
        <f t="shared" si="288"/>
        <v>1.1850729520000001</v>
      </c>
      <c r="BV56" s="115">
        <f t="shared" si="269"/>
        <v>1.0723264525981617</v>
      </c>
      <c r="BW56" s="115">
        <f t="shared" si="270"/>
        <v>472.49807748132866</v>
      </c>
      <c r="BX56" s="115">
        <f t="shared" si="187"/>
        <v>1136.6702938717342</v>
      </c>
      <c r="BY56" s="115"/>
      <c r="BZ56" s="115">
        <f t="shared" si="188"/>
        <v>664.17221639040554</v>
      </c>
      <c r="CA56" s="115">
        <f t="shared" si="189"/>
        <v>10760.545574142181</v>
      </c>
      <c r="CB56" s="115">
        <f t="shared" si="190"/>
        <v>2955.7465393431485</v>
      </c>
      <c r="CC56" s="115">
        <f t="shared" si="191"/>
        <v>1099.0787029508501</v>
      </c>
      <c r="CD56" s="129">
        <f t="shared" si="271"/>
        <v>0.21715794002826896</v>
      </c>
      <c r="CE56" s="115">
        <f t="shared" si="192"/>
        <v>21.675836899701288</v>
      </c>
      <c r="CF56" s="115">
        <f t="shared" si="193"/>
        <v>23.419061652748496</v>
      </c>
      <c r="CG56" s="115">
        <f t="shared" si="194"/>
        <v>0.02</v>
      </c>
      <c r="CH56" s="115">
        <f t="shared" si="195"/>
        <v>0.05</v>
      </c>
      <c r="CI56" s="136">
        <v>30</v>
      </c>
      <c r="CJ56" s="115">
        <f t="shared" si="257"/>
        <v>165</v>
      </c>
      <c r="CK56" s="115">
        <f t="shared" si="196"/>
        <v>453</v>
      </c>
      <c r="CL56" s="115">
        <f t="shared" si="197"/>
        <v>665.54776000976562</v>
      </c>
      <c r="CM56" s="115">
        <f t="shared" ca="1" si="198"/>
        <v>2816.5993052117487</v>
      </c>
      <c r="CN56" s="115">
        <f t="shared" ca="1" si="258"/>
        <v>125.80344444444444</v>
      </c>
      <c r="CO56" s="115">
        <f t="shared" ca="1" si="259"/>
        <v>690.58718083896258</v>
      </c>
      <c r="CP56" s="115">
        <f t="shared" ca="1" si="260"/>
        <v>2790.6388281929471</v>
      </c>
      <c r="CQ56" s="115">
        <f t="shared" si="272"/>
        <v>1.072449112508886</v>
      </c>
      <c r="CR56" s="115">
        <f t="shared" ca="1" si="199"/>
        <v>552.14285840782884</v>
      </c>
      <c r="CS56" s="115">
        <f t="shared" ca="1" si="200"/>
        <v>27.337546193280026</v>
      </c>
      <c r="CT56" s="115">
        <f t="shared" si="273"/>
        <v>1.1222557691942447</v>
      </c>
      <c r="CU56" s="115">
        <f t="shared" ca="1" si="274"/>
        <v>1.0188154652998658</v>
      </c>
      <c r="CV56" s="115">
        <f t="shared" si="108"/>
        <v>191.17221639040554</v>
      </c>
      <c r="CW56" s="115">
        <f t="shared" si="261"/>
        <v>473</v>
      </c>
      <c r="CX56" s="115">
        <f t="shared" si="262"/>
        <v>438</v>
      </c>
      <c r="CY56" s="115">
        <f t="shared" ca="1" si="275"/>
        <v>445.66245380671995</v>
      </c>
      <c r="CZ56" s="115">
        <f t="shared" ca="1" si="263"/>
        <v>219.88530620304567</v>
      </c>
      <c r="DA56" s="115">
        <v>0.21890000000000001</v>
      </c>
      <c r="DB56" s="115">
        <v>2.7E-2</v>
      </c>
      <c r="DC56" s="115">
        <v>1.06</v>
      </c>
      <c r="DD56" s="138">
        <f t="shared" si="201"/>
        <v>11.513053820161135</v>
      </c>
      <c r="DE56" s="138">
        <f t="shared" si="276"/>
        <v>11.513053820161135</v>
      </c>
      <c r="DF56" s="115">
        <f t="shared" si="264"/>
        <v>665.54776000976562</v>
      </c>
      <c r="DG56" s="115">
        <v>664.17221639040554</v>
      </c>
      <c r="DH56" s="115">
        <f t="shared" si="277"/>
        <v>1.1222557691942447</v>
      </c>
      <c r="DI56" s="115">
        <f t="shared" si="112"/>
        <v>1.1218866590811227</v>
      </c>
      <c r="DJ56" s="138">
        <f t="shared" si="202"/>
        <v>2.7600725515973044</v>
      </c>
      <c r="DK56" s="138">
        <f t="shared" si="203"/>
        <v>2.742807715366415</v>
      </c>
      <c r="DL56" s="115">
        <f t="shared" si="278"/>
        <v>665.54776000976562</v>
      </c>
      <c r="DM56" s="115">
        <f t="shared" si="167"/>
        <v>664.17221639040554</v>
      </c>
      <c r="DN56" s="115">
        <f t="shared" si="174"/>
        <v>12.798627188058827</v>
      </c>
      <c r="DO56" s="115">
        <f t="shared" si="114"/>
        <v>1.1222557691942447</v>
      </c>
      <c r="DP56" s="115">
        <f t="shared" si="292"/>
        <v>1.1218866590811227</v>
      </c>
      <c r="DQ56" s="115">
        <v>298.14999999999998</v>
      </c>
      <c r="DR56" s="138">
        <f t="shared" si="116"/>
        <v>1.8382083193638048</v>
      </c>
      <c r="DS56" s="138">
        <f t="shared" si="117"/>
        <v>1.8267099384340326</v>
      </c>
      <c r="DT56" s="115">
        <f t="shared" si="289"/>
        <v>665.54776000976562</v>
      </c>
      <c r="DU56" s="139">
        <f t="shared" si="118"/>
        <v>6.4185307519694419</v>
      </c>
      <c r="DV56" s="115">
        <f t="shared" si="279"/>
        <v>1.1222557691942447</v>
      </c>
      <c r="DW56" s="115">
        <v>298.14999999999998</v>
      </c>
      <c r="DX56" s="138">
        <f t="shared" si="204"/>
        <v>0.92186423223349978</v>
      </c>
      <c r="DY56" s="138">
        <f t="shared" si="205"/>
        <v>0.91609777693238281</v>
      </c>
      <c r="DZ56" s="138">
        <f t="shared" si="290"/>
        <v>2.9557465393431483</v>
      </c>
      <c r="EA56" s="138">
        <f t="shared" si="280"/>
        <v>3.8966927127522668</v>
      </c>
      <c r="EB56" s="115">
        <f t="shared" si="291"/>
        <v>23.419061652748496</v>
      </c>
      <c r="EC56" s="115">
        <v>30</v>
      </c>
      <c r="ED56" s="198">
        <f t="shared" ca="1" si="265"/>
        <v>125.80344444444444</v>
      </c>
      <c r="EE56" s="198">
        <v>104.83</v>
      </c>
      <c r="EF56" s="198">
        <f t="shared" ca="1" si="169"/>
        <v>0.42491111111111107</v>
      </c>
      <c r="EG56" s="199">
        <v>0.36720000000000003</v>
      </c>
      <c r="EH56" s="138">
        <f t="shared" ca="1" si="121"/>
        <v>8.8216716894966796E-2</v>
      </c>
      <c r="EI56" s="138">
        <f t="shared" ca="1" si="281"/>
        <v>8.8216716894966796E-2</v>
      </c>
      <c r="EJ56" s="115">
        <f t="shared" si="170"/>
        <v>12.798627188058827</v>
      </c>
      <c r="EK56" s="115">
        <v>435</v>
      </c>
      <c r="EL56" s="115">
        <f t="shared" ca="1" si="171"/>
        <v>445.66245380671995</v>
      </c>
      <c r="EM56" s="115">
        <f t="shared" ca="1" si="123"/>
        <v>1.0625489454817121</v>
      </c>
      <c r="EN56" s="115">
        <f t="shared" ca="1" si="124"/>
        <v>1.0658424198405472</v>
      </c>
      <c r="EO56" s="115">
        <v>298.14999999999998</v>
      </c>
      <c r="EP56" s="138">
        <f t="shared" ca="1" si="125"/>
        <v>0.32942680675107361</v>
      </c>
      <c r="EQ56" s="138">
        <f t="shared" ca="1" si="126"/>
        <v>0.37740830077009563</v>
      </c>
      <c r="ER56" s="115">
        <f t="shared" si="282"/>
        <v>0.93106495009528267</v>
      </c>
      <c r="ES56" s="115">
        <f t="shared" si="172"/>
        <v>453</v>
      </c>
      <c r="ET56" s="115">
        <f t="shared" ca="1" si="206"/>
        <v>2816.5993052117487</v>
      </c>
      <c r="EU56" s="115">
        <f t="shared" ca="1" si="207"/>
        <v>6.5855309782608691</v>
      </c>
      <c r="EV56" s="138">
        <f t="shared" ca="1" si="175"/>
        <v>0.79864323578238283</v>
      </c>
      <c r="EW56" s="138">
        <f t="shared" ca="1" si="208"/>
        <v>1.0252887668717157</v>
      </c>
      <c r="EX56" s="115">
        <v>21.47</v>
      </c>
      <c r="EY56" s="115">
        <f t="shared" ca="1" si="209"/>
        <v>123.85642663998074</v>
      </c>
      <c r="EZ56" s="115">
        <f t="shared" ca="1" si="210"/>
        <v>0.41897579629686144</v>
      </c>
      <c r="FA56" s="138">
        <f t="shared" ca="1" si="127"/>
        <v>7.70659847533154E-2</v>
      </c>
      <c r="FB56" s="138">
        <f t="shared" ca="1" si="283"/>
        <v>7.70659847533154E-2</v>
      </c>
      <c r="FC56" s="115">
        <f t="shared" si="266"/>
        <v>21.47</v>
      </c>
      <c r="FD56" s="115">
        <v>37</v>
      </c>
      <c r="FE56" s="115">
        <f t="shared" ca="1" si="267"/>
        <v>154.93355555555553</v>
      </c>
      <c r="FF56" s="115">
        <f t="shared" ca="1" si="268"/>
        <v>0.52252222222222222</v>
      </c>
      <c r="FG56" s="138">
        <f t="shared" ca="1" si="176"/>
        <v>8.1462225449999703E-2</v>
      </c>
      <c r="FH56" s="138">
        <f t="shared" ca="1" si="129"/>
        <v>8.1462225449999703E-2</v>
      </c>
      <c r="FI56" s="115">
        <f t="shared" si="284"/>
        <v>103.17698364257814</v>
      </c>
      <c r="FJ56" s="115">
        <f t="shared" ca="1" si="211"/>
        <v>44.107788095050395</v>
      </c>
      <c r="FK56" s="115">
        <f t="shared" ca="1" si="212"/>
        <v>0.15325992157194349</v>
      </c>
      <c r="FL56" s="138">
        <f t="shared" ca="1" si="177"/>
        <v>0.3161365971318354</v>
      </c>
      <c r="FM56" s="138">
        <f t="shared" ca="1" si="213"/>
        <v>0.51567970739156022</v>
      </c>
      <c r="FN56" s="115">
        <f t="shared" si="285"/>
        <v>103.17698364257814</v>
      </c>
      <c r="FO56" s="115">
        <f t="shared" ca="1" si="214"/>
        <v>60.147020800060702</v>
      </c>
      <c r="FP56" s="115">
        <f t="shared" ca="1" si="215"/>
        <v>0.20670131976869371</v>
      </c>
      <c r="FQ56" s="138">
        <f t="shared" ca="1" si="178"/>
        <v>0.32704032349643541</v>
      </c>
      <c r="FR56" s="138">
        <f t="shared" ca="1" si="216"/>
        <v>0.53346578616949347</v>
      </c>
      <c r="FS56" s="139">
        <f t="shared" si="217"/>
        <v>5.7972347292206825</v>
      </c>
      <c r="FT56" s="249">
        <f t="shared" si="132"/>
        <v>4.8735533920424521</v>
      </c>
      <c r="FU56" s="139">
        <f t="shared" ca="1" si="218"/>
        <v>0.79835499372531515</v>
      </c>
      <c r="FV56" s="249">
        <f t="shared" ca="1" si="134"/>
        <v>0.51222958768718807</v>
      </c>
      <c r="FW56" s="139">
        <f t="shared" ca="1" si="286"/>
        <v>0.80515072145029853</v>
      </c>
      <c r="FX56" s="249">
        <f t="shared" ca="1" si="136"/>
        <v>1.0386786049529648</v>
      </c>
      <c r="FY56" s="249">
        <f t="shared" si="219"/>
        <v>0.15000000000000002</v>
      </c>
      <c r="FZ56" s="139">
        <f t="shared" si="220"/>
        <v>1050000</v>
      </c>
      <c r="GA56" s="139">
        <f t="shared" si="137"/>
        <v>3.3757716049382713E-2</v>
      </c>
      <c r="GB56" s="139">
        <f t="shared" si="138"/>
        <v>121.52777777777777</v>
      </c>
      <c r="GC56" s="139">
        <f t="shared" si="221"/>
        <v>1050000</v>
      </c>
      <c r="GD56" s="139">
        <f t="shared" si="139"/>
        <v>6.7515432098765427E-2</v>
      </c>
      <c r="GE56" s="139">
        <f t="shared" si="140"/>
        <v>243.05555555555554</v>
      </c>
      <c r="GF56" s="139">
        <f t="shared" si="141"/>
        <v>4.5814043209876545E-2</v>
      </c>
      <c r="GG56" s="139">
        <f t="shared" si="222"/>
        <v>712500</v>
      </c>
      <c r="GH56" s="139">
        <f t="shared" si="142"/>
        <v>164.93055555555554</v>
      </c>
      <c r="GI56" s="137">
        <f t="shared" si="223"/>
        <v>54.085123693017238</v>
      </c>
      <c r="GJ56" s="137">
        <f t="shared" si="143"/>
        <v>0.1947064452948605</v>
      </c>
      <c r="GK56" s="251">
        <f t="shared" si="224"/>
        <v>41.088857521965785</v>
      </c>
      <c r="GL56" s="137">
        <f t="shared" si="164"/>
        <v>0.14791988707907566</v>
      </c>
      <c r="GM56" s="137">
        <f t="shared" ca="1" si="225"/>
        <v>9.1237553936013569</v>
      </c>
      <c r="GN56" s="137">
        <f t="shared" ca="1" si="144"/>
        <v>3.2845519416964626E-2</v>
      </c>
      <c r="GO56" s="137">
        <f t="shared" ca="1" si="145"/>
        <v>0.11549057460254791</v>
      </c>
      <c r="GP56" s="137">
        <f t="shared" ca="1" si="226"/>
        <v>9.6075802311009575</v>
      </c>
      <c r="GQ56" s="137">
        <f t="shared" ca="1" si="146"/>
        <v>3.4587288831963173E-2</v>
      </c>
      <c r="GR56" s="137">
        <f t="shared" ca="1" si="147"/>
        <v>0.12161493963418837</v>
      </c>
      <c r="GS56" s="140">
        <f t="shared" si="227"/>
        <v>8.3520760743882386E-2</v>
      </c>
      <c r="GT56" s="140">
        <f t="shared" si="228"/>
        <v>7.0213283719155611E-2</v>
      </c>
      <c r="GU56" s="140">
        <f t="shared" si="287"/>
        <v>300.67473867797656</v>
      </c>
      <c r="GV56" s="140">
        <f t="shared" si="149"/>
        <v>252.76782138896021</v>
      </c>
      <c r="GW56" s="141">
        <f t="shared" ca="1" si="229"/>
        <v>7.660265662804009E-3</v>
      </c>
      <c r="GX56" s="141">
        <f t="shared" ca="1" si="230"/>
        <v>4.914874652093006E-3</v>
      </c>
      <c r="GY56" s="141">
        <f t="shared" ca="1" si="150"/>
        <v>27.576956386094434</v>
      </c>
      <c r="GZ56" s="141">
        <f t="shared" ca="1" si="165"/>
        <v>17.693548747534823</v>
      </c>
      <c r="HA56" s="141">
        <f t="shared" ca="1" si="231"/>
        <v>1.640711269840477E-2</v>
      </c>
      <c r="HB56" s="141">
        <f t="shared" ca="1" si="232"/>
        <v>1.5413979245201355E-2</v>
      </c>
      <c r="HC56" s="141">
        <f t="shared" ca="1" si="233"/>
        <v>59.065605714257167</v>
      </c>
      <c r="HD56" s="141">
        <f t="shared" ca="1" si="152"/>
        <v>55.490325282724882</v>
      </c>
      <c r="HE56" s="137">
        <f t="shared" si="153"/>
        <v>8.7529812685638309</v>
      </c>
      <c r="HF56" s="250">
        <f t="shared" si="154"/>
        <v>8.7702461047947189</v>
      </c>
      <c r="HG56" s="137">
        <v>2.9557465393431483</v>
      </c>
      <c r="HH56" s="251">
        <v>3.8653664481370833</v>
      </c>
      <c r="HI56" s="137">
        <f t="shared" ca="1" si="155"/>
        <v>1.4608000185937091</v>
      </c>
      <c r="HJ56" s="251">
        <f t="shared" ca="1" si="156"/>
        <v>1.4493016376639369</v>
      </c>
      <c r="HK56" s="137">
        <f t="shared" ca="1" si="157"/>
        <v>0.71042651888741604</v>
      </c>
      <c r="HL56" s="251">
        <f t="shared" ca="1" si="158"/>
        <v>0.93707204997674887</v>
      </c>
      <c r="HM56" s="137">
        <f t="shared" ca="1" si="159"/>
        <v>0.79864323578238283</v>
      </c>
      <c r="HN56" s="251">
        <f t="shared" ca="1" si="160"/>
        <v>1.0252887668717157</v>
      </c>
      <c r="HO56" s="137">
        <f t="shared" ca="1" si="161"/>
        <v>0.3161365971318354</v>
      </c>
      <c r="HP56" s="251">
        <f t="shared" ca="1" si="162"/>
        <v>0.51567970739156022</v>
      </c>
      <c r="JN56" s="143">
        <f t="shared" si="234"/>
        <v>19.217157940028269</v>
      </c>
      <c r="JO56" s="143">
        <f t="shared" si="235"/>
        <v>2955.7465393431485</v>
      </c>
      <c r="JP56" s="143">
        <f t="shared" si="236"/>
        <v>3896.6927127522667</v>
      </c>
      <c r="JQ56" s="143">
        <f t="shared" si="237"/>
        <v>0.93106495009528267</v>
      </c>
      <c r="JR56" s="143">
        <f t="shared" ca="1" si="238"/>
        <v>1.1952902019203773</v>
      </c>
      <c r="JS56" s="143">
        <f t="shared" si="239"/>
        <v>103.17698364257814</v>
      </c>
      <c r="JT56" s="143">
        <f t="shared" ca="1" si="240"/>
        <v>168.30154185584652</v>
      </c>
      <c r="JU56" s="143">
        <f t="shared" si="256"/>
        <v>0.2721338213686807</v>
      </c>
      <c r="JV56" s="143">
        <f t="shared" si="241"/>
        <v>0.35876617446921594</v>
      </c>
      <c r="JW56" s="143">
        <f t="shared" ca="1" si="242"/>
        <v>0.23024695936833095</v>
      </c>
      <c r="JX56" s="143">
        <f t="shared" ca="1" si="243"/>
        <v>0.29558833089652953</v>
      </c>
      <c r="JY56" s="143">
        <f t="shared" si="244"/>
        <v>0.72738515560656547</v>
      </c>
      <c r="JZ56" s="143">
        <f t="shared" si="245"/>
        <v>1.0225870096961636</v>
      </c>
      <c r="KA56" s="143">
        <f t="shared" si="246"/>
        <v>0.25673002015913277</v>
      </c>
      <c r="KB56" s="143">
        <f t="shared" si="247"/>
        <v>0.33845865515963769</v>
      </c>
      <c r="KC56" s="143">
        <f t="shared" ca="1" si="248"/>
        <v>0.47086109748069654</v>
      </c>
      <c r="KD56" s="143">
        <f t="shared" ca="1" si="249"/>
        <v>0.64656799221394134</v>
      </c>
      <c r="KE56" s="143">
        <f t="shared" ca="1" si="250"/>
        <v>0.50296045763279307</v>
      </c>
      <c r="KF56" s="143">
        <f t="shared" ca="1" si="251"/>
        <v>0.39584207687195316</v>
      </c>
      <c r="KG56" s="142">
        <f t="shared" si="252"/>
        <v>0.14791988707907566</v>
      </c>
      <c r="KH56" s="142">
        <f t="shared" ca="1" si="253"/>
        <v>0.12161493963418837</v>
      </c>
      <c r="KI56" s="142">
        <f t="shared" ca="1" si="254"/>
        <v>387.31730077832816</v>
      </c>
      <c r="KJ56" s="142">
        <f t="shared" ca="1" si="255"/>
        <v>325.9516954192199</v>
      </c>
    </row>
    <row r="57" spans="1:296" ht="17.25" customHeight="1" x14ac:dyDescent="0.3">
      <c r="A57" s="194">
        <v>41353</v>
      </c>
      <c r="B57" s="196">
        <v>56</v>
      </c>
      <c r="C57" s="177">
        <v>24</v>
      </c>
      <c r="D57" s="166">
        <v>4.2</v>
      </c>
      <c r="E57" s="166">
        <v>50016</v>
      </c>
      <c r="F57" s="166">
        <v>300</v>
      </c>
      <c r="G57" s="166">
        <v>11.7</v>
      </c>
      <c r="H57" s="166">
        <v>0.85</v>
      </c>
      <c r="I57" s="166">
        <v>1.4</v>
      </c>
      <c r="J57" s="166">
        <v>1.33</v>
      </c>
      <c r="K57" s="166">
        <v>0.91</v>
      </c>
      <c r="L57" s="166">
        <v>27856.993919223547</v>
      </c>
      <c r="M57" s="169">
        <v>19</v>
      </c>
      <c r="N57" s="167">
        <v>79753.733055718243</v>
      </c>
      <c r="O57" s="176">
        <v>17</v>
      </c>
      <c r="P57" s="166">
        <v>2</v>
      </c>
      <c r="Q57" s="166">
        <v>5</v>
      </c>
      <c r="R57" s="168">
        <v>397.70291137695312</v>
      </c>
      <c r="S57" s="169">
        <v>88.611056946712779</v>
      </c>
      <c r="T57" s="166">
        <v>180</v>
      </c>
      <c r="U57" s="170">
        <v>3.5227861404418945</v>
      </c>
      <c r="V57" s="176">
        <v>17</v>
      </c>
      <c r="W57" s="166">
        <v>1250</v>
      </c>
      <c r="X57" s="169">
        <v>90439.675568670034</v>
      </c>
      <c r="Y57" s="169">
        <v>12816.560778509825</v>
      </c>
      <c r="Z57" s="169">
        <v>364.06887817382812</v>
      </c>
      <c r="AA57" s="169">
        <v>11.218326568603516</v>
      </c>
      <c r="AB57" s="169">
        <v>14.9976806640625</v>
      </c>
      <c r="AC57" s="212">
        <v>37</v>
      </c>
      <c r="AD57" s="212">
        <v>29.351940155029297</v>
      </c>
      <c r="AE57" s="254">
        <v>20</v>
      </c>
      <c r="AF57" s="254">
        <v>10</v>
      </c>
      <c r="AG57" s="217">
        <v>5000000</v>
      </c>
      <c r="AH57" s="218">
        <v>300000</v>
      </c>
      <c r="AI57" s="219">
        <v>5000000</v>
      </c>
      <c r="AJ57" s="225">
        <f t="shared" si="179"/>
        <v>300000</v>
      </c>
      <c r="AK57" s="220">
        <v>2750000</v>
      </c>
      <c r="AL57" s="226">
        <f t="shared" si="180"/>
        <v>300000</v>
      </c>
      <c r="AM57" s="221">
        <v>14.407</v>
      </c>
      <c r="BM57" s="197">
        <f t="shared" si="181"/>
        <v>7.6480598449707031</v>
      </c>
      <c r="BN57" s="196">
        <f t="shared" si="182"/>
        <v>180</v>
      </c>
      <c r="BO57" s="197">
        <f t="shared" si="183"/>
        <v>3.7793540954589844</v>
      </c>
      <c r="BP57" s="196">
        <f t="shared" si="173"/>
        <v>12.691360956647163</v>
      </c>
      <c r="BQ57" s="115">
        <f t="shared" si="184"/>
        <v>659.74492511188635</v>
      </c>
      <c r="BR57" s="184">
        <f t="shared" si="185"/>
        <v>1.0041987768</v>
      </c>
      <c r="BS57" s="115">
        <f t="shared" si="186"/>
        <v>6863.8528613899143</v>
      </c>
      <c r="BT57" s="196">
        <v>900</v>
      </c>
      <c r="BU57" s="115">
        <f t="shared" si="288"/>
        <v>1.1850729520000001</v>
      </c>
      <c r="BV57" s="115">
        <f t="shared" si="269"/>
        <v>1.0750218379738181</v>
      </c>
      <c r="BW57" s="115">
        <f t="shared" si="270"/>
        <v>483.48217260551678</v>
      </c>
      <c r="BX57" s="115">
        <f t="shared" si="187"/>
        <v>1163.0943053709543</v>
      </c>
      <c r="BY57" s="115"/>
      <c r="BZ57" s="115">
        <f t="shared" si="188"/>
        <v>679.61213276543754</v>
      </c>
      <c r="CA57" s="115">
        <f t="shared" si="189"/>
        <v>11017.671299580268</v>
      </c>
      <c r="CB57" s="115">
        <f t="shared" si="190"/>
        <v>3323.0722106549269</v>
      </c>
      <c r="CC57" s="115">
        <f t="shared" si="191"/>
        <v>1160.7080799676478</v>
      </c>
      <c r="CD57" s="129">
        <f t="shared" si="271"/>
        <v>0.22933478279872871</v>
      </c>
      <c r="CE57" s="115">
        <f t="shared" si="192"/>
        <v>21.415816363166361</v>
      </c>
      <c r="CF57" s="115">
        <f t="shared" si="193"/>
        <v>24.614182485197997</v>
      </c>
      <c r="CG57" s="115">
        <f t="shared" si="194"/>
        <v>0.02</v>
      </c>
      <c r="CH57" s="115">
        <f t="shared" si="195"/>
        <v>0.05</v>
      </c>
      <c r="CI57" s="136">
        <v>30</v>
      </c>
      <c r="CJ57" s="115">
        <f t="shared" si="257"/>
        <v>165</v>
      </c>
      <c r="CK57" s="115">
        <f t="shared" si="196"/>
        <v>453</v>
      </c>
      <c r="CL57" s="115">
        <f t="shared" si="197"/>
        <v>670.70291137695312</v>
      </c>
      <c r="CM57" s="115">
        <f t="shared" ca="1" si="198"/>
        <v>2816.5993052117487</v>
      </c>
      <c r="CN57" s="115">
        <f t="shared" ca="1" si="258"/>
        <v>125.80344444444444</v>
      </c>
      <c r="CO57" s="115">
        <f t="shared" ca="1" si="259"/>
        <v>690.58718083896258</v>
      </c>
      <c r="CP57" s="115">
        <f t="shared" ca="1" si="260"/>
        <v>2790.6388281929471</v>
      </c>
      <c r="CQ57" s="115">
        <f t="shared" si="272"/>
        <v>1.072449112508886</v>
      </c>
      <c r="CR57" s="115">
        <f t="shared" ca="1" si="199"/>
        <v>580.30359301763247</v>
      </c>
      <c r="CS57" s="115">
        <f t="shared" ca="1" si="200"/>
        <v>28.713638549594229</v>
      </c>
      <c r="CT57" s="115">
        <f t="shared" si="273"/>
        <v>1.1236399775483927</v>
      </c>
      <c r="CU57" s="115">
        <f t="shared" ca="1" si="274"/>
        <v>1.0199437685825867</v>
      </c>
      <c r="CV57" s="115">
        <f t="shared" si="108"/>
        <v>206.61213276543754</v>
      </c>
      <c r="CW57" s="115">
        <f t="shared" si="261"/>
        <v>473</v>
      </c>
      <c r="CX57" s="115">
        <f t="shared" si="262"/>
        <v>438</v>
      </c>
      <c r="CY57" s="115">
        <f t="shared" ca="1" si="275"/>
        <v>444.28636145040576</v>
      </c>
      <c r="CZ57" s="115">
        <f t="shared" ca="1" si="263"/>
        <v>226.41654992654736</v>
      </c>
      <c r="DA57" s="115">
        <v>0.21890000000000001</v>
      </c>
      <c r="DB57" s="115">
        <v>2.7E-2</v>
      </c>
      <c r="DC57" s="115">
        <v>1.06</v>
      </c>
      <c r="DD57" s="138">
        <f t="shared" si="201"/>
        <v>12.158633006248889</v>
      </c>
      <c r="DE57" s="138">
        <f t="shared" si="276"/>
        <v>12.158633006248889</v>
      </c>
      <c r="DF57" s="115">
        <f t="shared" si="264"/>
        <v>670.70291137695312</v>
      </c>
      <c r="DG57" s="115">
        <v>679.61213276543754</v>
      </c>
      <c r="DH57" s="115">
        <f t="shared" si="277"/>
        <v>1.1236399775483927</v>
      </c>
      <c r="DI57" s="115">
        <f t="shared" si="112"/>
        <v>1.1260352556373443</v>
      </c>
      <c r="DJ57" s="138">
        <f t="shared" si="202"/>
        <v>2.8269081575492372</v>
      </c>
      <c r="DK57" s="138">
        <f t="shared" si="203"/>
        <v>2.9406542096019246</v>
      </c>
      <c r="DL57" s="115">
        <f t="shared" si="278"/>
        <v>670.70291137695312</v>
      </c>
      <c r="DM57" s="115">
        <f t="shared" si="167"/>
        <v>679.61213276543754</v>
      </c>
      <c r="DN57" s="115">
        <f t="shared" si="174"/>
        <v>12.806736965343955</v>
      </c>
      <c r="DO57" s="115">
        <f t="shared" si="114"/>
        <v>1.1236399775483927</v>
      </c>
      <c r="DP57" s="115">
        <f t="shared" si="292"/>
        <v>1.1260352556373443</v>
      </c>
      <c r="DQ57" s="115">
        <v>298.14999999999998</v>
      </c>
      <c r="DR57" s="138">
        <f t="shared" si="116"/>
        <v>1.8827208329277922</v>
      </c>
      <c r="DS57" s="138">
        <f t="shared" si="117"/>
        <v>1.9584757035948817</v>
      </c>
      <c r="DT57" s="115">
        <f t="shared" si="289"/>
        <v>670.70291137695312</v>
      </c>
      <c r="DU57" s="139">
        <f t="shared" si="118"/>
        <v>6.4225978174547755</v>
      </c>
      <c r="DV57" s="115">
        <f t="shared" si="279"/>
        <v>1.1236399775483927</v>
      </c>
      <c r="DW57" s="115">
        <v>298.14999999999998</v>
      </c>
      <c r="DX57" s="138">
        <f t="shared" si="204"/>
        <v>0.94418732462144528</v>
      </c>
      <c r="DY57" s="138">
        <f t="shared" si="205"/>
        <v>0.98217850600704271</v>
      </c>
      <c r="DZ57" s="138">
        <f t="shared" si="290"/>
        <v>3.3230722106549271</v>
      </c>
      <c r="EA57" s="138">
        <f t="shared" si="280"/>
        <v>4.1538184381903536</v>
      </c>
      <c r="EB57" s="115">
        <f t="shared" si="291"/>
        <v>24.614182485197997</v>
      </c>
      <c r="EC57" s="115">
        <v>30</v>
      </c>
      <c r="ED57" s="198">
        <f t="shared" ca="1" si="265"/>
        <v>125.80344444444444</v>
      </c>
      <c r="EE57" s="198">
        <v>104.83</v>
      </c>
      <c r="EF57" s="198">
        <f t="shared" ca="1" si="169"/>
        <v>0.42491111111111107</v>
      </c>
      <c r="EG57" s="199">
        <v>0.36720000000000003</v>
      </c>
      <c r="EH57" s="138">
        <f t="shared" ca="1" si="121"/>
        <v>9.2718589672568075E-2</v>
      </c>
      <c r="EI57" s="138">
        <f t="shared" ca="1" si="281"/>
        <v>9.2718589672568075E-2</v>
      </c>
      <c r="EJ57" s="115">
        <f t="shared" si="170"/>
        <v>12.806736965343955</v>
      </c>
      <c r="EK57" s="115">
        <v>435</v>
      </c>
      <c r="EL57" s="115">
        <f t="shared" ca="1" si="171"/>
        <v>444.28636145040576</v>
      </c>
      <c r="EM57" s="115">
        <f t="shared" ca="1" si="123"/>
        <v>1.062649030636545</v>
      </c>
      <c r="EN57" s="115">
        <f t="shared" ca="1" si="124"/>
        <v>1.0655139836238179</v>
      </c>
      <c r="EO57" s="115">
        <v>298.14999999999998</v>
      </c>
      <c r="EP57" s="138">
        <f t="shared" ca="1" si="125"/>
        <v>0.32966659568305229</v>
      </c>
      <c r="EQ57" s="138">
        <f t="shared" ca="1" si="126"/>
        <v>0.37133512468798907</v>
      </c>
      <c r="ER57" s="115">
        <f t="shared" si="282"/>
        <v>0.97855170567830407</v>
      </c>
      <c r="ES57" s="115">
        <f t="shared" si="172"/>
        <v>453</v>
      </c>
      <c r="ET57" s="115">
        <f t="shared" ca="1" si="206"/>
        <v>2816.5993052117487</v>
      </c>
      <c r="EU57" s="115">
        <f t="shared" ca="1" si="207"/>
        <v>6.5855309782608691</v>
      </c>
      <c r="EV57" s="138">
        <f t="shared" ca="1" si="175"/>
        <v>0.83937613645891473</v>
      </c>
      <c r="EW57" s="138">
        <f t="shared" ca="1" si="208"/>
        <v>1.1101653841544969</v>
      </c>
      <c r="EX57" s="115">
        <v>21.47</v>
      </c>
      <c r="EY57" s="115">
        <f t="shared" ca="1" si="209"/>
        <v>122.92557531992594</v>
      </c>
      <c r="EZ57" s="115">
        <f t="shared" ca="1" si="210"/>
        <v>0.41587427660624182</v>
      </c>
      <c r="FA57" s="138">
        <f t="shared" ca="1" si="127"/>
        <v>7.6934304427668215E-2</v>
      </c>
      <c r="FB57" s="138">
        <f t="shared" ca="1" si="283"/>
        <v>7.6934304427668215E-2</v>
      </c>
      <c r="FC57" s="115">
        <f t="shared" si="266"/>
        <v>21.47</v>
      </c>
      <c r="FD57" s="115">
        <v>37</v>
      </c>
      <c r="FE57" s="115">
        <f t="shared" ca="1" si="267"/>
        <v>154.93355555555553</v>
      </c>
      <c r="FF57" s="115">
        <f t="shared" ca="1" si="268"/>
        <v>0.52252222222222222</v>
      </c>
      <c r="FG57" s="138">
        <f t="shared" ca="1" si="176"/>
        <v>8.1462225449999703E-2</v>
      </c>
      <c r="FH57" s="138">
        <f t="shared" ca="1" si="129"/>
        <v>8.1462225449999703E-2</v>
      </c>
      <c r="FI57" s="115">
        <f t="shared" si="284"/>
        <v>101.93928588867189</v>
      </c>
      <c r="FJ57" s="115">
        <f t="shared" ca="1" si="211"/>
        <v>47.034387614780009</v>
      </c>
      <c r="FK57" s="115">
        <f t="shared" ca="1" si="212"/>
        <v>0.16301110937330457</v>
      </c>
      <c r="FL57" s="138">
        <f t="shared" ca="1" si="177"/>
        <v>0.31430994607859414</v>
      </c>
      <c r="FM57" s="138">
        <f t="shared" ca="1" si="213"/>
        <v>0.57664870790016665</v>
      </c>
      <c r="FN57" s="115">
        <f t="shared" si="285"/>
        <v>101.93928588867189</v>
      </c>
      <c r="FO57" s="115">
        <f t="shared" ca="1" si="214"/>
        <v>62.851404432508687</v>
      </c>
      <c r="FP57" s="115">
        <f t="shared" ca="1" si="215"/>
        <v>0.21571210259331597</v>
      </c>
      <c r="FQ57" s="138">
        <f t="shared" ca="1" si="178"/>
        <v>0.32493361901223183</v>
      </c>
      <c r="FR57" s="138">
        <f t="shared" ca="1" si="216"/>
        <v>0.59613942827592048</v>
      </c>
      <c r="FS57" s="139">
        <f t="shared" si="217"/>
        <v>6.0086526380447252</v>
      </c>
      <c r="FT57" s="249">
        <f t="shared" si="132"/>
        <v>5.0641603584566104</v>
      </c>
      <c r="FU57" s="139">
        <f t="shared" ca="1" si="218"/>
        <v>0.80639669045839324</v>
      </c>
      <c r="FV57" s="249">
        <f t="shared" ca="1" si="134"/>
        <v>0.56969378442496366</v>
      </c>
      <c r="FW57" s="139">
        <f t="shared" ca="1" si="286"/>
        <v>0.84547188837022103</v>
      </c>
      <c r="FX57" s="249">
        <f t="shared" ca="1" si="136"/>
        <v>1.1251281835079192</v>
      </c>
      <c r="FY57" s="249">
        <f t="shared" si="219"/>
        <v>0.15000000000000002</v>
      </c>
      <c r="FZ57" s="139">
        <f t="shared" si="220"/>
        <v>1050000</v>
      </c>
      <c r="GA57" s="139">
        <f t="shared" si="137"/>
        <v>3.3757716049382713E-2</v>
      </c>
      <c r="GB57" s="139">
        <f t="shared" si="138"/>
        <v>121.52777777777777</v>
      </c>
      <c r="GC57" s="139">
        <f t="shared" si="221"/>
        <v>1050000</v>
      </c>
      <c r="GD57" s="139">
        <f t="shared" si="139"/>
        <v>6.7515432098765427E-2</v>
      </c>
      <c r="GE57" s="139">
        <f t="shared" si="140"/>
        <v>243.05555555555554</v>
      </c>
      <c r="GF57" s="139">
        <f t="shared" si="141"/>
        <v>4.5814043209876545E-2</v>
      </c>
      <c r="GG57" s="139">
        <f t="shared" si="222"/>
        <v>712500</v>
      </c>
      <c r="GH57" s="139">
        <f t="shared" si="142"/>
        <v>164.93055555555554</v>
      </c>
      <c r="GI57" s="137">
        <f t="shared" si="223"/>
        <v>50.615775186976443</v>
      </c>
      <c r="GJ57" s="137">
        <f t="shared" si="143"/>
        <v>0.18221679067311375</v>
      </c>
      <c r="GK57" s="251">
        <f t="shared" si="224"/>
        <v>40.098318944638152</v>
      </c>
      <c r="GL57" s="137">
        <f t="shared" si="164"/>
        <v>0.14435394820069619</v>
      </c>
      <c r="GM57" s="137">
        <f t="shared" ca="1" si="225"/>
        <v>9.5137774950479166</v>
      </c>
      <c r="GN57" s="137">
        <f t="shared" ca="1" si="144"/>
        <v>3.4249598982172225E-2</v>
      </c>
      <c r="GO57" s="137">
        <f t="shared" ca="1" si="145"/>
        <v>0.12042756322845367</v>
      </c>
      <c r="GP57" s="137">
        <f t="shared" ca="1" si="226"/>
        <v>10.124286292046266</v>
      </c>
      <c r="GQ57" s="137">
        <f t="shared" ca="1" si="146"/>
        <v>3.6447430651366269E-2</v>
      </c>
      <c r="GR57" s="137">
        <f t="shared" ca="1" si="147"/>
        <v>0.12815552268412894</v>
      </c>
      <c r="GS57" s="140">
        <f t="shared" si="227"/>
        <v>8.6566658556310364E-2</v>
      </c>
      <c r="GT57" s="140">
        <f t="shared" si="228"/>
        <v>7.295935828428439E-2</v>
      </c>
      <c r="GU57" s="140">
        <f t="shared" si="287"/>
        <v>311.6399708027173</v>
      </c>
      <c r="GV57" s="140">
        <f t="shared" si="149"/>
        <v>262.6536898234238</v>
      </c>
      <c r="GW57" s="141">
        <f t="shared" ca="1" si="229"/>
        <v>7.7374262415430906E-3</v>
      </c>
      <c r="GX57" s="141">
        <f t="shared" ca="1" si="230"/>
        <v>5.4662471825721601E-3</v>
      </c>
      <c r="GY57" s="141">
        <f t="shared" ca="1" si="150"/>
        <v>27.854734469555126</v>
      </c>
      <c r="GZ57" s="141">
        <f t="shared" ca="1" si="165"/>
        <v>19.678489857259777</v>
      </c>
      <c r="HA57" s="141">
        <f t="shared" ca="1" si="231"/>
        <v>1.6873769847029877E-2</v>
      </c>
      <c r="HB57" s="141">
        <f t="shared" ca="1" si="232"/>
        <v>1.6840441635059898E-2</v>
      </c>
      <c r="HC57" s="141">
        <f t="shared" ca="1" si="233"/>
        <v>60.745571449307555</v>
      </c>
      <c r="HD57" s="141">
        <f t="shared" ca="1" si="152"/>
        <v>60.625589886215636</v>
      </c>
      <c r="HE57" s="137">
        <f t="shared" si="153"/>
        <v>9.3317248486996522</v>
      </c>
      <c r="HF57" s="250">
        <f t="shared" si="154"/>
        <v>9.217978796646964</v>
      </c>
      <c r="HG57" s="137">
        <v>3.3230722106549271</v>
      </c>
      <c r="HH57" s="251">
        <v>4.3568432410792104</v>
      </c>
      <c r="HI57" s="137">
        <f t="shared" ca="1" si="155"/>
        <v>1.5113857082398032</v>
      </c>
      <c r="HJ57" s="251">
        <f t="shared" ca="1" si="156"/>
        <v>1.5871405789068926</v>
      </c>
      <c r="HK57" s="137">
        <f t="shared" ca="1" si="157"/>
        <v>0.74665754678634666</v>
      </c>
      <c r="HL57" s="251">
        <f t="shared" ca="1" si="158"/>
        <v>1.0174467944819288</v>
      </c>
      <c r="HM57" s="137">
        <f t="shared" ca="1" si="159"/>
        <v>0.83937613645891473</v>
      </c>
      <c r="HN57" s="251">
        <f t="shared" ca="1" si="160"/>
        <v>1.1101653841544969</v>
      </c>
      <c r="HO57" s="137">
        <f t="shared" ca="1" si="161"/>
        <v>0.31430994607859414</v>
      </c>
      <c r="HP57" s="251">
        <f t="shared" ca="1" si="162"/>
        <v>0.57664870790016665</v>
      </c>
      <c r="JN57" s="143">
        <f t="shared" si="234"/>
        <v>19.22933478279873</v>
      </c>
      <c r="JO57" s="143">
        <f t="shared" si="235"/>
        <v>3323.0722106549269</v>
      </c>
      <c r="JP57" s="143">
        <f t="shared" si="236"/>
        <v>4153.8184381903538</v>
      </c>
      <c r="JQ57" s="143">
        <f t="shared" si="237"/>
        <v>0.97855170567830407</v>
      </c>
      <c r="JR57" s="143">
        <f t="shared" ca="1" si="238"/>
        <v>1.2942400707654222</v>
      </c>
      <c r="JS57" s="143">
        <f t="shared" si="239"/>
        <v>101.93928588867189</v>
      </c>
      <c r="JT57" s="143">
        <f t="shared" ca="1" si="240"/>
        <v>187.02289961027651</v>
      </c>
      <c r="JU57" s="143">
        <f t="shared" si="256"/>
        <v>0.28970827078042966</v>
      </c>
      <c r="JV57" s="143">
        <f t="shared" si="241"/>
        <v>0.36213343574222889</v>
      </c>
      <c r="JW57" s="143">
        <f t="shared" ca="1" si="242"/>
        <v>0.22916257525021852</v>
      </c>
      <c r="JX57" s="143">
        <f t="shared" ca="1" si="243"/>
        <v>0.303092198284035</v>
      </c>
      <c r="JY57" s="143">
        <f t="shared" si="244"/>
        <v>0.73847794748254991</v>
      </c>
      <c r="JZ57" s="143">
        <f t="shared" si="245"/>
        <v>0.93539610324521505</v>
      </c>
      <c r="KA57" s="143">
        <f t="shared" si="246"/>
        <v>0.27330968941549966</v>
      </c>
      <c r="KB57" s="143">
        <f t="shared" si="247"/>
        <v>0.34163531673795172</v>
      </c>
      <c r="KC57" s="143">
        <f t="shared" ca="1" si="248"/>
        <v>0.48076720624450653</v>
      </c>
      <c r="KD57" s="143">
        <f t="shared" ca="1" si="249"/>
        <v>0.64105650627537503</v>
      </c>
      <c r="KE57" s="143">
        <f t="shared" ca="1" si="250"/>
        <v>0.51942594871965209</v>
      </c>
      <c r="KF57" s="143">
        <f t="shared" ca="1" si="251"/>
        <v>0.37445661417606763</v>
      </c>
      <c r="KG57" s="142">
        <f t="shared" si="252"/>
        <v>0.14435394820069619</v>
      </c>
      <c r="KH57" s="142">
        <f t="shared" ca="1" si="253"/>
        <v>0.12815552268412894</v>
      </c>
      <c r="KI57" s="142">
        <f t="shared" ca="1" si="254"/>
        <v>400.24027672157996</v>
      </c>
      <c r="KJ57" s="142">
        <f t="shared" ca="1" si="255"/>
        <v>342.95776956689917</v>
      </c>
    </row>
    <row r="58" spans="1:296" x14ac:dyDescent="0.3">
      <c r="A58" s="194">
        <v>41361</v>
      </c>
      <c r="B58" s="196">
        <v>58</v>
      </c>
      <c r="C58" s="177">
        <v>24</v>
      </c>
      <c r="D58" s="166">
        <v>4.2</v>
      </c>
      <c r="E58" s="166">
        <v>50016</v>
      </c>
      <c r="F58" s="166">
        <v>300</v>
      </c>
      <c r="G58" s="166">
        <v>11.7</v>
      </c>
      <c r="H58" s="166">
        <v>0.85</v>
      </c>
      <c r="I58" s="166">
        <v>1.4</v>
      </c>
      <c r="J58" s="166">
        <v>1.33</v>
      </c>
      <c r="K58" s="166">
        <v>0.91</v>
      </c>
      <c r="L58" s="166">
        <v>26320.405648380518</v>
      </c>
      <c r="M58" s="169">
        <v>19</v>
      </c>
      <c r="N58" s="167">
        <v>72350.754446364939</v>
      </c>
      <c r="O58" s="176">
        <v>17</v>
      </c>
      <c r="P58" s="166">
        <v>2</v>
      </c>
      <c r="Q58" s="166">
        <v>5</v>
      </c>
      <c r="R58" s="168">
        <v>388.73989868164062</v>
      </c>
      <c r="S58" s="169">
        <v>95.647092861501733</v>
      </c>
      <c r="T58" s="166">
        <v>180</v>
      </c>
      <c r="U58" s="170">
        <v>3.7664391994476318</v>
      </c>
      <c r="V58" s="176">
        <v>17</v>
      </c>
      <c r="W58" s="166">
        <v>1250</v>
      </c>
      <c r="X58" s="169">
        <v>95020.004239097238</v>
      </c>
      <c r="Y58" s="169">
        <v>13569.032882492989</v>
      </c>
      <c r="Z58" s="169">
        <v>381.59286499023437</v>
      </c>
      <c r="AA58" s="169">
        <v>10.692254066467285</v>
      </c>
      <c r="AB58" s="169">
        <v>14.519955635070801</v>
      </c>
      <c r="AC58" s="212">
        <v>37</v>
      </c>
      <c r="AD58" s="212">
        <v>29.883827209472656</v>
      </c>
      <c r="AE58" s="254">
        <v>20</v>
      </c>
      <c r="AF58" s="254">
        <v>10</v>
      </c>
      <c r="AG58" s="217">
        <v>5000000</v>
      </c>
      <c r="AH58" s="218">
        <v>300000</v>
      </c>
      <c r="AI58" s="219">
        <v>5000000</v>
      </c>
      <c r="AJ58" s="225">
        <f t="shared" si="179"/>
        <v>300000</v>
      </c>
      <c r="AK58" s="220">
        <v>2750000</v>
      </c>
      <c r="AL58" s="226">
        <f t="shared" si="180"/>
        <v>300000</v>
      </c>
      <c r="AM58" s="221">
        <v>14.407</v>
      </c>
      <c r="BM58" s="197">
        <f t="shared" si="181"/>
        <v>7.1161727905273437</v>
      </c>
      <c r="BN58" s="196">
        <f t="shared" si="182"/>
        <v>180</v>
      </c>
      <c r="BO58" s="197">
        <f t="shared" si="183"/>
        <v>3.8277015686035156</v>
      </c>
      <c r="BP58" s="196">
        <f t="shared" si="173"/>
        <v>12.683011905370416</v>
      </c>
      <c r="BQ58" s="115">
        <f t="shared" si="184"/>
        <v>659.74492511188635</v>
      </c>
      <c r="BR58" s="184">
        <f t="shared" si="185"/>
        <v>1.0041987768</v>
      </c>
      <c r="BS58" s="115">
        <f t="shared" si="186"/>
        <v>6863.8528613899143</v>
      </c>
      <c r="BT58" s="196">
        <v>900</v>
      </c>
      <c r="BU58" s="115">
        <f t="shared" si="288"/>
        <v>1.1850729520000001</v>
      </c>
      <c r="BV58" s="115">
        <f t="shared" si="269"/>
        <v>1.0722221015643063</v>
      </c>
      <c r="BW58" s="115">
        <f t="shared" si="270"/>
        <v>472.07091591719848</v>
      </c>
      <c r="BX58" s="115">
        <f t="shared" si="187"/>
        <v>1135.6426878691477</v>
      </c>
      <c r="BY58" s="115"/>
      <c r="BZ58" s="115">
        <f t="shared" si="188"/>
        <v>663.57177195194924</v>
      </c>
      <c r="CA58" s="115">
        <f t="shared" si="189"/>
        <v>10750.552764445309</v>
      </c>
      <c r="CB58" s="115">
        <f t="shared" si="190"/>
        <v>3014.6147685985393</v>
      </c>
      <c r="CC58" s="115">
        <f t="shared" si="191"/>
        <v>1096.6835686825216</v>
      </c>
      <c r="CD58" s="129">
        <f t="shared" si="271"/>
        <v>0.21668470510668883</v>
      </c>
      <c r="CE58" s="115">
        <f t="shared" si="192"/>
        <v>22.446639117072611</v>
      </c>
      <c r="CF58" s="115">
        <f t="shared" si="193"/>
        <v>26.568636905972706</v>
      </c>
      <c r="CG58" s="115">
        <f t="shared" si="194"/>
        <v>0.02</v>
      </c>
      <c r="CH58" s="115">
        <f t="shared" si="195"/>
        <v>0.05</v>
      </c>
      <c r="CI58" s="136">
        <v>30</v>
      </c>
      <c r="CJ58" s="115">
        <f t="shared" si="257"/>
        <v>165</v>
      </c>
      <c r="CK58" s="115">
        <f t="shared" si="196"/>
        <v>453</v>
      </c>
      <c r="CL58" s="115">
        <f t="shared" si="197"/>
        <v>661.73989868164062</v>
      </c>
      <c r="CM58" s="115">
        <f t="shared" ca="1" si="198"/>
        <v>2816.5993052117487</v>
      </c>
      <c r="CN58" s="115">
        <f t="shared" ca="1" si="258"/>
        <v>125.80344444444444</v>
      </c>
      <c r="CO58" s="115">
        <f t="shared" ca="1" si="259"/>
        <v>690.58718083896258</v>
      </c>
      <c r="CP58" s="115">
        <f t="shared" ca="1" si="260"/>
        <v>2790.6388281929471</v>
      </c>
      <c r="CQ58" s="115">
        <f t="shared" si="272"/>
        <v>1.072449112508886</v>
      </c>
      <c r="CR58" s="115">
        <f t="shared" ca="1" si="199"/>
        <v>620.44021782365326</v>
      </c>
      <c r="CS58" s="115">
        <f t="shared" ca="1" si="200"/>
        <v>30.71982286867992</v>
      </c>
      <c r="CT58" s="115">
        <f t="shared" si="273"/>
        <v>1.1212342309700847</v>
      </c>
      <c r="CU58" s="115">
        <f t="shared" ca="1" si="274"/>
        <v>1.018742505399771</v>
      </c>
      <c r="CV58" s="115">
        <f t="shared" si="108"/>
        <v>190.57177195194924</v>
      </c>
      <c r="CW58" s="115">
        <f t="shared" si="261"/>
        <v>473</v>
      </c>
      <c r="CX58" s="115">
        <f t="shared" si="262"/>
        <v>438</v>
      </c>
      <c r="CY58" s="115">
        <f t="shared" ca="1" si="275"/>
        <v>442.2801771313201</v>
      </c>
      <c r="CZ58" s="115">
        <f t="shared" ca="1" si="263"/>
        <v>219.45972155032052</v>
      </c>
      <c r="DA58" s="115">
        <v>0.21890000000000001</v>
      </c>
      <c r="DB58" s="115">
        <v>2.7E-2</v>
      </c>
      <c r="DC58" s="115">
        <v>1.06</v>
      </c>
      <c r="DD58" s="138">
        <f t="shared" si="201"/>
        <v>11.487964343253118</v>
      </c>
      <c r="DE58" s="138">
        <f t="shared" si="276"/>
        <v>11.487964343253118</v>
      </c>
      <c r="DF58" s="115">
        <f t="shared" si="264"/>
        <v>661.73989868164062</v>
      </c>
      <c r="DG58" s="115">
        <v>663.57177195194924</v>
      </c>
      <c r="DH58" s="115">
        <f t="shared" si="277"/>
        <v>1.1212342309700847</v>
      </c>
      <c r="DI58" s="115">
        <f t="shared" si="112"/>
        <v>1.1217255695487729</v>
      </c>
      <c r="DJ58" s="138">
        <f t="shared" si="202"/>
        <v>2.712306687182287</v>
      </c>
      <c r="DK58" s="138">
        <f t="shared" si="203"/>
        <v>2.7352160994972898</v>
      </c>
      <c r="DL58" s="115">
        <f t="shared" si="278"/>
        <v>661.73989868164062</v>
      </c>
      <c r="DM58" s="115">
        <f t="shared" ref="DM58:DM87" si="293">BZ58</f>
        <v>663.57177195194924</v>
      </c>
      <c r="DN58" s="115">
        <f t="shared" si="174"/>
        <v>12.798312013601056</v>
      </c>
      <c r="DO58" s="115">
        <f t="shared" si="114"/>
        <v>1.1212342309700847</v>
      </c>
      <c r="DP58" s="115">
        <f t="shared" si="292"/>
        <v>1.1217255695487729</v>
      </c>
      <c r="DQ58" s="115">
        <v>298.14999999999998</v>
      </c>
      <c r="DR58" s="138">
        <f t="shared" si="116"/>
        <v>1.8063962536634033</v>
      </c>
      <c r="DS58" s="138">
        <f t="shared" si="117"/>
        <v>1.8216539222651946</v>
      </c>
      <c r="DT58" s="115">
        <f t="shared" si="289"/>
        <v>661.73989868164062</v>
      </c>
      <c r="DU58" s="139">
        <f t="shared" si="118"/>
        <v>6.4183726915056347</v>
      </c>
      <c r="DV58" s="115">
        <f t="shared" si="279"/>
        <v>1.1212342309700847</v>
      </c>
      <c r="DW58" s="115">
        <v>298.14999999999998</v>
      </c>
      <c r="DX58" s="138">
        <f t="shared" si="204"/>
        <v>0.90591043351888401</v>
      </c>
      <c r="DY58" s="138">
        <f t="shared" si="205"/>
        <v>0.91356217723209476</v>
      </c>
      <c r="DZ58" s="138">
        <f t="shared" si="290"/>
        <v>3.0146147685985394</v>
      </c>
      <c r="EA58" s="138">
        <f t="shared" si="280"/>
        <v>3.8866999030553946</v>
      </c>
      <c r="EB58" s="115">
        <f t="shared" si="291"/>
        <v>26.568636905972706</v>
      </c>
      <c r="EC58" s="115">
        <v>30</v>
      </c>
      <c r="ED58" s="198">
        <f t="shared" ca="1" si="265"/>
        <v>125.80344444444444</v>
      </c>
      <c r="EE58" s="198">
        <v>104.83</v>
      </c>
      <c r="EF58" s="198">
        <f t="shared" ca="1" si="169"/>
        <v>0.42491111111111107</v>
      </c>
      <c r="EG58" s="199">
        <v>0.36720000000000003</v>
      </c>
      <c r="EH58" s="138">
        <f t="shared" ca="1" si="121"/>
        <v>0.10008077842624788</v>
      </c>
      <c r="EI58" s="138">
        <f t="shared" ca="1" si="281"/>
        <v>0.10008077842624788</v>
      </c>
      <c r="EJ58" s="115">
        <f t="shared" si="170"/>
        <v>12.798312013601056</v>
      </c>
      <c r="EK58" s="115">
        <v>435</v>
      </c>
      <c r="EL58" s="115">
        <f t="shared" ca="1" si="171"/>
        <v>442.2801771313201</v>
      </c>
      <c r="EM58" s="115">
        <f t="shared" ca="1" si="123"/>
        <v>1.0627938364250138</v>
      </c>
      <c r="EN58" s="115">
        <f t="shared" ca="1" si="124"/>
        <v>1.0650358953894972</v>
      </c>
      <c r="EO58" s="115">
        <v>298.14999999999998</v>
      </c>
      <c r="EP58" s="138">
        <f t="shared" ca="1" si="125"/>
        <v>0.32949461716913769</v>
      </c>
      <c r="EQ58" s="138">
        <f t="shared" ca="1" si="126"/>
        <v>0.36197126695082521</v>
      </c>
      <c r="ER58" s="115">
        <f t="shared" si="282"/>
        <v>1.0462331109576755</v>
      </c>
      <c r="ES58" s="115">
        <f t="shared" si="172"/>
        <v>453</v>
      </c>
      <c r="ET58" s="115">
        <f t="shared" ca="1" si="206"/>
        <v>2816.5993052117487</v>
      </c>
      <c r="EU58" s="115">
        <f t="shared" ca="1" si="207"/>
        <v>6.5855309782608691</v>
      </c>
      <c r="EV58" s="138">
        <f t="shared" ca="1" si="175"/>
        <v>0.89743148105016413</v>
      </c>
      <c r="EW58" s="138">
        <f t="shared" ca="1" si="208"/>
        <v>1.0211129938118706</v>
      </c>
      <c r="EX58" s="115">
        <v>21.47</v>
      </c>
      <c r="EY58" s="115">
        <f t="shared" ca="1" si="209"/>
        <v>125.151581741333</v>
      </c>
      <c r="EZ58" s="115">
        <f t="shared" ca="1" si="210"/>
        <v>0.42329114608764645</v>
      </c>
      <c r="FA58" s="138">
        <f t="shared" ca="1" si="127"/>
        <v>7.7249200312917266E-2</v>
      </c>
      <c r="FB58" s="138">
        <f t="shared" ca="1" si="283"/>
        <v>7.7249200312917266E-2</v>
      </c>
      <c r="FC58" s="115">
        <f t="shared" si="266"/>
        <v>21.47</v>
      </c>
      <c r="FD58" s="115">
        <v>37</v>
      </c>
      <c r="FE58" s="115">
        <f t="shared" ca="1" si="267"/>
        <v>154.93355555555553</v>
      </c>
      <c r="FF58" s="115">
        <f t="shared" ca="1" si="268"/>
        <v>0.52252222222222222</v>
      </c>
      <c r="FG58" s="138">
        <f t="shared" ca="1" si="176"/>
        <v>8.1462225449999703E-2</v>
      </c>
      <c r="FH58" s="138">
        <f t="shared" ca="1" si="129"/>
        <v>8.1462225449999703E-2</v>
      </c>
      <c r="FI58" s="115">
        <f t="shared" si="284"/>
        <v>106.84600219726563</v>
      </c>
      <c r="FJ58" s="115">
        <f t="shared" ca="1" si="211"/>
        <v>44.832715740839646</v>
      </c>
      <c r="FK58" s="115">
        <f t="shared" ca="1" si="212"/>
        <v>0.15567532059351605</v>
      </c>
      <c r="FL58" s="138">
        <f t="shared" ca="1" si="177"/>
        <v>0.32788889464092469</v>
      </c>
      <c r="FM58" s="138">
        <f t="shared" ca="1" si="213"/>
        <v>0.51982464528984562</v>
      </c>
      <c r="FN58" s="115">
        <f t="shared" si="285"/>
        <v>106.84600219726563</v>
      </c>
      <c r="FO58" s="115">
        <f t="shared" ca="1" si="214"/>
        <v>60.852072105619648</v>
      </c>
      <c r="FP58" s="115">
        <f t="shared" ca="1" si="215"/>
        <v>0.20905049246682061</v>
      </c>
      <c r="FQ58" s="138">
        <f t="shared" ca="1" si="178"/>
        <v>0.33916636951745122</v>
      </c>
      <c r="FR58" s="138">
        <f t="shared" ca="1" si="216"/>
        <v>0.53770359597488004</v>
      </c>
      <c r="FS58" s="139">
        <f t="shared" si="217"/>
        <v>5.761042887472291</v>
      </c>
      <c r="FT58" s="249">
        <f t="shared" si="132"/>
        <v>4.8660483407004342</v>
      </c>
      <c r="FU58" s="139">
        <f t="shared" ca="1" si="218"/>
        <v>0.67955093387034937</v>
      </c>
      <c r="FV58" s="249">
        <f t="shared" ca="1" si="134"/>
        <v>0.53865043992874662</v>
      </c>
      <c r="FW58" s="139">
        <f t="shared" ca="1" si="286"/>
        <v>0.90449593078960833</v>
      </c>
      <c r="FX58" s="249">
        <f t="shared" ca="1" si="136"/>
        <v>1.0347789193598225</v>
      </c>
      <c r="FY58" s="249">
        <f t="shared" si="219"/>
        <v>0.15000000000000002</v>
      </c>
      <c r="FZ58" s="139">
        <f t="shared" si="220"/>
        <v>1050000</v>
      </c>
      <c r="GA58" s="139">
        <f t="shared" si="137"/>
        <v>3.3757716049382713E-2</v>
      </c>
      <c r="GB58" s="139">
        <f t="shared" si="138"/>
        <v>121.52777777777777</v>
      </c>
      <c r="GC58" s="139">
        <f t="shared" si="221"/>
        <v>1050000</v>
      </c>
      <c r="GD58" s="139">
        <f t="shared" si="139"/>
        <v>6.7515432098765427E-2</v>
      </c>
      <c r="GE58" s="139">
        <f t="shared" si="140"/>
        <v>243.05555555555554</v>
      </c>
      <c r="GF58" s="139">
        <f t="shared" si="141"/>
        <v>4.5814043209876545E-2</v>
      </c>
      <c r="GG58" s="139">
        <f t="shared" si="222"/>
        <v>712500</v>
      </c>
      <c r="GH58" s="139">
        <f t="shared" si="142"/>
        <v>164.93055555555554</v>
      </c>
      <c r="GI58" s="137">
        <f t="shared" si="223"/>
        <v>53.137341981133154</v>
      </c>
      <c r="GJ58" s="137">
        <f t="shared" si="143"/>
        <v>0.19129443113207784</v>
      </c>
      <c r="GK58" s="251">
        <f t="shared" si="224"/>
        <v>41.12963799224778</v>
      </c>
      <c r="GL58" s="137">
        <f t="shared" si="164"/>
        <v>0.14806669677209083</v>
      </c>
      <c r="GM58" s="137">
        <f t="shared" ca="1" si="225"/>
        <v>9.1482155738605595</v>
      </c>
      <c r="GN58" s="137">
        <f t="shared" ca="1" si="144"/>
        <v>3.2933576065897752E-2</v>
      </c>
      <c r="GO58" s="137">
        <f t="shared" ca="1" si="145"/>
        <v>0.11580019713747453</v>
      </c>
      <c r="GP58" s="137">
        <f t="shared" ca="1" si="226"/>
        <v>9.5969227712017986</v>
      </c>
      <c r="GQ58" s="137">
        <f t="shared" ca="1" si="146"/>
        <v>3.4548921976326197E-2</v>
      </c>
      <c r="GR58" s="137">
        <f t="shared" ca="1" si="147"/>
        <v>0.1214800350785028</v>
      </c>
      <c r="GS58" s="140">
        <f t="shared" si="227"/>
        <v>8.2999344879813294E-2</v>
      </c>
      <c r="GT58" s="140">
        <f t="shared" si="228"/>
        <v>7.0105158444471155E-2</v>
      </c>
      <c r="GU58" s="140">
        <f t="shared" si="287"/>
        <v>298.79764156732784</v>
      </c>
      <c r="GV58" s="140">
        <f t="shared" si="149"/>
        <v>252.37857040009615</v>
      </c>
      <c r="GW58" s="141">
        <f t="shared" ca="1" si="229"/>
        <v>6.5203333426439008E-3</v>
      </c>
      <c r="GX58" s="141">
        <f t="shared" ca="1" si="230"/>
        <v>5.1683843674435988E-3</v>
      </c>
      <c r="GY58" s="141">
        <f t="shared" ca="1" si="150"/>
        <v>23.473200033518044</v>
      </c>
      <c r="GZ58" s="141">
        <f t="shared" ca="1" si="165"/>
        <v>18.606183722796956</v>
      </c>
      <c r="HA58" s="141">
        <f t="shared" ca="1" si="231"/>
        <v>1.6075207708118735E-2</v>
      </c>
      <c r="HB58" s="141">
        <f t="shared" ca="1" si="232"/>
        <v>1.5735443377549833E-2</v>
      </c>
      <c r="HC58" s="141">
        <f t="shared" ca="1" si="233"/>
        <v>57.870747749227448</v>
      </c>
      <c r="HD58" s="141">
        <f t="shared" ca="1" si="152"/>
        <v>56.6475961591794</v>
      </c>
      <c r="HE58" s="137">
        <f t="shared" si="153"/>
        <v>8.7756576560708304</v>
      </c>
      <c r="HF58" s="250">
        <f t="shared" si="154"/>
        <v>8.7527482437558284</v>
      </c>
      <c r="HG58" s="137">
        <v>3.0146147685985394</v>
      </c>
      <c r="HH58" s="251">
        <v>3.9284174704508916</v>
      </c>
      <c r="HI58" s="137">
        <f t="shared" ca="1" si="155"/>
        <v>1.444424986712578</v>
      </c>
      <c r="HJ58" s="251">
        <f t="shared" ca="1" si="156"/>
        <v>1.4596826553143694</v>
      </c>
      <c r="HK58" s="137">
        <f t="shared" ca="1" si="157"/>
        <v>0.79735070262391627</v>
      </c>
      <c r="HL58" s="251">
        <f t="shared" ca="1" si="158"/>
        <v>0.92103221538562274</v>
      </c>
      <c r="HM58" s="137">
        <f t="shared" ca="1" si="159"/>
        <v>0.89743148105016413</v>
      </c>
      <c r="HN58" s="251">
        <f t="shared" ca="1" si="160"/>
        <v>1.0211129938118706</v>
      </c>
      <c r="HO58" s="137">
        <f t="shared" ca="1" si="161"/>
        <v>0.32788889464092469</v>
      </c>
      <c r="HP58" s="251">
        <f t="shared" ca="1" si="162"/>
        <v>0.51982464528984562</v>
      </c>
      <c r="JN58" s="143">
        <f t="shared" si="234"/>
        <v>19.21668470510669</v>
      </c>
      <c r="JO58" s="143">
        <f t="shared" si="235"/>
        <v>3014.6147685985393</v>
      </c>
      <c r="JP58" s="143">
        <f t="shared" si="236"/>
        <v>3886.6999030553943</v>
      </c>
      <c r="JQ58" s="143">
        <f t="shared" si="237"/>
        <v>1.0462331109576755</v>
      </c>
      <c r="JR58" s="143">
        <f t="shared" ca="1" si="238"/>
        <v>1.1904220508344108</v>
      </c>
      <c r="JS58" s="143">
        <f t="shared" si="239"/>
        <v>106.84600219726563</v>
      </c>
      <c r="JT58" s="143">
        <f t="shared" ca="1" si="240"/>
        <v>169.39026023938851</v>
      </c>
      <c r="JU58" s="143">
        <f t="shared" si="256"/>
        <v>0.27815995586643372</v>
      </c>
      <c r="JV58" s="143">
        <f t="shared" si="241"/>
        <v>0.3586276710249659</v>
      </c>
      <c r="JW58" s="143">
        <f t="shared" ca="1" si="242"/>
        <v>0.25929145854427704</v>
      </c>
      <c r="JX58" s="143">
        <f t="shared" ca="1" si="243"/>
        <v>0.2950262867914632</v>
      </c>
      <c r="JY58" s="143">
        <f t="shared" si="244"/>
        <v>0.74414723896979629</v>
      </c>
      <c r="JZ58" s="143">
        <f t="shared" si="245"/>
        <v>1.1179590284048646</v>
      </c>
      <c r="KA58" s="143">
        <f t="shared" si="246"/>
        <v>0.26241505270418275</v>
      </c>
      <c r="KB58" s="143">
        <f t="shared" si="247"/>
        <v>0.33832799153298676</v>
      </c>
      <c r="KC58" s="143">
        <f t="shared" ca="1" si="248"/>
        <v>0.53988070899331841</v>
      </c>
      <c r="KD58" s="143">
        <f t="shared" ca="1" si="249"/>
        <v>0.63098113280469281</v>
      </c>
      <c r="KE58" s="143">
        <f t="shared" ca="1" si="250"/>
        <v>0.50907651595864212</v>
      </c>
      <c r="KF58" s="143">
        <f t="shared" ca="1" si="251"/>
        <v>0.36536370916833988</v>
      </c>
      <c r="KG58" s="142">
        <f t="shared" si="252"/>
        <v>0.14806669677209083</v>
      </c>
      <c r="KH58" s="142">
        <f t="shared" ca="1" si="253"/>
        <v>0.1214800350785028</v>
      </c>
      <c r="KI58" s="142">
        <f t="shared" ca="1" si="254"/>
        <v>380.14158935007333</v>
      </c>
      <c r="KJ58" s="142">
        <f t="shared" ca="1" si="255"/>
        <v>327.63235028207248</v>
      </c>
    </row>
    <row r="59" spans="1:296" x14ac:dyDescent="0.3">
      <c r="A59" s="194">
        <v>41362</v>
      </c>
      <c r="B59" s="196">
        <v>59</v>
      </c>
      <c r="C59" s="177">
        <v>24</v>
      </c>
      <c r="D59" s="166">
        <v>4.2</v>
      </c>
      <c r="E59" s="166">
        <v>50016</v>
      </c>
      <c r="F59" s="166">
        <v>300</v>
      </c>
      <c r="G59" s="166">
        <v>11.7</v>
      </c>
      <c r="H59" s="166">
        <v>0.85</v>
      </c>
      <c r="I59" s="166">
        <v>1.4</v>
      </c>
      <c r="J59" s="166">
        <v>1.33</v>
      </c>
      <c r="K59" s="166">
        <v>0.91</v>
      </c>
      <c r="L59" s="166">
        <v>25010.253545261919</v>
      </c>
      <c r="M59" s="169">
        <v>19</v>
      </c>
      <c r="N59" s="167">
        <v>62455.05777656287</v>
      </c>
      <c r="O59" s="176">
        <v>17</v>
      </c>
      <c r="P59" s="166">
        <v>2</v>
      </c>
      <c r="Q59" s="166">
        <v>5</v>
      </c>
      <c r="R59" s="168">
        <v>369.83145141601562</v>
      </c>
      <c r="S59" s="169">
        <v>90.927462074148934</v>
      </c>
      <c r="T59" s="166">
        <v>180</v>
      </c>
      <c r="U59" s="170">
        <v>3.6747777462005615</v>
      </c>
      <c r="V59" s="176">
        <v>17</v>
      </c>
      <c r="W59" s="166">
        <v>1250</v>
      </c>
      <c r="X59" s="169">
        <v>92041.296073839068</v>
      </c>
      <c r="Y59" s="169">
        <v>12924.527573792264</v>
      </c>
      <c r="Z59" s="169">
        <v>370.73629760742187</v>
      </c>
      <c r="AA59" s="169">
        <v>10.427453994750977</v>
      </c>
      <c r="AB59" s="169">
        <v>14.14676570892334</v>
      </c>
      <c r="AC59" s="212">
        <v>37</v>
      </c>
      <c r="AD59" s="212">
        <v>29.59228515625</v>
      </c>
      <c r="AE59" s="254">
        <v>20</v>
      </c>
      <c r="AF59" s="254">
        <v>10</v>
      </c>
      <c r="AG59" s="217">
        <v>5000000</v>
      </c>
      <c r="AH59" s="218">
        <v>300000</v>
      </c>
      <c r="AI59" s="219">
        <v>5000000</v>
      </c>
      <c r="AJ59" s="225">
        <f t="shared" si="179"/>
        <v>300000</v>
      </c>
      <c r="AK59" s="220">
        <v>2750000</v>
      </c>
      <c r="AL59" s="226">
        <f t="shared" si="180"/>
        <v>300000</v>
      </c>
      <c r="AM59" s="221">
        <v>14.407</v>
      </c>
      <c r="BK59" s="283"/>
      <c r="BM59" s="197">
        <f t="shared" si="181"/>
        <v>7.40771484375</v>
      </c>
      <c r="BN59" s="196">
        <f t="shared" si="182"/>
        <v>180</v>
      </c>
      <c r="BO59" s="197">
        <f t="shared" si="183"/>
        <v>3.7193117141723633</v>
      </c>
      <c r="BP59" s="196">
        <f t="shared" si="173"/>
        <v>12.67589319484995</v>
      </c>
      <c r="BQ59" s="115">
        <f t="shared" si="184"/>
        <v>659.74492511188635</v>
      </c>
      <c r="BR59" s="184">
        <f t="shared" si="185"/>
        <v>1.0041987768</v>
      </c>
      <c r="BS59" s="115">
        <f t="shared" si="186"/>
        <v>6863.8528613899143</v>
      </c>
      <c r="BT59" s="196">
        <v>900</v>
      </c>
      <c r="BU59" s="115">
        <f t="shared" si="288"/>
        <v>1.1850729520000001</v>
      </c>
      <c r="BV59" s="115">
        <f t="shared" si="269"/>
        <v>1.0698521579525626</v>
      </c>
      <c r="BW59" s="115">
        <f t="shared" si="270"/>
        <v>462.32938296218003</v>
      </c>
      <c r="BX59" s="115">
        <f t="shared" si="187"/>
        <v>1112.2078599736212</v>
      </c>
      <c r="BY59" s="115"/>
      <c r="BZ59" s="115">
        <f t="shared" si="188"/>
        <v>649.87847701144119</v>
      </c>
      <c r="CA59" s="115">
        <f t="shared" si="189"/>
        <v>10522.797602421964</v>
      </c>
      <c r="CB59" s="115">
        <f t="shared" si="190"/>
        <v>2602.294074023453</v>
      </c>
      <c r="CC59" s="115">
        <f t="shared" si="191"/>
        <v>1042.0938977192466</v>
      </c>
      <c r="CD59" s="129">
        <f t="shared" si="271"/>
        <v>0.20589878007568044</v>
      </c>
      <c r="CE59" s="115">
        <f t="shared" si="192"/>
        <v>21.808017506318933</v>
      </c>
      <c r="CF59" s="115">
        <f t="shared" si="193"/>
        <v>25.257628353930262</v>
      </c>
      <c r="CG59" s="115">
        <f t="shared" si="194"/>
        <v>0.02</v>
      </c>
      <c r="CH59" s="115">
        <f t="shared" si="195"/>
        <v>0.05</v>
      </c>
      <c r="CI59" s="136">
        <v>30</v>
      </c>
      <c r="CJ59" s="115">
        <f t="shared" si="257"/>
        <v>165</v>
      </c>
      <c r="CK59" s="115">
        <f t="shared" si="196"/>
        <v>453</v>
      </c>
      <c r="CL59" s="115">
        <f t="shared" si="197"/>
        <v>642.83145141601563</v>
      </c>
      <c r="CM59" s="115">
        <f t="shared" ca="1" si="198"/>
        <v>2816.5993052117487</v>
      </c>
      <c r="CN59" s="115">
        <f t="shared" ca="1" si="258"/>
        <v>125.80344444444444</v>
      </c>
      <c r="CO59" s="115">
        <f t="shared" ca="1" si="259"/>
        <v>690.58718083896258</v>
      </c>
      <c r="CP59" s="115">
        <f t="shared" ca="1" si="260"/>
        <v>2790.6388281929471</v>
      </c>
      <c r="CQ59" s="115">
        <f t="shared" si="272"/>
        <v>1.072449112508886</v>
      </c>
      <c r="CR59" s="115">
        <f t="shared" ca="1" si="199"/>
        <v>605.34095589291917</v>
      </c>
      <c r="CS59" s="115">
        <f t="shared" ca="1" si="200"/>
        <v>29.989046158524658</v>
      </c>
      <c r="CT59" s="115">
        <f t="shared" si="273"/>
        <v>1.1161745592899923</v>
      </c>
      <c r="CU59" s="115">
        <f t="shared" ca="1" si="274"/>
        <v>1.0154517290874012</v>
      </c>
      <c r="CV59" s="115">
        <f t="shared" si="108"/>
        <v>176.87847701144119</v>
      </c>
      <c r="CW59" s="115">
        <f t="shared" si="261"/>
        <v>473</v>
      </c>
      <c r="CX59" s="115">
        <f t="shared" si="262"/>
        <v>438</v>
      </c>
      <c r="CY59" s="115">
        <f t="shared" ca="1" si="275"/>
        <v>443.01095384147533</v>
      </c>
      <c r="CZ59" s="115">
        <f t="shared" ca="1" si="263"/>
        <v>199.8204975745403</v>
      </c>
      <c r="DA59" s="115">
        <v>0.21890000000000001</v>
      </c>
      <c r="DB59" s="115">
        <v>2.7E-2</v>
      </c>
      <c r="DC59" s="115">
        <v>1.06</v>
      </c>
      <c r="DD59" s="138">
        <f t="shared" si="201"/>
        <v>10.916127387321147</v>
      </c>
      <c r="DE59" s="138">
        <f t="shared" si="276"/>
        <v>10.916127387321147</v>
      </c>
      <c r="DF59" s="115">
        <f t="shared" si="264"/>
        <v>642.83145141601563</v>
      </c>
      <c r="DG59" s="115">
        <v>649.87847701144119</v>
      </c>
      <c r="DH59" s="115">
        <f t="shared" si="277"/>
        <v>1.1161745592899923</v>
      </c>
      <c r="DI59" s="115">
        <f t="shared" si="112"/>
        <v>1.1180575846563545</v>
      </c>
      <c r="DJ59" s="138">
        <f t="shared" si="202"/>
        <v>2.4784978748598014</v>
      </c>
      <c r="DK59" s="138">
        <f t="shared" si="203"/>
        <v>2.5641993132074781</v>
      </c>
      <c r="DL59" s="115">
        <f t="shared" si="278"/>
        <v>642.83145141601563</v>
      </c>
      <c r="DM59" s="115">
        <f t="shared" si="293"/>
        <v>649.87847701144119</v>
      </c>
      <c r="DN59" s="115">
        <f t="shared" si="174"/>
        <v>12.791128587530405</v>
      </c>
      <c r="DO59" s="115">
        <f t="shared" si="114"/>
        <v>1.1161745592899923</v>
      </c>
      <c r="DP59" s="115">
        <f t="shared" si="292"/>
        <v>1.1180575846563545</v>
      </c>
      <c r="DQ59" s="115">
        <v>298.14999999999998</v>
      </c>
      <c r="DR59" s="138">
        <f t="shared" si="116"/>
        <v>1.650679584656628</v>
      </c>
      <c r="DS59" s="138">
        <f t="shared" si="117"/>
        <v>1.7077567425961806</v>
      </c>
      <c r="DT59" s="115">
        <f t="shared" si="289"/>
        <v>642.83145141601563</v>
      </c>
      <c r="DU59" s="139">
        <f t="shared" si="118"/>
        <v>6.4147701925452765</v>
      </c>
      <c r="DV59" s="115">
        <f t="shared" si="279"/>
        <v>1.1161745592899923</v>
      </c>
      <c r="DW59" s="115">
        <v>298.14999999999998</v>
      </c>
      <c r="DX59" s="138">
        <f t="shared" si="204"/>
        <v>0.82781829020317355</v>
      </c>
      <c r="DY59" s="138">
        <f t="shared" si="205"/>
        <v>0.85644257061129758</v>
      </c>
      <c r="DZ59" s="138">
        <f t="shared" si="290"/>
        <v>2.6022940740234533</v>
      </c>
      <c r="EA59" s="138">
        <f t="shared" si="280"/>
        <v>3.6589447410320499</v>
      </c>
      <c r="EB59" s="115">
        <f t="shared" si="291"/>
        <v>25.257628353930262</v>
      </c>
      <c r="EC59" s="115">
        <v>30</v>
      </c>
      <c r="ED59" s="198">
        <f t="shared" ca="1" si="265"/>
        <v>125.80344444444444</v>
      </c>
      <c r="EE59" s="198">
        <v>104.83</v>
      </c>
      <c r="EF59" s="198">
        <f t="shared" ca="1" si="169"/>
        <v>0.42491111111111107</v>
      </c>
      <c r="EG59" s="199">
        <v>0.36720000000000003</v>
      </c>
      <c r="EH59" s="138">
        <f t="shared" ca="1" si="121"/>
        <v>9.5142370901758713E-2</v>
      </c>
      <c r="EI59" s="138">
        <f t="shared" ca="1" si="281"/>
        <v>9.5142370901758713E-2</v>
      </c>
      <c r="EJ59" s="115">
        <f t="shared" si="170"/>
        <v>12.791128587530405</v>
      </c>
      <c r="EK59" s="115">
        <v>435</v>
      </c>
      <c r="EL59" s="115">
        <f t="shared" ca="1" si="171"/>
        <v>443.01095384147533</v>
      </c>
      <c r="EM59" s="115">
        <f t="shared" ca="1" si="123"/>
        <v>1.0627412409112651</v>
      </c>
      <c r="EN59" s="115">
        <f t="shared" ca="1" si="124"/>
        <v>1.0652099436449318</v>
      </c>
      <c r="EO59" s="115">
        <v>298.14999999999998</v>
      </c>
      <c r="EP59" s="138">
        <f t="shared" ca="1" si="125"/>
        <v>0.32929338183182427</v>
      </c>
      <c r="EQ59" s="138">
        <f t="shared" ca="1" si="126"/>
        <v>0.36507754656638014</v>
      </c>
      <c r="ER59" s="115">
        <f t="shared" si="282"/>
        <v>1.0207715961668227</v>
      </c>
      <c r="ES59" s="115">
        <f t="shared" si="172"/>
        <v>453</v>
      </c>
      <c r="ET59" s="115">
        <f t="shared" ca="1" si="206"/>
        <v>2816.5993052117487</v>
      </c>
      <c r="EU59" s="115">
        <f t="shared" ca="1" si="207"/>
        <v>6.5855309782608691</v>
      </c>
      <c r="EV59" s="138">
        <f t="shared" ca="1" si="175"/>
        <v>0.87559125759592848</v>
      </c>
      <c r="EW59" s="138">
        <f t="shared" ca="1" si="208"/>
        <v>0.94293588357167135</v>
      </c>
      <c r="EX59" s="115">
        <v>21.47</v>
      </c>
      <c r="EY59" s="115">
        <f t="shared" ca="1" si="209"/>
        <v>123.93144585503472</v>
      </c>
      <c r="EZ59" s="115">
        <f t="shared" ca="1" si="210"/>
        <v>0.41922575412326385</v>
      </c>
      <c r="FA59" s="138">
        <f t="shared" ca="1" si="127"/>
        <v>7.7076597140552289E-2</v>
      </c>
      <c r="FB59" s="138">
        <f t="shared" ca="1" si="283"/>
        <v>7.7076597140552289E-2</v>
      </c>
      <c r="FC59" s="115">
        <f t="shared" si="266"/>
        <v>21.47</v>
      </c>
      <c r="FD59" s="115">
        <v>37</v>
      </c>
      <c r="FE59" s="115">
        <f t="shared" ca="1" si="267"/>
        <v>154.93355555555553</v>
      </c>
      <c r="FF59" s="115">
        <f t="shared" ca="1" si="268"/>
        <v>0.52252222222222222</v>
      </c>
      <c r="FG59" s="138">
        <f t="shared" ca="1" si="176"/>
        <v>8.1462225449999703E-2</v>
      </c>
      <c r="FH59" s="138">
        <f t="shared" ca="1" si="129"/>
        <v>8.1462225449999703E-2</v>
      </c>
      <c r="FI59" s="115">
        <f t="shared" si="284"/>
        <v>103.80616333007814</v>
      </c>
      <c r="FJ59" s="115">
        <f t="shared" ca="1" si="211"/>
        <v>43.724498018476709</v>
      </c>
      <c r="FK59" s="115">
        <f t="shared" ca="1" si="212"/>
        <v>0.15198283070458307</v>
      </c>
      <c r="FL59" s="138">
        <f t="shared" ca="1" si="177"/>
        <v>0.31780226217418256</v>
      </c>
      <c r="FM59" s="138">
        <f t="shared" ca="1" si="213"/>
        <v>0.47805943527718925</v>
      </c>
      <c r="FN59" s="115">
        <f t="shared" si="285"/>
        <v>103.80616333007814</v>
      </c>
      <c r="FO59" s="115">
        <f t="shared" ca="1" si="214"/>
        <v>59.290230799145171</v>
      </c>
      <c r="FP59" s="115">
        <f t="shared" ca="1" si="215"/>
        <v>0.20384656627443101</v>
      </c>
      <c r="FQ59" s="138">
        <f t="shared" ca="1" si="178"/>
        <v>0.32844862441524109</v>
      </c>
      <c r="FR59" s="138">
        <f t="shared" ca="1" si="216"/>
        <v>0.4940744059885282</v>
      </c>
      <c r="FS59" s="139">
        <f t="shared" si="217"/>
        <v>5.8353354384378928</v>
      </c>
      <c r="FT59" s="249">
        <f t="shared" si="132"/>
        <v>4.6929833330816191</v>
      </c>
      <c r="FU59" s="139">
        <f t="shared" ca="1" si="218"/>
        <v>0.54093731613063389</v>
      </c>
      <c r="FV59" s="249">
        <f t="shared" ca="1" si="134"/>
        <v>0.49488568335988781</v>
      </c>
      <c r="FW59" s="139">
        <f t="shared" ca="1" si="286"/>
        <v>0.88185199152753957</v>
      </c>
      <c r="FX59" s="249">
        <f t="shared" ca="1" si="136"/>
        <v>0.95456522597356308</v>
      </c>
      <c r="FY59" s="249">
        <f t="shared" si="219"/>
        <v>0.15000000000000002</v>
      </c>
      <c r="FZ59" s="139">
        <f t="shared" si="220"/>
        <v>1050000</v>
      </c>
      <c r="GA59" s="139">
        <f t="shared" si="137"/>
        <v>3.3757716049382713E-2</v>
      </c>
      <c r="GB59" s="139">
        <f t="shared" si="138"/>
        <v>121.52777777777777</v>
      </c>
      <c r="GC59" s="139">
        <f t="shared" si="221"/>
        <v>1050000</v>
      </c>
      <c r="GD59" s="139">
        <f t="shared" si="139"/>
        <v>6.7515432098765427E-2</v>
      </c>
      <c r="GE59" s="139">
        <f t="shared" si="140"/>
        <v>243.05555555555554</v>
      </c>
      <c r="GF59" s="139">
        <f t="shared" si="141"/>
        <v>4.5814043209876545E-2</v>
      </c>
      <c r="GG59" s="139">
        <f t="shared" si="222"/>
        <v>712500</v>
      </c>
      <c r="GH59" s="139">
        <f t="shared" si="142"/>
        <v>164.93055555555554</v>
      </c>
      <c r="GI59" s="137">
        <f t="shared" si="223"/>
        <v>59.685277688571297</v>
      </c>
      <c r="GJ59" s="137">
        <f t="shared" si="143"/>
        <v>0.21486699967885495</v>
      </c>
      <c r="GK59" s="251">
        <f t="shared" si="224"/>
        <v>42.111579900405133</v>
      </c>
      <c r="GL59" s="137">
        <f t="shared" si="164"/>
        <v>0.15160168764145726</v>
      </c>
      <c r="GM59" s="137">
        <f t="shared" ca="1" si="225"/>
        <v>8.737596178243459</v>
      </c>
      <c r="GN59" s="137">
        <f t="shared" ca="1" si="144"/>
        <v>3.1455346241676202E-2</v>
      </c>
      <c r="GO59" s="137">
        <f t="shared" ca="1" si="145"/>
        <v>0.11060248326890366</v>
      </c>
      <c r="GP59" s="137">
        <f t="shared" ca="1" si="226"/>
        <v>9.150100297043787</v>
      </c>
      <c r="GQ59" s="137">
        <f t="shared" ca="1" si="146"/>
        <v>3.2940361069357368E-2</v>
      </c>
      <c r="GR59" s="137">
        <f t="shared" ca="1" si="147"/>
        <v>0.1158240543929584</v>
      </c>
      <c r="GS59" s="140">
        <f t="shared" si="227"/>
        <v>8.4069677661574735E-2</v>
      </c>
      <c r="GT59" s="140">
        <f t="shared" si="228"/>
        <v>6.7611810879706885E-2</v>
      </c>
      <c r="GU59" s="140">
        <f t="shared" si="287"/>
        <v>302.65083958166906</v>
      </c>
      <c r="GV59" s="140">
        <f t="shared" si="149"/>
        <v>243.40251916694478</v>
      </c>
      <c r="GW59" s="141">
        <f t="shared" ca="1" si="229"/>
        <v>5.1903270863870319E-3</v>
      </c>
      <c r="GX59" s="141">
        <f t="shared" ca="1" si="230"/>
        <v>4.7484588147504907E-3</v>
      </c>
      <c r="GY59" s="141">
        <f t="shared" ca="1" si="150"/>
        <v>18.685177510993316</v>
      </c>
      <c r="GZ59" s="141">
        <f t="shared" ca="1" si="165"/>
        <v>17.094451733101767</v>
      </c>
      <c r="HA59" s="141">
        <f t="shared" ca="1" si="231"/>
        <v>1.432612670153182E-2</v>
      </c>
      <c r="HB59" s="141">
        <f t="shared" ca="1" si="232"/>
        <v>1.45055955952966E-2</v>
      </c>
      <c r="HC59" s="141">
        <f t="shared" ca="1" si="233"/>
        <v>51.574056125514552</v>
      </c>
      <c r="HD59" s="141">
        <f t="shared" ca="1" si="152"/>
        <v>52.220144143067756</v>
      </c>
      <c r="HE59" s="137">
        <f t="shared" si="153"/>
        <v>8.4376295124613456</v>
      </c>
      <c r="HF59" s="250">
        <f t="shared" si="154"/>
        <v>8.351928074113669</v>
      </c>
      <c r="HG59" s="137">
        <v>2.6022940740234533</v>
      </c>
      <c r="HH59" s="251">
        <v>3.8193378001204366</v>
      </c>
      <c r="HI59" s="137">
        <f t="shared" ca="1" si="155"/>
        <v>1.2856020380902478</v>
      </c>
      <c r="HJ59" s="251">
        <f t="shared" ca="1" si="156"/>
        <v>1.3426791960298003</v>
      </c>
      <c r="HK59" s="137">
        <f t="shared" ca="1" si="157"/>
        <v>0.78044888669416979</v>
      </c>
      <c r="HL59" s="251">
        <f t="shared" ca="1" si="158"/>
        <v>0.84779351266991265</v>
      </c>
      <c r="HM59" s="137">
        <f t="shared" ca="1" si="159"/>
        <v>0.87559125759592848</v>
      </c>
      <c r="HN59" s="251">
        <f t="shared" ca="1" si="160"/>
        <v>0.94293588357167135</v>
      </c>
      <c r="HO59" s="137">
        <f t="shared" ca="1" si="161"/>
        <v>0.31780226217418256</v>
      </c>
      <c r="HP59" s="251">
        <f t="shared" ca="1" si="162"/>
        <v>0.47805943527718925</v>
      </c>
      <c r="JN59" s="143">
        <f t="shared" si="234"/>
        <v>19.205898780075682</v>
      </c>
      <c r="JO59" s="143">
        <f t="shared" si="235"/>
        <v>2602.294074023453</v>
      </c>
      <c r="JP59" s="143">
        <f t="shared" si="236"/>
        <v>3658.9447410320499</v>
      </c>
      <c r="JQ59" s="143">
        <f t="shared" si="237"/>
        <v>1.0207715961668227</v>
      </c>
      <c r="JR59" s="143">
        <f t="shared" ca="1" si="238"/>
        <v>1.099282523216577</v>
      </c>
      <c r="JS59" s="143">
        <f t="shared" si="239"/>
        <v>103.80616333007814</v>
      </c>
      <c r="JT59" s="143">
        <f t="shared" ca="1" si="240"/>
        <v>156.1521792839531</v>
      </c>
      <c r="JU59" s="143">
        <f t="shared" si="256"/>
        <v>0.25269325105794577</v>
      </c>
      <c r="JV59" s="143">
        <f t="shared" si="241"/>
        <v>0.35529829287250236</v>
      </c>
      <c r="JW59" s="143">
        <f t="shared" ca="1" si="242"/>
        <v>0.26621033656402682</v>
      </c>
      <c r="JX59" s="143">
        <f t="shared" ca="1" si="243"/>
        <v>0.2866854559662062</v>
      </c>
      <c r="JY59" s="143">
        <f t="shared" si="244"/>
        <v>0.731740305144853</v>
      </c>
      <c r="JZ59" s="143">
        <f t="shared" si="245"/>
        <v>0.9668810976305815</v>
      </c>
      <c r="KA59" s="143">
        <f t="shared" si="246"/>
        <v>0.23838985948862809</v>
      </c>
      <c r="KB59" s="143">
        <f t="shared" si="247"/>
        <v>0.33518706874764376</v>
      </c>
      <c r="KC59" s="143">
        <f t="shared" ca="1" si="248"/>
        <v>0.59062890548255986</v>
      </c>
      <c r="KD59" s="143">
        <f t="shared" ca="1" si="249"/>
        <v>0.63141926617823019</v>
      </c>
      <c r="KE59" s="143">
        <f t="shared" ca="1" si="250"/>
        <v>0.5069903941574333</v>
      </c>
      <c r="KF59" s="143">
        <f t="shared" ca="1" si="251"/>
        <v>0.36295732674028508</v>
      </c>
      <c r="KG59" s="142">
        <f t="shared" si="252"/>
        <v>0.15160168764145726</v>
      </c>
      <c r="KH59" s="142">
        <f t="shared" ca="1" si="253"/>
        <v>0.1158240543929584</v>
      </c>
      <c r="KI59" s="142">
        <f t="shared" ca="1" si="254"/>
        <v>372.91007321817693</v>
      </c>
      <c r="KJ59" s="142">
        <f t="shared" ca="1" si="255"/>
        <v>312.71711504311429</v>
      </c>
    </row>
    <row r="60" spans="1:296" ht="17.25" thickBot="1" x14ac:dyDescent="0.35">
      <c r="A60" s="204">
        <v>41364</v>
      </c>
      <c r="B60" s="196">
        <v>61</v>
      </c>
      <c r="C60" s="177">
        <v>24</v>
      </c>
      <c r="D60" s="166">
        <v>4.2</v>
      </c>
      <c r="E60" s="166">
        <v>50016</v>
      </c>
      <c r="F60" s="166">
        <v>300</v>
      </c>
      <c r="G60" s="166">
        <v>11.7</v>
      </c>
      <c r="H60" s="166">
        <v>0.85</v>
      </c>
      <c r="I60" s="166">
        <v>1.4</v>
      </c>
      <c r="J60" s="166">
        <v>1.33</v>
      </c>
      <c r="K60" s="166">
        <v>0.91</v>
      </c>
      <c r="L60" s="171">
        <v>27506.324536390603</v>
      </c>
      <c r="M60" s="169">
        <v>19</v>
      </c>
      <c r="N60" s="172">
        <v>79848.71944642812</v>
      </c>
      <c r="O60" s="187">
        <v>17</v>
      </c>
      <c r="P60" s="171">
        <v>2</v>
      </c>
      <c r="Q60" s="171">
        <v>5</v>
      </c>
      <c r="R60" s="173">
        <v>379.06329345703125</v>
      </c>
      <c r="S60" s="174">
        <v>100.10898448748048</v>
      </c>
      <c r="T60" s="171">
        <v>180</v>
      </c>
      <c r="U60" s="175">
        <v>4.0443720817565918</v>
      </c>
      <c r="V60" s="187">
        <v>17</v>
      </c>
      <c r="W60" s="171">
        <v>1250</v>
      </c>
      <c r="X60" s="174">
        <v>59489.189524739981</v>
      </c>
      <c r="Y60" s="174">
        <v>7748.0045867562294</v>
      </c>
      <c r="Z60" s="174">
        <v>247.88446044921875</v>
      </c>
      <c r="AA60" s="174">
        <v>11.051177978515625</v>
      </c>
      <c r="AB60" s="174">
        <v>14.977571487426758</v>
      </c>
      <c r="AC60" s="213">
        <v>37</v>
      </c>
      <c r="AD60" s="213">
        <v>28.676933288574219</v>
      </c>
      <c r="AE60" s="254">
        <v>20</v>
      </c>
      <c r="AF60" s="254">
        <v>10</v>
      </c>
      <c r="AG60" s="217">
        <v>5000000</v>
      </c>
      <c r="AH60" s="218">
        <v>300000</v>
      </c>
      <c r="AI60" s="219">
        <v>5000000</v>
      </c>
      <c r="AJ60" s="225">
        <f t="shared" si="179"/>
        <v>300000</v>
      </c>
      <c r="AK60" s="220">
        <v>2750000</v>
      </c>
      <c r="AL60" s="226">
        <f t="shared" si="180"/>
        <v>300000</v>
      </c>
      <c r="AM60" s="221">
        <v>14.407</v>
      </c>
      <c r="BM60" s="197">
        <f t="shared" si="181"/>
        <v>8.3230667114257813</v>
      </c>
      <c r="BN60" s="196">
        <f t="shared" si="182"/>
        <v>180</v>
      </c>
      <c r="BO60" s="197">
        <f t="shared" si="183"/>
        <v>3.9263935089111328</v>
      </c>
      <c r="BP60" s="196">
        <f t="shared" si="173"/>
        <v>12.689455594804947</v>
      </c>
      <c r="BQ60" s="115">
        <f t="shared" si="184"/>
        <v>659.74492511188635</v>
      </c>
      <c r="BR60" s="184">
        <f t="shared" si="185"/>
        <v>1.0041987768</v>
      </c>
      <c r="BS60" s="115">
        <f t="shared" si="186"/>
        <v>6863.8528613899143</v>
      </c>
      <c r="BT60" s="196">
        <v>900</v>
      </c>
      <c r="BU60" s="115">
        <f t="shared" si="288"/>
        <v>1.1850729520000001</v>
      </c>
      <c r="BV60" s="115">
        <f t="shared" si="269"/>
        <v>1.0743810387617889</v>
      </c>
      <c r="BW60" s="115">
        <f t="shared" si="270"/>
        <v>480.87929815975008</v>
      </c>
      <c r="BX60" s="115">
        <f t="shared" si="187"/>
        <v>1156.8326712983846</v>
      </c>
      <c r="BY60" s="115"/>
      <c r="BZ60" s="115">
        <f t="shared" si="188"/>
        <v>675.95337313863456</v>
      </c>
      <c r="CA60" s="115">
        <f t="shared" si="189"/>
        <v>10956.711383618114</v>
      </c>
      <c r="CB60" s="115">
        <f t="shared" si="190"/>
        <v>3327.0299769345052</v>
      </c>
      <c r="CC60" s="115">
        <f t="shared" si="191"/>
        <v>1146.0968556829419</v>
      </c>
      <c r="CD60" s="129">
        <f t="shared" si="271"/>
        <v>0.22644787091658694</v>
      </c>
      <c r="CE60" s="115">
        <f t="shared" si="192"/>
        <v>14.581438849954043</v>
      </c>
      <c r="CF60" s="115">
        <f t="shared" si="193"/>
        <v>27.808051246522357</v>
      </c>
      <c r="CG60" s="115">
        <f t="shared" si="194"/>
        <v>0.02</v>
      </c>
      <c r="CH60" s="115">
        <f t="shared" si="195"/>
        <v>0.05</v>
      </c>
      <c r="CI60" s="136">
        <v>30</v>
      </c>
      <c r="CJ60" s="115">
        <f t="shared" si="257"/>
        <v>165</v>
      </c>
      <c r="CK60" s="115">
        <f t="shared" si="196"/>
        <v>453</v>
      </c>
      <c r="CL60" s="115">
        <f t="shared" si="197"/>
        <v>652.06329345703125</v>
      </c>
      <c r="CM60" s="115">
        <f t="shared" ca="1" si="198"/>
        <v>2816.5993052117487</v>
      </c>
      <c r="CN60" s="115">
        <f t="shared" ca="1" si="258"/>
        <v>125.80344444444444</v>
      </c>
      <c r="CO60" s="115">
        <f t="shared" ca="1" si="259"/>
        <v>690.58718083896258</v>
      </c>
      <c r="CP60" s="115">
        <f t="shared" ca="1" si="260"/>
        <v>2790.6388281929471</v>
      </c>
      <c r="CQ60" s="115">
        <f t="shared" si="272"/>
        <v>1.072449112508886</v>
      </c>
      <c r="CR60" s="115">
        <f t="shared" ca="1" si="199"/>
        <v>666.22370958038107</v>
      </c>
      <c r="CS60" s="115">
        <f t="shared" ca="1" si="200"/>
        <v>32.969947810374514</v>
      </c>
      <c r="CT60" s="115">
        <f t="shared" si="273"/>
        <v>1.1186420552482497</v>
      </c>
      <c r="CU60" s="115">
        <f t="shared" ca="1" si="274"/>
        <v>1.0174805192851315</v>
      </c>
      <c r="CV60" s="115">
        <f t="shared" si="108"/>
        <v>202.95337313863456</v>
      </c>
      <c r="CW60" s="115">
        <f t="shared" si="261"/>
        <v>473</v>
      </c>
      <c r="CX60" s="115">
        <f t="shared" si="262"/>
        <v>438</v>
      </c>
      <c r="CY60" s="115">
        <f t="shared" ca="1" si="275"/>
        <v>440.03005218962551</v>
      </c>
      <c r="CZ60" s="115">
        <f t="shared" ca="1" si="263"/>
        <v>212.03324126740574</v>
      </c>
      <c r="DA60" s="115">
        <v>0.21890000000000001</v>
      </c>
      <c r="DB60" s="115">
        <v>2.7E-2</v>
      </c>
      <c r="DC60" s="115">
        <v>1.06</v>
      </c>
      <c r="DD60" s="138">
        <f t="shared" si="201"/>
        <v>12.005577714469853</v>
      </c>
      <c r="DE60" s="138">
        <f t="shared" si="276"/>
        <v>12.005577714469853</v>
      </c>
      <c r="DF60" s="115">
        <f t="shared" si="264"/>
        <v>652.06329345703125</v>
      </c>
      <c r="DG60" s="115">
        <v>675.95337313863456</v>
      </c>
      <c r="DH60" s="115">
        <f t="shared" si="277"/>
        <v>1.1186420552482497</v>
      </c>
      <c r="DI60" s="115">
        <f t="shared" si="112"/>
        <v>1.1250511387051185</v>
      </c>
      <c r="DJ60" s="138">
        <f t="shared" si="202"/>
        <v>2.593752884227702</v>
      </c>
      <c r="DK60" s="138">
        <f t="shared" si="203"/>
        <v>2.893315142430235</v>
      </c>
      <c r="DL60" s="115">
        <f t="shared" si="278"/>
        <v>652.06329345703125</v>
      </c>
      <c r="DM60" s="115">
        <f t="shared" si="293"/>
        <v>675.95337313863456</v>
      </c>
      <c r="DN60" s="115">
        <f t="shared" si="174"/>
        <v>12.804814282030447</v>
      </c>
      <c r="DO60" s="115">
        <f t="shared" si="114"/>
        <v>1.1186420552482497</v>
      </c>
      <c r="DP60" s="115">
        <f t="shared" si="292"/>
        <v>1.1250511387051185</v>
      </c>
      <c r="DQ60" s="115">
        <v>298.14999999999998</v>
      </c>
      <c r="DR60" s="138">
        <f t="shared" si="116"/>
        <v>1.7274394208956494</v>
      </c>
      <c r="DS60" s="138">
        <f t="shared" si="117"/>
        <v>1.9269478848585369</v>
      </c>
      <c r="DT60" s="115">
        <f t="shared" si="289"/>
        <v>652.06329345703125</v>
      </c>
      <c r="DU60" s="139">
        <f t="shared" si="118"/>
        <v>6.4216335888861398</v>
      </c>
      <c r="DV60" s="115">
        <f t="shared" si="279"/>
        <v>1.1186420552482497</v>
      </c>
      <c r="DW60" s="115">
        <v>298.14999999999998</v>
      </c>
      <c r="DX60" s="138">
        <f t="shared" si="204"/>
        <v>0.86631346333205239</v>
      </c>
      <c r="DY60" s="138">
        <f t="shared" si="205"/>
        <v>0.96636725757169861</v>
      </c>
      <c r="DZ60" s="138">
        <f t="shared" si="290"/>
        <v>3.3270299769345053</v>
      </c>
      <c r="EA60" s="138">
        <f t="shared" si="280"/>
        <v>4.0928585222281999</v>
      </c>
      <c r="EB60" s="115">
        <f t="shared" si="291"/>
        <v>27.808051246522357</v>
      </c>
      <c r="EC60" s="115">
        <v>30</v>
      </c>
      <c r="ED60" s="198">
        <f t="shared" ca="1" si="265"/>
        <v>125.80344444444444</v>
      </c>
      <c r="EE60" s="198">
        <v>104.83</v>
      </c>
      <c r="EF60" s="198">
        <f t="shared" ca="1" si="169"/>
        <v>0.42491111111111107</v>
      </c>
      <c r="EG60" s="199">
        <v>0.36720000000000003</v>
      </c>
      <c r="EH60" s="138">
        <f t="shared" ca="1" si="121"/>
        <v>0.10474949938599643</v>
      </c>
      <c r="EI60" s="138">
        <f t="shared" ca="1" si="281"/>
        <v>0.10474949938599643</v>
      </c>
      <c r="EJ60" s="115">
        <f t="shared" si="170"/>
        <v>12.804814282030447</v>
      </c>
      <c r="EK60" s="115">
        <v>435</v>
      </c>
      <c r="EL60" s="115">
        <f t="shared" ca="1" si="171"/>
        <v>440.03005218962551</v>
      </c>
      <c r="EM60" s="115">
        <f t="shared" ca="1" si="123"/>
        <v>1.0629546941351915</v>
      </c>
      <c r="EN60" s="115">
        <f t="shared" ca="1" si="124"/>
        <v>1.0645007169064273</v>
      </c>
      <c r="EO60" s="115">
        <v>298.14999999999998</v>
      </c>
      <c r="EP60" s="138">
        <f t="shared" ca="1" si="125"/>
        <v>0.32971191466860195</v>
      </c>
      <c r="EQ60" s="138">
        <f t="shared" ca="1" si="126"/>
        <v>0.35203094839426685</v>
      </c>
      <c r="ER60" s="115">
        <f t="shared" si="282"/>
        <v>1.1234366893768311</v>
      </c>
      <c r="ES60" s="115">
        <f t="shared" si="172"/>
        <v>453</v>
      </c>
      <c r="ET60" s="115">
        <f t="shared" ca="1" si="206"/>
        <v>2816.5993052117487</v>
      </c>
      <c r="EU60" s="115">
        <f t="shared" ca="1" si="207"/>
        <v>6.5855309782608691</v>
      </c>
      <c r="EV60" s="138">
        <f t="shared" ca="1" si="175"/>
        <v>0.96365469746094568</v>
      </c>
      <c r="EW60" s="138">
        <f t="shared" ca="1" si="208"/>
        <v>1.0854926545772867</v>
      </c>
      <c r="EX60" s="115">
        <v>21.47</v>
      </c>
      <c r="EY60" s="115">
        <f t="shared" ca="1" si="209"/>
        <v>120.1005965830485</v>
      </c>
      <c r="EZ60" s="115">
        <f t="shared" ca="1" si="210"/>
        <v>0.40646168085734047</v>
      </c>
      <c r="FA60" s="138">
        <f t="shared" ca="1" si="127"/>
        <v>7.653467656873468E-2</v>
      </c>
      <c r="FB60" s="138">
        <f t="shared" ca="1" si="283"/>
        <v>7.653467656873468E-2</v>
      </c>
      <c r="FC60" s="115">
        <f t="shared" si="266"/>
        <v>21.47</v>
      </c>
      <c r="FD60" s="115">
        <v>37</v>
      </c>
      <c r="FE60" s="115">
        <f t="shared" ca="1" si="267"/>
        <v>154.93355555555553</v>
      </c>
      <c r="FF60" s="115">
        <f t="shared" ca="1" si="268"/>
        <v>0.52252222222222222</v>
      </c>
      <c r="FG60" s="138">
        <f t="shared" ca="1" si="176"/>
        <v>8.1462225449999703E-2</v>
      </c>
      <c r="FH60" s="138">
        <f t="shared" ca="1" si="129"/>
        <v>8.1462225449999703E-2</v>
      </c>
      <c r="FI60" s="115">
        <f t="shared" si="284"/>
        <v>69.40764892578126</v>
      </c>
      <c r="FJ60" s="115">
        <f t="shared" ca="1" si="211"/>
        <v>46.334852193196625</v>
      </c>
      <c r="FK60" s="115">
        <f t="shared" ca="1" si="212"/>
        <v>0.16068031514485678</v>
      </c>
      <c r="FL60" s="138">
        <f t="shared" ca="1" si="177"/>
        <v>0.21368506727236342</v>
      </c>
      <c r="FM60" s="138">
        <f t="shared" ca="1" si="213"/>
        <v>0.52768181443775375</v>
      </c>
      <c r="FN60" s="115">
        <f t="shared" si="285"/>
        <v>69.40764892578126</v>
      </c>
      <c r="FO60" s="115">
        <f t="shared" ca="1" si="214"/>
        <v>62.767245293935147</v>
      </c>
      <c r="FP60" s="115">
        <f t="shared" ca="1" si="215"/>
        <v>0.21543169129689535</v>
      </c>
      <c r="FQ60" s="138">
        <f t="shared" ca="1" si="178"/>
        <v>0.22119985431383099</v>
      </c>
      <c r="FR60" s="138">
        <f t="shared" ca="1" si="216"/>
        <v>0.54623910770944784</v>
      </c>
      <c r="FS60" s="139">
        <f t="shared" si="217"/>
        <v>6.0847948533076446</v>
      </c>
      <c r="FT60" s="249">
        <f t="shared" si="132"/>
        <v>5.0194040498114187</v>
      </c>
      <c r="FU60" s="139">
        <f t="shared" ca="1" si="218"/>
        <v>0.53882230815209819</v>
      </c>
      <c r="FV60" s="249">
        <f t="shared" ca="1" si="134"/>
        <v>0.59417378127297971</v>
      </c>
      <c r="FW60" s="139">
        <f t="shared" ca="1" si="286"/>
        <v>0.96624193562114824</v>
      </c>
      <c r="FX60" s="249">
        <f t="shared" ca="1" si="136"/>
        <v>1.0991223989677159</v>
      </c>
      <c r="FY60" s="249">
        <f t="shared" si="219"/>
        <v>0.15000000000000002</v>
      </c>
      <c r="FZ60" s="139">
        <f t="shared" si="220"/>
        <v>1050000</v>
      </c>
      <c r="GA60" s="139">
        <f t="shared" si="137"/>
        <v>3.3757716049382713E-2</v>
      </c>
      <c r="GB60" s="139">
        <f t="shared" si="138"/>
        <v>121.52777777777777</v>
      </c>
      <c r="GC60" s="139">
        <f t="shared" si="221"/>
        <v>1050000</v>
      </c>
      <c r="GD60" s="139">
        <f t="shared" si="139"/>
        <v>6.7515432098765427E-2</v>
      </c>
      <c r="GE60" s="139">
        <f t="shared" si="140"/>
        <v>243.05555555555554</v>
      </c>
      <c r="GF60" s="139">
        <f t="shared" si="141"/>
        <v>4.5814043209876545E-2</v>
      </c>
      <c r="GG60" s="139">
        <f t="shared" si="222"/>
        <v>712500</v>
      </c>
      <c r="GH60" s="139">
        <f t="shared" si="142"/>
        <v>164.93055555555554</v>
      </c>
      <c r="GI60" s="137">
        <f t="shared" si="223"/>
        <v>50.902419741562547</v>
      </c>
      <c r="GJ60" s="137">
        <f t="shared" si="143"/>
        <v>0.1832487110696237</v>
      </c>
      <c r="GK60" s="251">
        <f t="shared" si="224"/>
        <v>40.32342726445107</v>
      </c>
      <c r="GL60" s="137">
        <f t="shared" si="164"/>
        <v>0.1451643381520227</v>
      </c>
      <c r="GM60" s="137">
        <f t="shared" ca="1" si="225"/>
        <v>8.7659642466553134</v>
      </c>
      <c r="GN60" s="137">
        <f t="shared" ca="1" si="144"/>
        <v>3.1557471287958876E-2</v>
      </c>
      <c r="GO60" s="137">
        <f t="shared" ca="1" si="145"/>
        <v>0.11096157274247144</v>
      </c>
      <c r="GP60" s="137">
        <f t="shared" ca="1" si="226"/>
        <v>9.9552174618637093</v>
      </c>
      <c r="GQ60" s="137">
        <f t="shared" ca="1" si="146"/>
        <v>3.583878286270907E-2</v>
      </c>
      <c r="GR60" s="137">
        <f t="shared" ca="1" si="147"/>
        <v>0.12601541090966623</v>
      </c>
      <c r="GS60" s="140">
        <f t="shared" si="227"/>
        <v>8.7663639451603229E-2</v>
      </c>
      <c r="GT60" s="140">
        <f t="shared" si="228"/>
        <v>7.2314554145633106E-2</v>
      </c>
      <c r="GU60" s="140">
        <f t="shared" si="287"/>
        <v>315.58910202577164</v>
      </c>
      <c r="GV60" s="140">
        <f t="shared" si="149"/>
        <v>260.33239492427919</v>
      </c>
      <c r="GW60" s="141">
        <f t="shared" ca="1" si="229"/>
        <v>5.1700334537024871E-3</v>
      </c>
      <c r="GX60" s="141">
        <f t="shared" ca="1" si="230"/>
        <v>5.7011342700886789E-3</v>
      </c>
      <c r="GY60" s="141">
        <f t="shared" ca="1" si="150"/>
        <v>18.612120433328954</v>
      </c>
      <c r="GZ60" s="141">
        <f t="shared" ca="1" si="165"/>
        <v>20.524083372319243</v>
      </c>
      <c r="HA60" s="141">
        <f t="shared" ca="1" si="231"/>
        <v>1.5087279930884569E-2</v>
      </c>
      <c r="HB60" s="141">
        <f t="shared" ca="1" si="232"/>
        <v>1.6935429347205284E-2</v>
      </c>
      <c r="HC60" s="141">
        <f t="shared" ca="1" si="233"/>
        <v>54.314207751184448</v>
      </c>
      <c r="HD60" s="141">
        <f t="shared" ca="1" si="152"/>
        <v>60.967545649939019</v>
      </c>
      <c r="HE60" s="137">
        <f t="shared" si="153"/>
        <v>9.4118248302421499</v>
      </c>
      <c r="HF60" s="250">
        <f t="shared" si="154"/>
        <v>9.1122625720396186</v>
      </c>
      <c r="HG60" s="137">
        <v>3.3270299769345053</v>
      </c>
      <c r="HH60" s="251">
        <v>4.6371878560229165</v>
      </c>
      <c r="HI60" s="137">
        <f t="shared" ca="1" si="155"/>
        <v>1.3754084725013827</v>
      </c>
      <c r="HJ60" s="251">
        <f t="shared" ca="1" si="156"/>
        <v>1.5749169364642701</v>
      </c>
      <c r="HK60" s="137">
        <f t="shared" ca="1" si="157"/>
        <v>0.85890519807494925</v>
      </c>
      <c r="HL60" s="251">
        <f t="shared" ca="1" si="158"/>
        <v>0.98074315519129029</v>
      </c>
      <c r="HM60" s="137">
        <f t="shared" ca="1" si="159"/>
        <v>0.96365469746094568</v>
      </c>
      <c r="HN60" s="251">
        <f t="shared" ca="1" si="160"/>
        <v>1.0854926545772867</v>
      </c>
      <c r="HO60" s="137">
        <f t="shared" ca="1" si="161"/>
        <v>0.21368506727236342</v>
      </c>
      <c r="HP60" s="251">
        <f t="shared" ca="1" si="162"/>
        <v>0.52768181443775375</v>
      </c>
      <c r="JN60" s="143">
        <f t="shared" si="234"/>
        <v>19.226447870916587</v>
      </c>
      <c r="JO60" s="143">
        <f t="shared" si="235"/>
        <v>3327.0299769345052</v>
      </c>
      <c r="JP60" s="143">
        <f t="shared" si="236"/>
        <v>4092.8585222281999</v>
      </c>
      <c r="JQ60" s="143">
        <f t="shared" si="237"/>
        <v>1.1234366893768311</v>
      </c>
      <c r="JR60" s="143">
        <f t="shared" ca="1" si="238"/>
        <v>1.2654763966950904</v>
      </c>
      <c r="JS60" s="143">
        <f t="shared" si="239"/>
        <v>69.40764892578126</v>
      </c>
      <c r="JT60" s="143">
        <f t="shared" ca="1" si="240"/>
        <v>171.39781730434333</v>
      </c>
      <c r="JU60" s="143">
        <f t="shared" si="256"/>
        <v>0.29375110964464796</v>
      </c>
      <c r="JV60" s="143">
        <f t="shared" si="241"/>
        <v>0.36136786889755018</v>
      </c>
      <c r="JW60" s="143">
        <f t="shared" ca="1" si="242"/>
        <v>0.26644199714716577</v>
      </c>
      <c r="JX60" s="143">
        <f t="shared" ca="1" si="243"/>
        <v>0.30012911423167959</v>
      </c>
      <c r="JY60" s="143">
        <f t="shared" si="244"/>
        <v>0.67869842636352429</v>
      </c>
      <c r="JZ60" s="143">
        <f t="shared" si="245"/>
        <v>0.85174399097493481</v>
      </c>
      <c r="KA60" s="143">
        <f t="shared" si="246"/>
        <v>0.27712368834400752</v>
      </c>
      <c r="KB60" s="143">
        <f t="shared" si="247"/>
        <v>0.34091308386561336</v>
      </c>
      <c r="KC60" s="143">
        <f t="shared" ca="1" si="248"/>
        <v>0.61450117726697173</v>
      </c>
      <c r="KD60" s="143">
        <f t="shared" ca="1" si="249"/>
        <v>0.62272690862864455</v>
      </c>
      <c r="KE60" s="143">
        <f t="shared" ca="1" si="250"/>
        <v>0.48612195781577533</v>
      </c>
      <c r="KF60" s="143">
        <f t="shared" ca="1" si="251"/>
        <v>0.22174443588080314</v>
      </c>
      <c r="KG60" s="142">
        <f t="shared" si="252"/>
        <v>0.1451643381520227</v>
      </c>
      <c r="KH60" s="142">
        <f t="shared" ca="1" si="253"/>
        <v>0.12601541090966623</v>
      </c>
      <c r="KI60" s="142">
        <f t="shared" ca="1" si="254"/>
        <v>388.51543021028499</v>
      </c>
      <c r="KJ60" s="142">
        <f t="shared" ca="1" si="255"/>
        <v>341.82402394653747</v>
      </c>
    </row>
    <row r="61" spans="1:296" x14ac:dyDescent="0.3">
      <c r="A61" s="200">
        <v>41365</v>
      </c>
      <c r="B61" s="196">
        <v>62</v>
      </c>
      <c r="C61" s="179">
        <v>24</v>
      </c>
      <c r="D61" s="179">
        <v>4.2</v>
      </c>
      <c r="E61" s="179">
        <v>50016</v>
      </c>
      <c r="F61" s="179">
        <v>300</v>
      </c>
      <c r="G61" s="179">
        <v>11.7</v>
      </c>
      <c r="H61" s="179">
        <v>0.85</v>
      </c>
      <c r="I61" s="179">
        <v>1.4</v>
      </c>
      <c r="J61" s="179">
        <v>1.33</v>
      </c>
      <c r="K61" s="179">
        <v>0.91</v>
      </c>
      <c r="L61" s="152">
        <v>26871.519924424589</v>
      </c>
      <c r="M61" s="156">
        <v>19</v>
      </c>
      <c r="N61" s="153">
        <v>77700.004722610116</v>
      </c>
      <c r="O61" s="178">
        <v>17</v>
      </c>
      <c r="P61" s="179">
        <v>2</v>
      </c>
      <c r="Q61" s="179">
        <v>5</v>
      </c>
      <c r="R61" s="154">
        <v>387.57122802734375</v>
      </c>
      <c r="S61" s="155">
        <v>91.206245510460576</v>
      </c>
      <c r="T61" s="152">
        <v>180</v>
      </c>
      <c r="U61" s="156">
        <v>3.5864005088806152</v>
      </c>
      <c r="V61" s="178">
        <v>17</v>
      </c>
      <c r="W61" s="179">
        <v>1250</v>
      </c>
      <c r="X61" s="155">
        <v>90042.32361587882</v>
      </c>
      <c r="Y61" s="155">
        <v>12383.69465389289</v>
      </c>
      <c r="Z61" s="155">
        <v>350.80740356445312</v>
      </c>
      <c r="AA61" s="155">
        <v>10.650683403015137</v>
      </c>
      <c r="AB61" s="155">
        <v>15.760432243347168</v>
      </c>
      <c r="AC61" s="215">
        <v>37</v>
      </c>
      <c r="AD61" s="215">
        <v>29.948436737060547</v>
      </c>
      <c r="AE61" s="254">
        <v>20</v>
      </c>
      <c r="AF61" s="254">
        <v>10</v>
      </c>
      <c r="AG61" s="217">
        <v>5000000</v>
      </c>
      <c r="AH61" s="218">
        <v>300000</v>
      </c>
      <c r="AI61" s="219">
        <v>5000000</v>
      </c>
      <c r="AJ61" s="225">
        <f t="shared" si="179"/>
        <v>300000</v>
      </c>
      <c r="AK61" s="220">
        <v>2750000</v>
      </c>
      <c r="AL61" s="226">
        <f t="shared" si="180"/>
        <v>300000</v>
      </c>
      <c r="AM61" s="221">
        <v>14.407</v>
      </c>
      <c r="BM61" s="197">
        <f t="shared" si="181"/>
        <v>7.0515632629394531</v>
      </c>
      <c r="BN61" s="196">
        <f t="shared" si="182"/>
        <v>180</v>
      </c>
      <c r="BO61" s="197">
        <f t="shared" si="183"/>
        <v>5.1097488403320313</v>
      </c>
      <c r="BP61" s="196">
        <f t="shared" si="173"/>
        <v>12.686006384397327</v>
      </c>
      <c r="BQ61" s="115">
        <f t="shared" si="184"/>
        <v>659.74492511188635</v>
      </c>
      <c r="BR61" s="184">
        <f t="shared" si="185"/>
        <v>1.0041987768</v>
      </c>
      <c r="BS61" s="115">
        <f t="shared" si="186"/>
        <v>6863.8528613899143</v>
      </c>
      <c r="BT61" s="196">
        <v>900</v>
      </c>
      <c r="BU61" s="115">
        <f t="shared" si="288"/>
        <v>1.1850729520000001</v>
      </c>
      <c r="BV61" s="115">
        <f t="shared" si="269"/>
        <v>1.0732238060076758</v>
      </c>
      <c r="BW61" s="115">
        <f t="shared" si="270"/>
        <v>476.16541607747649</v>
      </c>
      <c r="BX61" s="115">
        <f t="shared" si="187"/>
        <v>1145.492668053723</v>
      </c>
      <c r="BY61" s="115"/>
      <c r="BZ61" s="115">
        <f t="shared" si="188"/>
        <v>669.32725197624654</v>
      </c>
      <c r="CA61" s="115">
        <f t="shared" si="189"/>
        <v>10846.357763677852</v>
      </c>
      <c r="CB61" s="115">
        <f t="shared" si="190"/>
        <v>3237.5001967754215</v>
      </c>
      <c r="CC61" s="115">
        <f t="shared" si="191"/>
        <v>1119.6466635176912</v>
      </c>
      <c r="CD61" s="129">
        <f t="shared" si="271"/>
        <v>0.22122179454140442</v>
      </c>
      <c r="CE61" s="115">
        <f t="shared" si="192"/>
        <v>20.635729621438418</v>
      </c>
      <c r="CF61" s="115">
        <f t="shared" si="193"/>
        <v>25.335068197350161</v>
      </c>
      <c r="CG61" s="115">
        <f t="shared" si="194"/>
        <v>0.02</v>
      </c>
      <c r="CH61" s="115">
        <f t="shared" si="195"/>
        <v>0.05</v>
      </c>
      <c r="CI61" s="136">
        <v>30</v>
      </c>
      <c r="CJ61" s="115">
        <f t="shared" si="257"/>
        <v>165</v>
      </c>
      <c r="CK61" s="115">
        <f t="shared" si="196"/>
        <v>453</v>
      </c>
      <c r="CL61" s="115">
        <f t="shared" si="197"/>
        <v>660.57122802734375</v>
      </c>
      <c r="CM61" s="115">
        <f t="shared" ca="1" si="198"/>
        <v>2816.5993052117487</v>
      </c>
      <c r="CN61" s="115">
        <f t="shared" ca="1" si="258"/>
        <v>125.80344444444444</v>
      </c>
      <c r="CO61" s="115">
        <f t="shared" ca="1" si="259"/>
        <v>690.58718083896258</v>
      </c>
      <c r="CP61" s="115">
        <f t="shared" ca="1" si="260"/>
        <v>2790.6388281929471</v>
      </c>
      <c r="CQ61" s="115">
        <f t="shared" si="272"/>
        <v>1.072449112508886</v>
      </c>
      <c r="CR61" s="115">
        <f t="shared" ca="1" si="199"/>
        <v>590.78269822039863</v>
      </c>
      <c r="CS61" s="115">
        <f t="shared" ca="1" si="200"/>
        <v>29.244487039098477</v>
      </c>
      <c r="CT61" s="115">
        <f t="shared" si="273"/>
        <v>1.1209208729126106</v>
      </c>
      <c r="CU61" s="115">
        <f t="shared" ca="1" si="274"/>
        <v>1.0182907811613799</v>
      </c>
      <c r="CV61" s="115">
        <f t="shared" si="108"/>
        <v>196.32725197624654</v>
      </c>
      <c r="CW61" s="115">
        <f t="shared" si="261"/>
        <v>473</v>
      </c>
      <c r="CX61" s="115">
        <f t="shared" si="262"/>
        <v>438</v>
      </c>
      <c r="CY61" s="115">
        <f t="shared" ca="1" si="275"/>
        <v>443.75551296090151</v>
      </c>
      <c r="CZ61" s="115">
        <f t="shared" ca="1" si="263"/>
        <v>216.81571506644224</v>
      </c>
      <c r="DA61" s="115">
        <v>0.21890000000000001</v>
      </c>
      <c r="DB61" s="115">
        <v>2.7E-2</v>
      </c>
      <c r="DC61" s="115">
        <v>1.06</v>
      </c>
      <c r="DD61" s="138">
        <f t="shared" si="201"/>
        <v>11.728507032329857</v>
      </c>
      <c r="DE61" s="138">
        <f t="shared" si="276"/>
        <v>11.728507032329857</v>
      </c>
      <c r="DF61" s="115">
        <f t="shared" si="264"/>
        <v>660.57122802734375</v>
      </c>
      <c r="DG61" s="115">
        <v>669.32725197624654</v>
      </c>
      <c r="DH61" s="115">
        <f t="shared" si="277"/>
        <v>1.1209208729126106</v>
      </c>
      <c r="DI61" s="115">
        <f t="shared" si="112"/>
        <v>1.123270465858569</v>
      </c>
      <c r="DJ61" s="138">
        <f t="shared" si="202"/>
        <v>2.6983641029436254</v>
      </c>
      <c r="DK61" s="138">
        <f t="shared" si="203"/>
        <v>2.80830167789451</v>
      </c>
      <c r="DL61" s="115">
        <f t="shared" si="278"/>
        <v>660.57122802734375</v>
      </c>
      <c r="DM61" s="115">
        <f t="shared" si="293"/>
        <v>669.32725197624654</v>
      </c>
      <c r="DN61" s="115">
        <f t="shared" si="174"/>
        <v>12.801333715164576</v>
      </c>
      <c r="DO61" s="115">
        <f t="shared" si="114"/>
        <v>1.1209208729126106</v>
      </c>
      <c r="DP61" s="115">
        <f t="shared" si="292"/>
        <v>1.123270465858569</v>
      </c>
      <c r="DQ61" s="115">
        <v>298.14999999999998</v>
      </c>
      <c r="DR61" s="138">
        <f t="shared" si="116"/>
        <v>1.7971104925604546</v>
      </c>
      <c r="DS61" s="138">
        <f t="shared" si="117"/>
        <v>1.8703289174777438</v>
      </c>
      <c r="DT61" s="115">
        <f t="shared" si="289"/>
        <v>660.57122802734375</v>
      </c>
      <c r="DU61" s="139">
        <f t="shared" si="118"/>
        <v>6.4198880793768272</v>
      </c>
      <c r="DV61" s="115">
        <f t="shared" si="279"/>
        <v>1.1209208729126106</v>
      </c>
      <c r="DW61" s="115">
        <v>298.14999999999998</v>
      </c>
      <c r="DX61" s="138">
        <f t="shared" si="204"/>
        <v>0.90125361038317053</v>
      </c>
      <c r="DY61" s="138">
        <f t="shared" si="205"/>
        <v>0.93797276041676603</v>
      </c>
      <c r="DZ61" s="138">
        <f t="shared" si="290"/>
        <v>3.2375001967754216</v>
      </c>
      <c r="EA61" s="138">
        <f t="shared" si="280"/>
        <v>3.9825049022879377</v>
      </c>
      <c r="EB61" s="115">
        <f t="shared" si="291"/>
        <v>25.335068197350161</v>
      </c>
      <c r="EC61" s="115">
        <v>30</v>
      </c>
      <c r="ED61" s="198">
        <f t="shared" ca="1" si="265"/>
        <v>125.80344444444444</v>
      </c>
      <c r="EE61" s="198">
        <v>104.83</v>
      </c>
      <c r="EF61" s="198">
        <f t="shared" ca="1" si="169"/>
        <v>0.42491111111111107</v>
      </c>
      <c r="EG61" s="199">
        <v>0.36720000000000003</v>
      </c>
      <c r="EH61" s="138">
        <f t="shared" ca="1" si="121"/>
        <v>9.5434077241007456E-2</v>
      </c>
      <c r="EI61" s="138">
        <f t="shared" ca="1" si="281"/>
        <v>9.5434077241007456E-2</v>
      </c>
      <c r="EJ61" s="115">
        <f t="shared" si="170"/>
        <v>12.801333715164576</v>
      </c>
      <c r="EK61" s="115">
        <v>435</v>
      </c>
      <c r="EL61" s="115">
        <f t="shared" ca="1" si="171"/>
        <v>443.75551296090151</v>
      </c>
      <c r="EM61" s="115">
        <f t="shared" ca="1" si="123"/>
        <v>1.0626874746929329</v>
      </c>
      <c r="EN61" s="115">
        <f t="shared" ca="1" si="124"/>
        <v>1.0653873936902385</v>
      </c>
      <c r="EO61" s="115">
        <v>298.14999999999998</v>
      </c>
      <c r="EP61" s="138">
        <f t="shared" ca="1" si="125"/>
        <v>0.32953942858826407</v>
      </c>
      <c r="EQ61" s="138">
        <f t="shared" ca="1" si="126"/>
        <v>0.36875588253220737</v>
      </c>
      <c r="ER61" s="115">
        <f t="shared" si="282"/>
        <v>0.99622236357794869</v>
      </c>
      <c r="ES61" s="115">
        <f t="shared" si="172"/>
        <v>453</v>
      </c>
      <c r="ET61" s="115">
        <f t="shared" ca="1" si="206"/>
        <v>2816.5993052117487</v>
      </c>
      <c r="EU61" s="115">
        <f t="shared" ca="1" si="207"/>
        <v>6.5855309782608691</v>
      </c>
      <c r="EV61" s="138">
        <f t="shared" ca="1" si="175"/>
        <v>0.85453356602591923</v>
      </c>
      <c r="EW61" s="138">
        <f t="shared" ca="1" si="208"/>
        <v>1.0519060476742979</v>
      </c>
      <c r="EX61" s="115">
        <v>21.47</v>
      </c>
      <c r="EY61" s="115">
        <f t="shared" ca="1" si="209"/>
        <v>125.42197979312472</v>
      </c>
      <c r="EZ61" s="115">
        <f t="shared" ca="1" si="210"/>
        <v>0.4241920900556776</v>
      </c>
      <c r="FA61" s="138">
        <f t="shared" ca="1" si="127"/>
        <v>7.7287451430735038E-2</v>
      </c>
      <c r="FB61" s="138">
        <f t="shared" ca="1" si="283"/>
        <v>7.7287451430735038E-2</v>
      </c>
      <c r="FC61" s="115">
        <f t="shared" si="266"/>
        <v>21.47</v>
      </c>
      <c r="FD61" s="115">
        <v>37</v>
      </c>
      <c r="FE61" s="115">
        <f t="shared" ca="1" si="267"/>
        <v>154.93355555555553</v>
      </c>
      <c r="FF61" s="115">
        <f t="shared" ca="1" si="268"/>
        <v>0.52252222222222222</v>
      </c>
      <c r="FG61" s="138">
        <f t="shared" ca="1" si="176"/>
        <v>8.1462225449999703E-2</v>
      </c>
      <c r="FH61" s="138">
        <f t="shared" ca="1" si="129"/>
        <v>8.1462225449999703E-2</v>
      </c>
      <c r="FI61" s="115">
        <f t="shared" si="284"/>
        <v>98.226072998046888</v>
      </c>
      <c r="FJ61" s="115">
        <f t="shared" ca="1" si="211"/>
        <v>44.6587378953298</v>
      </c>
      <c r="FK61" s="115">
        <f t="shared" ca="1" si="212"/>
        <v>0.15509564078648885</v>
      </c>
      <c r="FL61" s="138">
        <f t="shared" ca="1" si="177"/>
        <v>0.30132346771322016</v>
      </c>
      <c r="FM61" s="138">
        <f t="shared" ca="1" si="213"/>
        <v>0.40459138968044589</v>
      </c>
      <c r="FN61" s="115">
        <f t="shared" si="285"/>
        <v>98.226072998046888</v>
      </c>
      <c r="FO61" s="115">
        <f t="shared" ca="1" si="214"/>
        <v>66.04360454199049</v>
      </c>
      <c r="FP61" s="115">
        <f t="shared" ca="1" si="215"/>
        <v>0.2263482496155633</v>
      </c>
      <c r="FQ61" s="138">
        <f t="shared" ca="1" si="178"/>
        <v>0.31516365147669784</v>
      </c>
      <c r="FR61" s="138">
        <f t="shared" ca="1" si="216"/>
        <v>0.42317480512031974</v>
      </c>
      <c r="FS61" s="139">
        <f t="shared" si="217"/>
        <v>5.7926427326108101</v>
      </c>
      <c r="FT61" s="249">
        <f t="shared" si="132"/>
        <v>4.9377004521474088</v>
      </c>
      <c r="FU61" s="139">
        <f t="shared" ca="1" si="218"/>
        <v>0.70847157518727877</v>
      </c>
      <c r="FV61" s="249">
        <f t="shared" ca="1" si="134"/>
        <v>0.54510106451224605</v>
      </c>
      <c r="FW61" s="139">
        <f t="shared" ca="1" si="286"/>
        <v>0.86419897577013227</v>
      </c>
      <c r="FX61" s="249">
        <f t="shared" ca="1" si="136"/>
        <v>1.0663146890949071</v>
      </c>
      <c r="FY61" s="249">
        <f t="shared" si="219"/>
        <v>0.15000000000000002</v>
      </c>
      <c r="FZ61" s="139">
        <f t="shared" si="220"/>
        <v>1050000</v>
      </c>
      <c r="GA61" s="139">
        <f t="shared" si="137"/>
        <v>3.3757716049382713E-2</v>
      </c>
      <c r="GB61" s="139">
        <f t="shared" si="138"/>
        <v>121.52777777777777</v>
      </c>
      <c r="GC61" s="139">
        <f t="shared" si="221"/>
        <v>1050000</v>
      </c>
      <c r="GD61" s="139">
        <f t="shared" si="139"/>
        <v>6.7515432098765427E-2</v>
      </c>
      <c r="GE61" s="139">
        <f t="shared" si="140"/>
        <v>243.05555555555554</v>
      </c>
      <c r="GF61" s="139">
        <f t="shared" si="141"/>
        <v>4.5814043209876545E-2</v>
      </c>
      <c r="GG61" s="139">
        <f t="shared" si="222"/>
        <v>712500</v>
      </c>
      <c r="GH61" s="139">
        <f t="shared" si="142"/>
        <v>164.93055555555554</v>
      </c>
      <c r="GI61" s="137">
        <f t="shared" si="223"/>
        <v>50.611575374188739</v>
      </c>
      <c r="GJ61" s="137">
        <f t="shared" si="143"/>
        <v>0.18220167134707801</v>
      </c>
      <c r="GK61" s="251">
        <f t="shared" si="224"/>
        <v>40.745992427406293</v>
      </c>
      <c r="GL61" s="137">
        <f t="shared" si="164"/>
        <v>0.14668557273866148</v>
      </c>
      <c r="GM61" s="137">
        <f t="shared" ca="1" si="225"/>
        <v>9.1838289603138676</v>
      </c>
      <c r="GN61" s="137">
        <f t="shared" ca="1" si="144"/>
        <v>3.3061784257129662E-2</v>
      </c>
      <c r="GO61" s="137">
        <f t="shared" ca="1" si="145"/>
        <v>0.11625099949764298</v>
      </c>
      <c r="GP61" s="137">
        <f t="shared" ca="1" si="226"/>
        <v>9.5375723755669295</v>
      </c>
      <c r="GQ61" s="137">
        <f t="shared" ca="1" si="146"/>
        <v>3.433526055204067E-2</v>
      </c>
      <c r="GR61" s="137">
        <f t="shared" ca="1" si="147"/>
        <v>0.12072876424768168</v>
      </c>
      <c r="GS61" s="140">
        <f t="shared" si="227"/>
        <v>8.3454603848723941E-2</v>
      </c>
      <c r="GT61" s="140">
        <f t="shared" si="228"/>
        <v>7.1137450414087713E-2</v>
      </c>
      <c r="GU61" s="140">
        <f t="shared" si="287"/>
        <v>300.43657385540621</v>
      </c>
      <c r="GV61" s="140">
        <f t="shared" si="149"/>
        <v>256.09482149071579</v>
      </c>
      <c r="GW61" s="141">
        <f t="shared" ca="1" si="229"/>
        <v>6.7978286891596006E-3</v>
      </c>
      <c r="GX61" s="141">
        <f t="shared" ca="1" si="230"/>
        <v>5.2302785102609998E-3</v>
      </c>
      <c r="GY61" s="141">
        <f t="shared" ca="1" si="150"/>
        <v>24.472183280974562</v>
      </c>
      <c r="GZ61" s="141">
        <f t="shared" ca="1" si="165"/>
        <v>18.829002636939599</v>
      </c>
      <c r="HA61" s="141">
        <f t="shared" ca="1" si="231"/>
        <v>1.6031050191831184E-2</v>
      </c>
      <c r="HB61" s="141">
        <f t="shared" ca="1" si="232"/>
        <v>1.6062287327594731E-2</v>
      </c>
      <c r="HC61" s="141">
        <f t="shared" ca="1" si="233"/>
        <v>57.711780690592263</v>
      </c>
      <c r="HD61" s="141">
        <f t="shared" ca="1" si="152"/>
        <v>57.824234379341029</v>
      </c>
      <c r="HE61" s="137">
        <f t="shared" si="153"/>
        <v>9.0301429293862316</v>
      </c>
      <c r="HF61" s="250">
        <f t="shared" si="154"/>
        <v>8.9202053544353461</v>
      </c>
      <c r="HG61" s="137">
        <v>3.2375001967754216</v>
      </c>
      <c r="HH61" s="251">
        <v>4.181954432074197</v>
      </c>
      <c r="HI61" s="137">
        <f t="shared" ca="1" si="155"/>
        <v>1.4283546100282472</v>
      </c>
      <c r="HJ61" s="251">
        <f t="shared" ca="1" si="156"/>
        <v>1.5015730349455363</v>
      </c>
      <c r="HK61" s="137">
        <f t="shared" ca="1" si="157"/>
        <v>0.75909948878491174</v>
      </c>
      <c r="HL61" s="251">
        <f t="shared" ca="1" si="158"/>
        <v>0.95647197043329035</v>
      </c>
      <c r="HM61" s="137">
        <f t="shared" ca="1" si="159"/>
        <v>0.85453356602591923</v>
      </c>
      <c r="HN61" s="251">
        <f t="shared" ca="1" si="160"/>
        <v>1.0519060476742979</v>
      </c>
      <c r="HO61" s="137">
        <f t="shared" ca="1" si="161"/>
        <v>0.30132346771322016</v>
      </c>
      <c r="HP61" s="251">
        <f t="shared" ca="1" si="162"/>
        <v>0.40459138968044589</v>
      </c>
      <c r="JN61" s="143">
        <f t="shared" si="234"/>
        <v>19.221221794541403</v>
      </c>
      <c r="JO61" s="143">
        <f t="shared" si="235"/>
        <v>3237.5001967754215</v>
      </c>
      <c r="JP61" s="143">
        <f t="shared" si="236"/>
        <v>3982.5049022879375</v>
      </c>
      <c r="JQ61" s="143">
        <f t="shared" si="237"/>
        <v>0.99622236357794869</v>
      </c>
      <c r="JR61" s="143">
        <f t="shared" ca="1" si="238"/>
        <v>1.2263208500393092</v>
      </c>
      <c r="JS61" s="143">
        <f t="shared" si="239"/>
        <v>98.226072998046888</v>
      </c>
      <c r="JT61" s="143">
        <f t="shared" ca="1" si="240"/>
        <v>131.88957262019824</v>
      </c>
      <c r="JU61" s="143">
        <f t="shared" si="256"/>
        <v>0.29259906645596589</v>
      </c>
      <c r="JV61" s="143">
        <f t="shared" si="241"/>
        <v>0.35993116470738268</v>
      </c>
      <c r="JW61" s="143">
        <f t="shared" ca="1" si="242"/>
        <v>0.24184248858829643</v>
      </c>
      <c r="JX61" s="143">
        <f t="shared" ca="1" si="243"/>
        <v>0.29770109267178307</v>
      </c>
      <c r="JY61" s="143">
        <f t="shared" si="244"/>
        <v>0.71668541516223694</v>
      </c>
      <c r="JZ61" s="143">
        <f t="shared" si="245"/>
        <v>2.5283428614374395</v>
      </c>
      <c r="KA61" s="143">
        <f t="shared" si="246"/>
        <v>0.27603685514713761</v>
      </c>
      <c r="KB61" s="143">
        <f t="shared" si="247"/>
        <v>0.33955770255413464</v>
      </c>
      <c r="KC61" s="143">
        <f t="shared" ca="1" si="248"/>
        <v>0.51724887974439926</v>
      </c>
      <c r="KD61" s="143">
        <f t="shared" ca="1" si="249"/>
        <v>0.63697998577071058</v>
      </c>
      <c r="KE61" s="143">
        <f t="shared" ca="1" si="250"/>
        <v>0.38462692611661808</v>
      </c>
      <c r="KF61" s="143">
        <f t="shared" ca="1" si="251"/>
        <v>0.35261747424919831</v>
      </c>
      <c r="KG61" s="142">
        <f t="shared" si="252"/>
        <v>0.14668557273866148</v>
      </c>
      <c r="KH61" s="142">
        <f t="shared" ca="1" si="253"/>
        <v>0.12072876424768168</v>
      </c>
      <c r="KI61" s="142">
        <f t="shared" ca="1" si="254"/>
        <v>382.62053782697302</v>
      </c>
      <c r="KJ61" s="142">
        <f t="shared" ca="1" si="255"/>
        <v>332.74805850699641</v>
      </c>
    </row>
    <row r="62" spans="1:296" x14ac:dyDescent="0.3">
      <c r="A62" s="201">
        <v>41366</v>
      </c>
      <c r="B62" s="196">
        <v>63</v>
      </c>
      <c r="C62" s="179">
        <v>24</v>
      </c>
      <c r="D62" s="179">
        <v>4.2</v>
      </c>
      <c r="E62" s="179">
        <v>50016</v>
      </c>
      <c r="F62" s="179">
        <v>300</v>
      </c>
      <c r="G62" s="179">
        <v>11.7</v>
      </c>
      <c r="H62" s="179">
        <v>0.85</v>
      </c>
      <c r="I62" s="179">
        <v>1.4</v>
      </c>
      <c r="J62" s="179">
        <v>1.33</v>
      </c>
      <c r="K62" s="179">
        <v>0.91</v>
      </c>
      <c r="L62" s="152">
        <v>26681.205588854849</v>
      </c>
      <c r="M62" s="156">
        <v>19</v>
      </c>
      <c r="N62" s="153">
        <v>77106.938333638012</v>
      </c>
      <c r="O62" s="178">
        <v>17</v>
      </c>
      <c r="P62" s="179">
        <v>2</v>
      </c>
      <c r="Q62" s="179">
        <v>5</v>
      </c>
      <c r="R62" s="154">
        <v>385.67208862304687</v>
      </c>
      <c r="S62" s="155">
        <v>76.554234411742073</v>
      </c>
      <c r="T62" s="152">
        <v>180</v>
      </c>
      <c r="U62" s="156">
        <v>3.1392467021942139</v>
      </c>
      <c r="V62" s="178">
        <v>17</v>
      </c>
      <c r="W62" s="179">
        <v>1250</v>
      </c>
      <c r="X62" s="155">
        <v>92565.713992759585</v>
      </c>
      <c r="Y62" s="155">
        <v>13005.350101305172</v>
      </c>
      <c r="Z62" s="155">
        <v>368.03472900390625</v>
      </c>
      <c r="AA62" s="155">
        <v>10.952779769897461</v>
      </c>
      <c r="AB62" s="155">
        <v>14.929868698120117</v>
      </c>
      <c r="AC62" s="215">
        <v>37</v>
      </c>
      <c r="AD62" s="215">
        <v>29.551071166992188</v>
      </c>
      <c r="AE62" s="254">
        <v>20</v>
      </c>
      <c r="AF62" s="254">
        <v>10</v>
      </c>
      <c r="AG62" s="217">
        <v>5000000</v>
      </c>
      <c r="AH62" s="218">
        <v>300000</v>
      </c>
      <c r="AI62" s="219">
        <v>5000000</v>
      </c>
      <c r="AJ62" s="225">
        <f t="shared" si="179"/>
        <v>300000</v>
      </c>
      <c r="AK62" s="220">
        <v>2750000</v>
      </c>
      <c r="AL62" s="226">
        <f t="shared" si="180"/>
        <v>300000</v>
      </c>
      <c r="AM62" s="221">
        <v>14.407</v>
      </c>
      <c r="BM62" s="197">
        <f t="shared" si="181"/>
        <v>7.4489288330078125</v>
      </c>
      <c r="BN62" s="196">
        <f t="shared" si="182"/>
        <v>180</v>
      </c>
      <c r="BO62" s="197">
        <f t="shared" si="183"/>
        <v>3.9770889282226563</v>
      </c>
      <c r="BP62" s="196">
        <f t="shared" ref="BP62:BP96" si="294">0.66*JN62</f>
        <v>12.684972311590368</v>
      </c>
      <c r="BQ62" s="115">
        <f t="shared" si="184"/>
        <v>659.74492511188635</v>
      </c>
      <c r="BR62" s="184">
        <f t="shared" si="185"/>
        <v>1.0041987768</v>
      </c>
      <c r="BS62" s="115">
        <f t="shared" si="186"/>
        <v>6863.8528613899143</v>
      </c>
      <c r="BT62" s="196">
        <v>900</v>
      </c>
      <c r="BU62" s="115">
        <f t="shared" si="288"/>
        <v>1.1850729520000001</v>
      </c>
      <c r="BV62" s="115">
        <f t="shared" si="269"/>
        <v>1.0728775765977603</v>
      </c>
      <c r="BW62" s="115">
        <f t="shared" si="270"/>
        <v>474.75169539747799</v>
      </c>
      <c r="BX62" s="115">
        <f t="shared" si="187"/>
        <v>1142.0917350608265</v>
      </c>
      <c r="BY62" s="115"/>
      <c r="BZ62" s="115">
        <f t="shared" si="188"/>
        <v>667.34003966334853</v>
      </c>
      <c r="CA62" s="115">
        <f t="shared" si="189"/>
        <v>10813.27376356071</v>
      </c>
      <c r="CB62" s="115">
        <f t="shared" si="190"/>
        <v>3212.7890972349173</v>
      </c>
      <c r="CC62" s="115">
        <f t="shared" si="191"/>
        <v>1111.7168995356187</v>
      </c>
      <c r="CD62" s="129">
        <f t="shared" si="271"/>
        <v>0.21965501756116279</v>
      </c>
      <c r="CE62" s="115">
        <f t="shared" si="192"/>
        <v>21.649101706112134</v>
      </c>
      <c r="CF62" s="115">
        <f t="shared" si="193"/>
        <v>21.265065114372799</v>
      </c>
      <c r="CG62" s="115">
        <f t="shared" si="194"/>
        <v>0.02</v>
      </c>
      <c r="CH62" s="115">
        <f t="shared" si="195"/>
        <v>0.05</v>
      </c>
      <c r="CI62" s="136">
        <v>30</v>
      </c>
      <c r="CJ62" s="115">
        <f t="shared" si="257"/>
        <v>165</v>
      </c>
      <c r="CK62" s="115">
        <f t="shared" si="196"/>
        <v>453</v>
      </c>
      <c r="CL62" s="115">
        <f t="shared" si="197"/>
        <v>658.67208862304687</v>
      </c>
      <c r="CM62" s="115">
        <f t="shared" ca="1" si="198"/>
        <v>2816.5993052117487</v>
      </c>
      <c r="CN62" s="115">
        <f t="shared" ca="1" si="258"/>
        <v>125.80344444444444</v>
      </c>
      <c r="CO62" s="115">
        <f t="shared" ca="1" si="259"/>
        <v>690.58718083896258</v>
      </c>
      <c r="CP62" s="115">
        <f t="shared" ca="1" si="260"/>
        <v>2790.6388281929471</v>
      </c>
      <c r="CQ62" s="115">
        <f t="shared" si="272"/>
        <v>1.072449112508886</v>
      </c>
      <c r="CR62" s="115">
        <f t="shared" ca="1" si="199"/>
        <v>517.12368222941348</v>
      </c>
      <c r="CS62" s="115">
        <f t="shared" ca="1" si="200"/>
        <v>25.600359809357283</v>
      </c>
      <c r="CT62" s="115">
        <f t="shared" si="273"/>
        <v>1.1204118201849023</v>
      </c>
      <c r="CU62" s="115">
        <f t="shared" ca="1" si="274"/>
        <v>1.0173524369150722</v>
      </c>
      <c r="CV62" s="115">
        <f t="shared" si="108"/>
        <v>194.34003966334853</v>
      </c>
      <c r="CW62" s="115">
        <f t="shared" si="261"/>
        <v>473</v>
      </c>
      <c r="CX62" s="115">
        <f t="shared" si="262"/>
        <v>438</v>
      </c>
      <c r="CY62" s="115">
        <f t="shared" ca="1" si="275"/>
        <v>447.39964019064274</v>
      </c>
      <c r="CZ62" s="115">
        <f t="shared" ca="1" si="263"/>
        <v>211.27244843240413</v>
      </c>
      <c r="DA62" s="115">
        <v>0.21890000000000001</v>
      </c>
      <c r="DB62" s="115">
        <v>2.7E-2</v>
      </c>
      <c r="DC62" s="115">
        <v>1.06</v>
      </c>
      <c r="DD62" s="138">
        <f t="shared" si="201"/>
        <v>11.645441279839465</v>
      </c>
      <c r="DE62" s="138">
        <f t="shared" si="276"/>
        <v>11.645441279839465</v>
      </c>
      <c r="DF62" s="115">
        <f t="shared" si="264"/>
        <v>658.67208862304687</v>
      </c>
      <c r="DG62" s="115">
        <v>667.34003966334853</v>
      </c>
      <c r="DH62" s="115">
        <f t="shared" si="277"/>
        <v>1.1204118201849023</v>
      </c>
      <c r="DI62" s="115">
        <f t="shared" si="112"/>
        <v>1.1227368572338112</v>
      </c>
      <c r="DJ62" s="138">
        <f t="shared" si="202"/>
        <v>2.6745079262671854</v>
      </c>
      <c r="DK62" s="138">
        <f t="shared" si="203"/>
        <v>2.7829872686281396</v>
      </c>
      <c r="DL62" s="115">
        <f t="shared" si="278"/>
        <v>658.67208862304687</v>
      </c>
      <c r="DM62" s="115">
        <f t="shared" si="293"/>
        <v>667.34003966334853</v>
      </c>
      <c r="DN62" s="115">
        <f t="shared" si="174"/>
        <v>12.800290241695736</v>
      </c>
      <c r="DO62" s="115">
        <f t="shared" si="114"/>
        <v>1.1204118201849023</v>
      </c>
      <c r="DP62" s="115">
        <f t="shared" si="292"/>
        <v>1.1227368572338112</v>
      </c>
      <c r="DQ62" s="115">
        <v>298.14999999999998</v>
      </c>
      <c r="DR62" s="138">
        <f t="shared" si="116"/>
        <v>1.781222278893946</v>
      </c>
      <c r="DS62" s="138">
        <f t="shared" si="117"/>
        <v>1.8534695209063412</v>
      </c>
      <c r="DT62" s="115">
        <f t="shared" si="289"/>
        <v>658.67208862304687</v>
      </c>
      <c r="DU62" s="139">
        <f t="shared" si="118"/>
        <v>6.4193647758654269</v>
      </c>
      <c r="DV62" s="115">
        <f t="shared" si="279"/>
        <v>1.1204118201849023</v>
      </c>
      <c r="DW62" s="115">
        <v>298.14999999999998</v>
      </c>
      <c r="DX62" s="138">
        <f t="shared" si="204"/>
        <v>0.89328564737324001</v>
      </c>
      <c r="DY62" s="138">
        <f t="shared" si="205"/>
        <v>0.92951774772179829</v>
      </c>
      <c r="DZ62" s="138">
        <f t="shared" si="290"/>
        <v>3.2127890972349173</v>
      </c>
      <c r="EA62" s="138">
        <f t="shared" si="280"/>
        <v>3.9494209021707958</v>
      </c>
      <c r="EB62" s="115">
        <f t="shared" si="291"/>
        <v>21.265065114372799</v>
      </c>
      <c r="EC62" s="115">
        <v>30</v>
      </c>
      <c r="ED62" s="198">
        <f t="shared" ca="1" si="265"/>
        <v>125.80344444444444</v>
      </c>
      <c r="EE62" s="198">
        <v>104.83</v>
      </c>
      <c r="EF62" s="198">
        <f t="shared" ca="1" si="169"/>
        <v>0.42491111111111107</v>
      </c>
      <c r="EG62" s="199">
        <v>0.36720000000000003</v>
      </c>
      <c r="EH62" s="138">
        <f t="shared" ca="1" si="121"/>
        <v>8.0102877594478566E-2</v>
      </c>
      <c r="EI62" s="138">
        <f t="shared" ca="1" si="281"/>
        <v>8.0102877594478566E-2</v>
      </c>
      <c r="EJ62" s="115">
        <f t="shared" si="170"/>
        <v>12.800290241695736</v>
      </c>
      <c r="EK62" s="115">
        <v>435</v>
      </c>
      <c r="EL62" s="115">
        <f t="shared" ca="1" si="171"/>
        <v>447.39964019064274</v>
      </c>
      <c r="EM62" s="115">
        <f t="shared" ca="1" si="123"/>
        <v>1.0624217118408339</v>
      </c>
      <c r="EN62" s="115">
        <f t="shared" ca="1" si="124"/>
        <v>1.0662576211114738</v>
      </c>
      <c r="EO62" s="115">
        <v>298.14999999999998</v>
      </c>
      <c r="EP62" s="138">
        <f t="shared" ca="1" si="125"/>
        <v>0.32943016052981622</v>
      </c>
      <c r="EQ62" s="138">
        <f t="shared" ca="1" si="126"/>
        <v>0.38548307126418851</v>
      </c>
      <c r="ER62" s="115">
        <f t="shared" si="282"/>
        <v>0.87201297283172607</v>
      </c>
      <c r="ES62" s="115">
        <f t="shared" si="172"/>
        <v>453</v>
      </c>
      <c r="ET62" s="115">
        <f t="shared" ca="1" si="206"/>
        <v>2816.5993052117487</v>
      </c>
      <c r="EU62" s="115">
        <f t="shared" ca="1" si="207"/>
        <v>6.5855309782608691</v>
      </c>
      <c r="EV62" s="138">
        <f t="shared" ca="1" si="175"/>
        <v>0.74798998952250784</v>
      </c>
      <c r="EW62" s="138">
        <f t="shared" ca="1" si="208"/>
        <v>1.0407010070979434</v>
      </c>
      <c r="EX62" s="115">
        <v>21.47</v>
      </c>
      <c r="EY62" s="115">
        <f t="shared" ca="1" si="209"/>
        <v>123.75896073065863</v>
      </c>
      <c r="EZ62" s="115">
        <f t="shared" ca="1" si="210"/>
        <v>0.41865104793972435</v>
      </c>
      <c r="FA62" s="138">
        <f t="shared" ca="1" si="127"/>
        <v>7.7052197006118317E-2</v>
      </c>
      <c r="FB62" s="138">
        <f t="shared" ca="1" si="283"/>
        <v>7.7052197006118317E-2</v>
      </c>
      <c r="FC62" s="115">
        <f t="shared" si="266"/>
        <v>21.47</v>
      </c>
      <c r="FD62" s="115">
        <v>37</v>
      </c>
      <c r="FE62" s="115">
        <f t="shared" ca="1" si="267"/>
        <v>154.93355555555553</v>
      </c>
      <c r="FF62" s="115">
        <f t="shared" ca="1" si="268"/>
        <v>0.52252222222222222</v>
      </c>
      <c r="FG62" s="138">
        <f t="shared" ca="1" si="176"/>
        <v>8.1462225449999703E-2</v>
      </c>
      <c r="FH62" s="138">
        <f t="shared" ca="1" si="129"/>
        <v>8.1462225449999703E-2</v>
      </c>
      <c r="FI62" s="115">
        <f t="shared" si="284"/>
        <v>103.04972412109376</v>
      </c>
      <c r="FJ62" s="115">
        <f t="shared" ca="1" si="211"/>
        <v>45.923044756995317</v>
      </c>
      <c r="FK62" s="115">
        <f t="shared" ca="1" si="212"/>
        <v>0.15930820679134794</v>
      </c>
      <c r="FL62" s="138">
        <f t="shared" ca="1" si="177"/>
        <v>0.31697918946826725</v>
      </c>
      <c r="FM62" s="138">
        <f t="shared" ca="1" si="213"/>
        <v>0.50783113173904526</v>
      </c>
      <c r="FN62" s="115">
        <f t="shared" si="285"/>
        <v>103.04972412109376</v>
      </c>
      <c r="FO62" s="115">
        <f t="shared" ca="1" si="214"/>
        <v>62.567603820376931</v>
      </c>
      <c r="FP62" s="115">
        <f t="shared" ca="1" si="215"/>
        <v>0.21476650240156386</v>
      </c>
      <c r="FQ62" s="138">
        <f t="shared" ca="1" si="178"/>
        <v>0.32828047002563771</v>
      </c>
      <c r="FR62" s="138">
        <f t="shared" ca="1" si="216"/>
        <v>0.52593686954844965</v>
      </c>
      <c r="FS62" s="139">
        <f t="shared" si="217"/>
        <v>5.7581442563373617</v>
      </c>
      <c r="FT62" s="249">
        <f t="shared" si="132"/>
        <v>4.9130331090405308</v>
      </c>
      <c r="FU62" s="139">
        <f t="shared" ca="1" si="218"/>
        <v>0.78390500643610062</v>
      </c>
      <c r="FV62" s="249">
        <f t="shared" ca="1" si="134"/>
        <v>0.50738832013868773</v>
      </c>
      <c r="FW62" s="139">
        <f t="shared" ca="1" si="286"/>
        <v>0.7548812416359969</v>
      </c>
      <c r="FX62" s="249">
        <f t="shared" ca="1" si="136"/>
        <v>1.0543967164634664</v>
      </c>
      <c r="FY62" s="249">
        <f t="shared" si="219"/>
        <v>0.15000000000000002</v>
      </c>
      <c r="FZ62" s="139">
        <f t="shared" si="220"/>
        <v>1050000</v>
      </c>
      <c r="GA62" s="139">
        <f t="shared" si="137"/>
        <v>3.3757716049382713E-2</v>
      </c>
      <c r="GB62" s="139">
        <f t="shared" si="138"/>
        <v>121.52777777777777</v>
      </c>
      <c r="GC62" s="139">
        <f t="shared" si="221"/>
        <v>1050000</v>
      </c>
      <c r="GD62" s="139">
        <f t="shared" si="139"/>
        <v>6.7515432098765427E-2</v>
      </c>
      <c r="GE62" s="139">
        <f t="shared" si="140"/>
        <v>243.05555555555554</v>
      </c>
      <c r="GF62" s="139">
        <f t="shared" si="141"/>
        <v>4.5814043209876545E-2</v>
      </c>
      <c r="GG62" s="139">
        <f t="shared" si="222"/>
        <v>712500</v>
      </c>
      <c r="GH62" s="139">
        <f t="shared" si="142"/>
        <v>164.93055555555554</v>
      </c>
      <c r="GI62" s="137">
        <f t="shared" si="223"/>
        <v>50.735341767247021</v>
      </c>
      <c r="GJ62" s="137">
        <f t="shared" si="143"/>
        <v>0.18264723036208783</v>
      </c>
      <c r="GK62" s="251">
        <f t="shared" si="224"/>
        <v>40.87664875125602</v>
      </c>
      <c r="GL62" s="137">
        <f t="shared" si="164"/>
        <v>0.1471559355045205</v>
      </c>
      <c r="GM62" s="137">
        <f t="shared" ca="1" si="225"/>
        <v>9.1974916295669438</v>
      </c>
      <c r="GN62" s="137">
        <f t="shared" ca="1" si="144"/>
        <v>3.3110969866440736E-2</v>
      </c>
      <c r="GO62" s="137">
        <f t="shared" ca="1" si="145"/>
        <v>0.11642394467806166</v>
      </c>
      <c r="GP62" s="137">
        <f t="shared" ca="1" si="226"/>
        <v>9.6841607628061386</v>
      </c>
      <c r="GQ62" s="137">
        <f t="shared" ca="1" si="146"/>
        <v>3.4862978746101822E-2</v>
      </c>
      <c r="GR62" s="137">
        <f t="shared" ca="1" si="147"/>
        <v>0.12258431345324129</v>
      </c>
      <c r="GS62" s="140">
        <f t="shared" si="227"/>
        <v>8.2957584301052364E-2</v>
      </c>
      <c r="GT62" s="140">
        <f t="shared" si="228"/>
        <v>7.0782068001946932E-2</v>
      </c>
      <c r="GU62" s="140">
        <f t="shared" si="287"/>
        <v>298.64730348378851</v>
      </c>
      <c r="GV62" s="140">
        <f t="shared" si="149"/>
        <v>254.81544480700896</v>
      </c>
      <c r="GW62" s="141">
        <f t="shared" ca="1" si="229"/>
        <v>7.5216171388647838E-3</v>
      </c>
      <c r="GX62" s="141">
        <f t="shared" ca="1" si="230"/>
        <v>4.8684223898065567E-3</v>
      </c>
      <c r="GY62" s="141">
        <f t="shared" ca="1" si="150"/>
        <v>27.077821699913223</v>
      </c>
      <c r="GZ62" s="141">
        <f t="shared" ca="1" si="165"/>
        <v>17.526320603303603</v>
      </c>
      <c r="HA62" s="141">
        <f t="shared" ca="1" si="231"/>
        <v>1.5744460734504404E-2</v>
      </c>
      <c r="HB62" s="141">
        <f t="shared" ca="1" si="232"/>
        <v>1.5460806341076506E-2</v>
      </c>
      <c r="HC62" s="141">
        <f t="shared" ca="1" si="233"/>
        <v>56.680058644215855</v>
      </c>
      <c r="HD62" s="141">
        <f t="shared" ca="1" si="152"/>
        <v>55.658902827875423</v>
      </c>
      <c r="HE62" s="137">
        <f t="shared" si="153"/>
        <v>8.9709333535722795</v>
      </c>
      <c r="HF62" s="250">
        <f t="shared" si="154"/>
        <v>8.8624540112113266</v>
      </c>
      <c r="HG62" s="137">
        <v>3.2127890972349173</v>
      </c>
      <c r="HH62" s="251">
        <v>4.146848164625224</v>
      </c>
      <c r="HI62" s="137">
        <f t="shared" ca="1" si="155"/>
        <v>1.3957392076297575</v>
      </c>
      <c r="HJ62" s="251">
        <f t="shared" ca="1" si="156"/>
        <v>1.4679864496421526</v>
      </c>
      <c r="HK62" s="137">
        <f t="shared" ca="1" si="157"/>
        <v>0.6678871119280293</v>
      </c>
      <c r="HL62" s="251">
        <f t="shared" ca="1" si="158"/>
        <v>0.9605981295034649</v>
      </c>
      <c r="HM62" s="137">
        <f t="shared" ca="1" si="159"/>
        <v>0.74798998952250784</v>
      </c>
      <c r="HN62" s="251">
        <f t="shared" ca="1" si="160"/>
        <v>1.0407010070979434</v>
      </c>
      <c r="HO62" s="137">
        <f t="shared" ca="1" si="161"/>
        <v>0.31697918946826725</v>
      </c>
      <c r="HP62" s="251">
        <f t="shared" ca="1" si="162"/>
        <v>0.50783113173904526</v>
      </c>
      <c r="JN62" s="143">
        <f t="shared" si="234"/>
        <v>19.219655017561163</v>
      </c>
      <c r="JO62" s="143">
        <f t="shared" si="235"/>
        <v>3212.7890972349173</v>
      </c>
      <c r="JP62" s="143">
        <f t="shared" si="236"/>
        <v>3949.4209021707957</v>
      </c>
      <c r="JQ62" s="143">
        <f t="shared" si="237"/>
        <v>0.87201297283172607</v>
      </c>
      <c r="JR62" s="143">
        <f t="shared" ca="1" si="238"/>
        <v>1.2132579202133038</v>
      </c>
      <c r="JS62" s="143">
        <f t="shared" si="239"/>
        <v>103.04972412109376</v>
      </c>
      <c r="JT62" s="143">
        <f t="shared" ca="1" si="240"/>
        <v>165.09556388732699</v>
      </c>
      <c r="JU62" s="143">
        <f t="shared" si="256"/>
        <v>0.2924368739005791</v>
      </c>
      <c r="JV62" s="143">
        <f t="shared" si="241"/>
        <v>0.35948712081426198</v>
      </c>
      <c r="JW62" s="143">
        <f t="shared" ca="1" si="242"/>
        <v>0.21319712780194741</v>
      </c>
      <c r="JX62" s="143">
        <f t="shared" ca="1" si="243"/>
        <v>0.29662758689526436</v>
      </c>
      <c r="JY62" s="143">
        <f t="shared" si="244"/>
        <v>0.7321446913250923</v>
      </c>
      <c r="JZ62" s="143">
        <f t="shared" si="245"/>
        <v>1.0981224389365811</v>
      </c>
      <c r="KA62" s="143">
        <f t="shared" si="246"/>
        <v>0.27588384330243315</v>
      </c>
      <c r="KB62" s="143">
        <f t="shared" si="247"/>
        <v>0.33913879322100188</v>
      </c>
      <c r="KC62" s="143">
        <f t="shared" ca="1" si="248"/>
        <v>0.4600432138181052</v>
      </c>
      <c r="KD62" s="143">
        <f t="shared" ca="1" si="249"/>
        <v>0.65436443894807572</v>
      </c>
      <c r="KE62" s="143">
        <f t="shared" ca="1" si="250"/>
        <v>0.48797025108600839</v>
      </c>
      <c r="KF62" s="143">
        <f t="shared" ca="1" si="251"/>
        <v>0.42377464124969949</v>
      </c>
      <c r="KG62" s="142">
        <f t="shared" si="252"/>
        <v>0.1471559355045205</v>
      </c>
      <c r="KH62" s="142">
        <f t="shared" ca="1" si="253"/>
        <v>0.12258431345324129</v>
      </c>
      <c r="KI62" s="142">
        <f t="shared" ca="1" si="254"/>
        <v>382.4051838279176</v>
      </c>
      <c r="KJ62" s="142">
        <f t="shared" ca="1" si="255"/>
        <v>328.00066823818798</v>
      </c>
    </row>
    <row r="63" spans="1:296" x14ac:dyDescent="0.3">
      <c r="A63" s="201">
        <v>41367</v>
      </c>
      <c r="B63" s="196">
        <v>64</v>
      </c>
      <c r="C63" s="179">
        <v>24</v>
      </c>
      <c r="D63" s="179">
        <v>4.2</v>
      </c>
      <c r="E63" s="179">
        <v>50016</v>
      </c>
      <c r="F63" s="179">
        <v>300</v>
      </c>
      <c r="G63" s="179">
        <v>11.7</v>
      </c>
      <c r="H63" s="179">
        <v>0.85</v>
      </c>
      <c r="I63" s="179">
        <v>1.4</v>
      </c>
      <c r="J63" s="179">
        <v>1.33</v>
      </c>
      <c r="K63" s="179">
        <v>0.91</v>
      </c>
      <c r="L63" s="152">
        <v>26719.973559476435</v>
      </c>
      <c r="M63" s="156">
        <v>19</v>
      </c>
      <c r="N63" s="153">
        <v>77787.198333531618</v>
      </c>
      <c r="O63" s="178">
        <v>17</v>
      </c>
      <c r="P63" s="179">
        <v>2</v>
      </c>
      <c r="Q63" s="179">
        <v>5</v>
      </c>
      <c r="R63" s="154">
        <v>392.6207275390625</v>
      </c>
      <c r="S63" s="155">
        <v>97.432460752403131</v>
      </c>
      <c r="T63" s="152">
        <v>180</v>
      </c>
      <c r="U63" s="156">
        <v>3.9181318283081055</v>
      </c>
      <c r="V63" s="178">
        <v>17</v>
      </c>
      <c r="W63" s="179">
        <v>1250</v>
      </c>
      <c r="X63" s="155">
        <v>93125.681003004313</v>
      </c>
      <c r="Y63" s="155">
        <v>13569.186186920851</v>
      </c>
      <c r="Z63" s="155">
        <v>372.99200439453125</v>
      </c>
      <c r="AA63" s="155">
        <v>10.977327346801758</v>
      </c>
      <c r="AB63" s="155">
        <v>15.048809051513672</v>
      </c>
      <c r="AC63" s="215">
        <v>37</v>
      </c>
      <c r="AD63" s="215">
        <v>29.162132263183594</v>
      </c>
      <c r="AE63" s="254">
        <v>20</v>
      </c>
      <c r="AF63" s="254">
        <v>10</v>
      </c>
      <c r="AG63" s="217">
        <v>5000000</v>
      </c>
      <c r="AH63" s="218">
        <v>300000</v>
      </c>
      <c r="AI63" s="219">
        <v>5000000</v>
      </c>
      <c r="AJ63" s="225">
        <f t="shared" si="179"/>
        <v>300000</v>
      </c>
      <c r="AK63" s="220">
        <v>2750000</v>
      </c>
      <c r="AL63" s="226">
        <f t="shared" si="180"/>
        <v>300000</v>
      </c>
      <c r="AM63" s="221">
        <v>14.407</v>
      </c>
      <c r="BM63" s="197">
        <f t="shared" si="181"/>
        <v>7.8378677368164063</v>
      </c>
      <c r="BN63" s="196">
        <f t="shared" si="182"/>
        <v>180</v>
      </c>
      <c r="BO63" s="197">
        <f t="shared" si="183"/>
        <v>4.0714817047119141</v>
      </c>
      <c r="BP63" s="196">
        <f t="shared" si="294"/>
        <v>12.685182957331168</v>
      </c>
      <c r="BQ63" s="115">
        <f t="shared" si="184"/>
        <v>659.74492511188635</v>
      </c>
      <c r="BR63" s="184">
        <f t="shared" si="185"/>
        <v>1.0041987768</v>
      </c>
      <c r="BS63" s="115">
        <f t="shared" si="186"/>
        <v>6863.8528613899143</v>
      </c>
      <c r="BT63" s="196">
        <v>900</v>
      </c>
      <c r="BU63" s="115">
        <f t="shared" si="288"/>
        <v>1.1850729520000001</v>
      </c>
      <c r="BV63" s="115">
        <f t="shared" si="269"/>
        <v>1.0729480784690471</v>
      </c>
      <c r="BW63" s="115">
        <f t="shared" si="270"/>
        <v>475.03969597972764</v>
      </c>
      <c r="BX63" s="115">
        <f t="shared" si="187"/>
        <v>1142.7845668882192</v>
      </c>
      <c r="BY63" s="115"/>
      <c r="BZ63" s="115">
        <f t="shared" si="188"/>
        <v>667.74487090849152</v>
      </c>
      <c r="CA63" s="115">
        <f t="shared" si="189"/>
        <v>10820.013137873981</v>
      </c>
      <c r="CB63" s="115">
        <f t="shared" si="190"/>
        <v>3241.1332638971508</v>
      </c>
      <c r="CC63" s="115">
        <f t="shared" si="191"/>
        <v>1113.3322316448514</v>
      </c>
      <c r="CD63" s="129">
        <f t="shared" si="271"/>
        <v>0.21997417777449482</v>
      </c>
      <c r="CE63" s="115">
        <f t="shared" si="192"/>
        <v>21.940706140854779</v>
      </c>
      <c r="CF63" s="115">
        <f t="shared" si="193"/>
        <v>27.064572431223095</v>
      </c>
      <c r="CG63" s="115">
        <f t="shared" si="194"/>
        <v>0.02</v>
      </c>
      <c r="CH63" s="115">
        <f t="shared" si="195"/>
        <v>0.05</v>
      </c>
      <c r="CI63" s="136">
        <v>30</v>
      </c>
      <c r="CJ63" s="115">
        <f t="shared" si="257"/>
        <v>165</v>
      </c>
      <c r="CK63" s="115">
        <f t="shared" si="196"/>
        <v>453</v>
      </c>
      <c r="CL63" s="115">
        <f t="shared" si="197"/>
        <v>665.6207275390625</v>
      </c>
      <c r="CM63" s="115">
        <f t="shared" ca="1" si="198"/>
        <v>2816.5993052117487</v>
      </c>
      <c r="CN63" s="115">
        <f t="shared" ca="1" si="258"/>
        <v>125.80344444444444</v>
      </c>
      <c r="CO63" s="115">
        <f t="shared" ca="1" si="259"/>
        <v>690.58718083896258</v>
      </c>
      <c r="CP63" s="115">
        <f t="shared" ca="1" si="260"/>
        <v>2790.6388281929471</v>
      </c>
      <c r="CQ63" s="115">
        <f t="shared" si="272"/>
        <v>1.072449112508886</v>
      </c>
      <c r="CR63" s="115">
        <f t="shared" ca="1" si="199"/>
        <v>645.42833065612319</v>
      </c>
      <c r="CS63" s="115">
        <f t="shared" ca="1" si="200"/>
        <v>31.951588537271284</v>
      </c>
      <c r="CT63" s="115">
        <f t="shared" si="273"/>
        <v>1.1222753519792961</v>
      </c>
      <c r="CU63" s="115">
        <f t="shared" ca="1" si="274"/>
        <v>1.0196235334771409</v>
      </c>
      <c r="CV63" s="115">
        <f t="shared" si="108"/>
        <v>194.74487090849152</v>
      </c>
      <c r="CW63" s="115">
        <f t="shared" si="261"/>
        <v>473</v>
      </c>
      <c r="CX63" s="115">
        <f t="shared" si="262"/>
        <v>438</v>
      </c>
      <c r="CY63" s="115">
        <f t="shared" ca="1" si="275"/>
        <v>441.04841146272872</v>
      </c>
      <c r="CZ63" s="115">
        <f t="shared" ca="1" si="263"/>
        <v>224.57231607633378</v>
      </c>
      <c r="DA63" s="115">
        <v>0.21890000000000001</v>
      </c>
      <c r="DB63" s="115">
        <v>2.7E-2</v>
      </c>
      <c r="DC63" s="115">
        <v>1.06</v>
      </c>
      <c r="DD63" s="138">
        <f t="shared" si="201"/>
        <v>11.66236218410328</v>
      </c>
      <c r="DE63" s="138">
        <f t="shared" si="276"/>
        <v>11.66236218410328</v>
      </c>
      <c r="DF63" s="115">
        <f t="shared" si="264"/>
        <v>665.6207275390625</v>
      </c>
      <c r="DG63" s="115">
        <v>667.74487090849152</v>
      </c>
      <c r="DH63" s="115">
        <f t="shared" si="277"/>
        <v>1.1222753519792961</v>
      </c>
      <c r="DI63" s="115">
        <f t="shared" si="112"/>
        <v>1.1228455464339455</v>
      </c>
      <c r="DJ63" s="138">
        <f t="shared" si="202"/>
        <v>2.761394081175125</v>
      </c>
      <c r="DK63" s="138">
        <f t="shared" si="203"/>
        <v>2.7881374498275724</v>
      </c>
      <c r="DL63" s="115">
        <f t="shared" si="278"/>
        <v>665.6207275390625</v>
      </c>
      <c r="DM63" s="115">
        <f t="shared" si="293"/>
        <v>667.74487090849152</v>
      </c>
      <c r="DN63" s="115">
        <f t="shared" si="174"/>
        <v>12.800502802397816</v>
      </c>
      <c r="DO63" s="115">
        <f t="shared" si="114"/>
        <v>1.1222753519792961</v>
      </c>
      <c r="DP63" s="115">
        <f t="shared" si="292"/>
        <v>1.1228455464339455</v>
      </c>
      <c r="DQ63" s="115">
        <v>298.14999999999998</v>
      </c>
      <c r="DR63" s="138">
        <f t="shared" si="116"/>
        <v>1.8390884580626337</v>
      </c>
      <c r="DS63" s="138">
        <f t="shared" si="117"/>
        <v>1.8568995415851632</v>
      </c>
      <c r="DT63" s="115">
        <f t="shared" si="289"/>
        <v>665.6207275390625</v>
      </c>
      <c r="DU63" s="139">
        <f t="shared" si="118"/>
        <v>6.4194713753766806</v>
      </c>
      <c r="DV63" s="115">
        <f t="shared" si="279"/>
        <v>1.1222753519792961</v>
      </c>
      <c r="DW63" s="115">
        <v>298.14999999999998</v>
      </c>
      <c r="DX63" s="138">
        <f t="shared" si="204"/>
        <v>0.92230562311249165</v>
      </c>
      <c r="DY63" s="138">
        <f t="shared" si="205"/>
        <v>0.93123790824240882</v>
      </c>
      <c r="DZ63" s="138">
        <f t="shared" si="290"/>
        <v>3.2411332638971508</v>
      </c>
      <c r="EA63" s="138">
        <f t="shared" si="280"/>
        <v>3.9561602764840664</v>
      </c>
      <c r="EB63" s="115">
        <f t="shared" si="291"/>
        <v>27.064572431223095</v>
      </c>
      <c r="EC63" s="115">
        <v>30</v>
      </c>
      <c r="ED63" s="198">
        <f t="shared" ca="1" si="265"/>
        <v>125.80344444444444</v>
      </c>
      <c r="EE63" s="198">
        <v>104.83</v>
      </c>
      <c r="EF63" s="198">
        <f t="shared" ref="EF63:EF82" ca="1" si="295">FORECAST(EC63,OFFSET(KnownYSAC,MATCH(EC63,KnownXSAC,1)-1,0,2),OFFSET(KnownXSAC,MATCH(EC63,KnownXSAC,1)-1,0,2))</f>
        <v>0.42491111111111107</v>
      </c>
      <c r="EG63" s="199">
        <v>0.36720000000000003</v>
      </c>
      <c r="EH63" s="138">
        <f t="shared" ca="1" si="121"/>
        <v>0.10194890638448464</v>
      </c>
      <c r="EI63" s="138">
        <f t="shared" ca="1" si="281"/>
        <v>0.10194890638448464</v>
      </c>
      <c r="EJ63" s="115">
        <f t="shared" ref="EJ63:EJ82" si="296">DN63</f>
        <v>12.800502802397816</v>
      </c>
      <c r="EK63" s="115">
        <v>435</v>
      </c>
      <c r="EL63" s="115">
        <f t="shared" ref="EL63:EL82" ca="1" si="297">CY63</f>
        <v>441.04841146272872</v>
      </c>
      <c r="EM63" s="115">
        <f t="shared" ca="1" si="123"/>
        <v>1.0628820965682717</v>
      </c>
      <c r="EN63" s="115">
        <f t="shared" ca="1" si="124"/>
        <v>1.0647427903959847</v>
      </c>
      <c r="EO63" s="115">
        <v>298.14999999999998</v>
      </c>
      <c r="EP63" s="138">
        <f t="shared" ca="1" si="125"/>
        <v>0.32957838707926179</v>
      </c>
      <c r="EQ63" s="138">
        <f t="shared" ca="1" si="126"/>
        <v>0.35647850201797654</v>
      </c>
      <c r="ER63" s="115">
        <f t="shared" si="282"/>
        <v>1.0883699523078072</v>
      </c>
      <c r="ES63" s="115">
        <f t="shared" ref="ES63:ES82" si="298">CK63</f>
        <v>453</v>
      </c>
      <c r="ET63" s="115">
        <f t="shared" ca="1" si="206"/>
        <v>2816.5993052117487</v>
      </c>
      <c r="EU63" s="115">
        <f t="shared" ca="1" si="207"/>
        <v>6.5855309782608691</v>
      </c>
      <c r="EV63" s="138">
        <f t="shared" ca="1" si="175"/>
        <v>0.93357536480185532</v>
      </c>
      <c r="EW63" s="138">
        <f t="shared" ca="1" si="208"/>
        <v>1.0446208041126221</v>
      </c>
      <c r="EX63" s="115">
        <v>21.47</v>
      </c>
      <c r="EY63" s="115">
        <f t="shared" ca="1" si="209"/>
        <v>122.13120820278591</v>
      </c>
      <c r="EZ63" s="115">
        <f t="shared" ca="1" si="210"/>
        <v>0.41322751100328231</v>
      </c>
      <c r="FA63" s="138">
        <f t="shared" ca="1" si="127"/>
        <v>7.6821931464967283E-2</v>
      </c>
      <c r="FB63" s="138">
        <f t="shared" ca="1" si="283"/>
        <v>7.6821931464967283E-2</v>
      </c>
      <c r="FC63" s="115">
        <f t="shared" si="266"/>
        <v>21.47</v>
      </c>
      <c r="FD63" s="115">
        <v>37</v>
      </c>
      <c r="FE63" s="115">
        <f t="shared" ca="1" si="267"/>
        <v>154.93355555555553</v>
      </c>
      <c r="FF63" s="115">
        <f t="shared" ca="1" si="268"/>
        <v>0.52252222222222222</v>
      </c>
      <c r="FG63" s="138">
        <f t="shared" ca="1" si="176"/>
        <v>8.1462225449999703E-2</v>
      </c>
      <c r="FH63" s="138">
        <f t="shared" ca="1" si="129"/>
        <v>8.1462225449999703E-2</v>
      </c>
      <c r="FI63" s="115">
        <f t="shared" si="284"/>
        <v>104.43776123046877</v>
      </c>
      <c r="FJ63" s="115">
        <f t="shared" ca="1" si="211"/>
        <v>46.025779093848342</v>
      </c>
      <c r="FK63" s="115">
        <f t="shared" ca="1" si="212"/>
        <v>0.15965050911373563</v>
      </c>
      <c r="FL63" s="138">
        <f t="shared" ca="1" si="177"/>
        <v>0.32131946174563641</v>
      </c>
      <c r="FM63" s="138">
        <f t="shared" ca="1" si="213"/>
        <v>0.4921806313761562</v>
      </c>
      <c r="FN63" s="115">
        <f t="shared" si="285"/>
        <v>104.43776123046877</v>
      </c>
      <c r="FO63" s="115">
        <f t="shared" ca="1" si="214"/>
        <v>63.065382414923782</v>
      </c>
      <c r="FP63" s="115">
        <f t="shared" ca="1" si="215"/>
        <v>0.21642505955166286</v>
      </c>
      <c r="FQ63" s="138">
        <f t="shared" ca="1" si="178"/>
        <v>0.333044804916797</v>
      </c>
      <c r="FR63" s="138">
        <f t="shared" ca="1" si="216"/>
        <v>0.51014090920598887</v>
      </c>
      <c r="FS63" s="139">
        <f t="shared" si="217"/>
        <v>5.6598348390310047</v>
      </c>
      <c r="FT63" s="249">
        <f t="shared" si="132"/>
        <v>4.9180644577916404</v>
      </c>
      <c r="FU63" s="139">
        <f t="shared" ca="1" si="218"/>
        <v>0.67788361256600127</v>
      </c>
      <c r="FV63" s="249">
        <f t="shared" ca="1" si="134"/>
        <v>0.55774914183904922</v>
      </c>
      <c r="FW63" s="139">
        <f t="shared" ca="1" si="286"/>
        <v>0.94066041398798361</v>
      </c>
      <c r="FX63" s="249">
        <f t="shared" ca="1" si="136"/>
        <v>1.0579407879574223</v>
      </c>
      <c r="FY63" s="249">
        <f t="shared" si="219"/>
        <v>0.15000000000000002</v>
      </c>
      <c r="FZ63" s="139">
        <f t="shared" si="220"/>
        <v>1050000</v>
      </c>
      <c r="GA63" s="139">
        <f t="shared" si="137"/>
        <v>3.3757716049382713E-2</v>
      </c>
      <c r="GB63" s="139">
        <f t="shared" si="138"/>
        <v>121.52777777777777</v>
      </c>
      <c r="GC63" s="139">
        <f t="shared" si="221"/>
        <v>1050000</v>
      </c>
      <c r="GD63" s="139">
        <f t="shared" si="139"/>
        <v>6.7515432098765427E-2</v>
      </c>
      <c r="GE63" s="139">
        <f t="shared" si="140"/>
        <v>243.05555555555554</v>
      </c>
      <c r="GF63" s="139">
        <f t="shared" si="141"/>
        <v>4.5814043209876545E-2</v>
      </c>
      <c r="GG63" s="139">
        <f t="shared" si="222"/>
        <v>712500</v>
      </c>
      <c r="GH63" s="139">
        <f t="shared" si="142"/>
        <v>164.93055555555554</v>
      </c>
      <c r="GI63" s="137">
        <f t="shared" si="223"/>
        <v>49.980655011231015</v>
      </c>
      <c r="GJ63" s="137">
        <f t="shared" si="143"/>
        <v>0.17993035804043023</v>
      </c>
      <c r="GK63" s="251">
        <f t="shared" si="224"/>
        <v>40.84987980813515</v>
      </c>
      <c r="GL63" s="137">
        <f t="shared" si="164"/>
        <v>0.14705956730928538</v>
      </c>
      <c r="GM63" s="137">
        <f t="shared" ca="1" si="225"/>
        <v>9.2346223179090074</v>
      </c>
      <c r="GN63" s="137">
        <f t="shared" ca="1" si="144"/>
        <v>3.3244640344472165E-2</v>
      </c>
      <c r="GO63" s="137">
        <f t="shared" ca="1" si="145"/>
        <v>0.11689395339125234</v>
      </c>
      <c r="GP63" s="137">
        <f t="shared" ca="1" si="226"/>
        <v>9.6703869397369928</v>
      </c>
      <c r="GQ63" s="137">
        <f t="shared" ca="1" si="146"/>
        <v>3.4813392983052895E-2</v>
      </c>
      <c r="GR63" s="137">
        <f t="shared" ca="1" si="147"/>
        <v>0.12240996126249261</v>
      </c>
      <c r="GS63" s="140">
        <f t="shared" si="227"/>
        <v>8.1541240525919698E-2</v>
      </c>
      <c r="GT63" s="140">
        <f t="shared" si="228"/>
        <v>7.0854554643404163E-2</v>
      </c>
      <c r="GU63" s="140">
        <f t="shared" si="287"/>
        <v>293.54846589331089</v>
      </c>
      <c r="GV63" s="140">
        <f t="shared" si="149"/>
        <v>255.07639671625498</v>
      </c>
      <c r="GW63" s="141">
        <f t="shared" ca="1" si="229"/>
        <v>6.5043352913547606E-3</v>
      </c>
      <c r="GX63" s="141">
        <f t="shared" ca="1" si="230"/>
        <v>5.3516375963924712E-3</v>
      </c>
      <c r="GY63" s="141">
        <f t="shared" ca="1" si="150"/>
        <v>23.415607048877138</v>
      </c>
      <c r="GZ63" s="141">
        <f t="shared" ca="1" si="165"/>
        <v>19.265895347012897</v>
      </c>
      <c r="HA63" s="141">
        <f t="shared" ca="1" si="231"/>
        <v>1.6382809074795054E-2</v>
      </c>
      <c r="HB63" s="141">
        <f t="shared" ca="1" si="232"/>
        <v>1.6157037450316988E-2</v>
      </c>
      <c r="HC63" s="141">
        <f t="shared" ca="1" si="233"/>
        <v>58.978112669262195</v>
      </c>
      <c r="HD63" s="141">
        <f t="shared" ca="1" si="152"/>
        <v>58.165334821141158</v>
      </c>
      <c r="HE63" s="137">
        <f t="shared" si="153"/>
        <v>8.9009681029281555</v>
      </c>
      <c r="HF63" s="250">
        <f t="shared" si="154"/>
        <v>8.8742247342757068</v>
      </c>
      <c r="HG63" s="137">
        <v>3.2411332638971508</v>
      </c>
      <c r="HH63" s="251">
        <v>4.0045420419627371</v>
      </c>
      <c r="HI63" s="137">
        <f t="shared" ca="1" si="155"/>
        <v>1.4826099560446571</v>
      </c>
      <c r="HJ63" s="251">
        <f t="shared" ca="1" si="156"/>
        <v>1.5004210395671866</v>
      </c>
      <c r="HK63" s="137">
        <f t="shared" ca="1" si="157"/>
        <v>0.83162645841737071</v>
      </c>
      <c r="HL63" s="251">
        <f t="shared" ca="1" si="158"/>
        <v>0.94267189772813753</v>
      </c>
      <c r="HM63" s="137">
        <f t="shared" ca="1" si="159"/>
        <v>0.93357536480185532</v>
      </c>
      <c r="HN63" s="251">
        <f t="shared" ca="1" si="160"/>
        <v>1.0446208041126221</v>
      </c>
      <c r="HO63" s="137">
        <f t="shared" ca="1" si="161"/>
        <v>0.32131946174563641</v>
      </c>
      <c r="HP63" s="251">
        <f t="shared" ca="1" si="162"/>
        <v>0.4921806313761562</v>
      </c>
      <c r="JN63" s="143">
        <f t="shared" si="234"/>
        <v>19.219974177774496</v>
      </c>
      <c r="JO63" s="143">
        <f t="shared" si="235"/>
        <v>3241.1332638971508</v>
      </c>
      <c r="JP63" s="143">
        <f t="shared" si="236"/>
        <v>3956.1602764840663</v>
      </c>
      <c r="JQ63" s="143">
        <f t="shared" si="237"/>
        <v>1.0883699523078072</v>
      </c>
      <c r="JR63" s="143">
        <f t="shared" ca="1" si="238"/>
        <v>1.2178276522893294</v>
      </c>
      <c r="JS63" s="143">
        <f t="shared" si="239"/>
        <v>104.43776123046877</v>
      </c>
      <c r="JT63" s="143">
        <f t="shared" ca="1" si="240"/>
        <v>159.97239315250539</v>
      </c>
      <c r="JU63" s="143">
        <f t="shared" si="256"/>
        <v>0.29458879817795192</v>
      </c>
      <c r="JV63" s="143">
        <f t="shared" si="241"/>
        <v>0.35957808777275174</v>
      </c>
      <c r="JW63" s="143">
        <f t="shared" ca="1" si="242"/>
        <v>0.26570746674235707</v>
      </c>
      <c r="JX63" s="143">
        <f t="shared" ca="1" si="243"/>
        <v>0.29731241636398548</v>
      </c>
      <c r="JY63" s="143">
        <f t="shared" si="244"/>
        <v>0.75929294601115216</v>
      </c>
      <c r="JZ63" s="143">
        <f t="shared" si="245"/>
        <v>1.0339339234817888</v>
      </c>
      <c r="KA63" s="143">
        <f t="shared" si="246"/>
        <v>0.27791396054523765</v>
      </c>
      <c r="KB63" s="143">
        <f t="shared" si="247"/>
        <v>0.33922461110636959</v>
      </c>
      <c r="KC63" s="143">
        <f t="shared" ca="1" si="248"/>
        <v>0.55092474995917506</v>
      </c>
      <c r="KD63" s="143">
        <f t="shared" ca="1" si="249"/>
        <v>0.62827158035591257</v>
      </c>
      <c r="KE63" s="143">
        <f t="shared" ca="1" si="250"/>
        <v>0.4711572174692143</v>
      </c>
      <c r="KF63" s="143">
        <f t="shared" ca="1" si="251"/>
        <v>0.34418159889409056</v>
      </c>
      <c r="KG63" s="142">
        <f t="shared" si="252"/>
        <v>0.14705956730928538</v>
      </c>
      <c r="KH63" s="142">
        <f t="shared" ca="1" si="253"/>
        <v>0.12240996126249261</v>
      </c>
      <c r="KI63" s="142">
        <f t="shared" ca="1" si="254"/>
        <v>375.94218561145021</v>
      </c>
      <c r="KJ63" s="142">
        <f t="shared" ca="1" si="255"/>
        <v>332.50762688440898</v>
      </c>
    </row>
    <row r="64" spans="1:296" x14ac:dyDescent="0.3">
      <c r="A64" s="201">
        <v>41368</v>
      </c>
      <c r="B64" s="196">
        <v>65</v>
      </c>
      <c r="C64" s="179">
        <v>24</v>
      </c>
      <c r="D64" s="179">
        <v>4.2</v>
      </c>
      <c r="E64" s="179">
        <v>50016</v>
      </c>
      <c r="F64" s="179">
        <v>300</v>
      </c>
      <c r="G64" s="179">
        <v>11.7</v>
      </c>
      <c r="H64" s="179">
        <v>0.85</v>
      </c>
      <c r="I64" s="179">
        <v>1.4</v>
      </c>
      <c r="J64" s="179">
        <v>1.33</v>
      </c>
      <c r="K64" s="179">
        <v>0.91</v>
      </c>
      <c r="L64" s="152">
        <v>26959.030919209123</v>
      </c>
      <c r="M64" s="156">
        <v>19</v>
      </c>
      <c r="N64" s="153">
        <v>77877.344717212021</v>
      </c>
      <c r="O64" s="178">
        <v>17</v>
      </c>
      <c r="P64" s="179">
        <v>2</v>
      </c>
      <c r="Q64" s="179">
        <v>5</v>
      </c>
      <c r="R64" s="154">
        <v>393.39791870117187</v>
      </c>
      <c r="S64" s="155">
        <v>100.08254356178804</v>
      </c>
      <c r="T64" s="152">
        <v>180</v>
      </c>
      <c r="U64" s="156">
        <v>4.0152249336242676</v>
      </c>
      <c r="V64" s="178">
        <v>17</v>
      </c>
      <c r="W64" s="179">
        <v>1250</v>
      </c>
      <c r="X64" s="155">
        <v>92096.559904158115</v>
      </c>
      <c r="Y64" s="155">
        <v>13699.88257136941</v>
      </c>
      <c r="Z64" s="155">
        <v>383.40786743164062</v>
      </c>
      <c r="AA64" s="155">
        <v>11.757122039794922</v>
      </c>
      <c r="AB64" s="155">
        <v>15.780142784118652</v>
      </c>
      <c r="AC64" s="215">
        <v>37</v>
      </c>
      <c r="AD64" s="215">
        <v>29.611976623535156</v>
      </c>
      <c r="AE64" s="254">
        <v>20</v>
      </c>
      <c r="AF64" s="254">
        <v>10</v>
      </c>
      <c r="AG64" s="217">
        <v>5000000</v>
      </c>
      <c r="AH64" s="218">
        <v>300000</v>
      </c>
      <c r="AI64" s="219">
        <v>5000000</v>
      </c>
      <c r="AJ64" s="225">
        <f t="shared" si="179"/>
        <v>300000</v>
      </c>
      <c r="AK64" s="220">
        <v>2750000</v>
      </c>
      <c r="AL64" s="226">
        <f t="shared" si="180"/>
        <v>300000</v>
      </c>
      <c r="AM64" s="221">
        <v>14.407</v>
      </c>
      <c r="BM64" s="197">
        <f t="shared" si="181"/>
        <v>7.3880233764648437</v>
      </c>
      <c r="BN64" s="196">
        <f t="shared" si="182"/>
        <v>180</v>
      </c>
      <c r="BO64" s="197">
        <f t="shared" si="183"/>
        <v>4.0230207443237305</v>
      </c>
      <c r="BP64" s="196">
        <f t="shared" si="294"/>
        <v>12.686481875325248</v>
      </c>
      <c r="BQ64" s="115">
        <f t="shared" si="184"/>
        <v>659.74492511188635</v>
      </c>
      <c r="BR64" s="184">
        <f t="shared" si="185"/>
        <v>1.0041987768</v>
      </c>
      <c r="BS64" s="115">
        <f t="shared" si="186"/>
        <v>6863.8528613899143</v>
      </c>
      <c r="BT64" s="196">
        <v>900</v>
      </c>
      <c r="BU64" s="115">
        <f t="shared" si="288"/>
        <v>1.1850729520000001</v>
      </c>
      <c r="BV64" s="115">
        <f t="shared" si="269"/>
        <v>1.0733831208765507</v>
      </c>
      <c r="BW64" s="115">
        <f t="shared" si="270"/>
        <v>476.81540065016759</v>
      </c>
      <c r="BX64" s="115">
        <f t="shared" si="187"/>
        <v>1147.0563107233211</v>
      </c>
      <c r="BY64" s="115"/>
      <c r="BZ64" s="115">
        <f t="shared" si="188"/>
        <v>670.24091007315349</v>
      </c>
      <c r="CA64" s="115">
        <f t="shared" si="189"/>
        <v>10861.570562824252</v>
      </c>
      <c r="CB64" s="115">
        <f t="shared" si="190"/>
        <v>3244.8893632171676</v>
      </c>
      <c r="CC64" s="115">
        <f t="shared" si="191"/>
        <v>1123.2929549670469</v>
      </c>
      <c r="CD64" s="129">
        <f t="shared" si="271"/>
        <v>0.22194223534128421</v>
      </c>
      <c r="CE64" s="115">
        <f t="shared" si="192"/>
        <v>22.553403966567096</v>
      </c>
      <c r="CF64" s="115">
        <f t="shared" si="193"/>
        <v>27.800706544941125</v>
      </c>
      <c r="CG64" s="115">
        <f t="shared" si="194"/>
        <v>0.02</v>
      </c>
      <c r="CH64" s="115">
        <f t="shared" si="195"/>
        <v>0.05</v>
      </c>
      <c r="CI64" s="136">
        <v>30</v>
      </c>
      <c r="CJ64" s="115">
        <f t="shared" si="257"/>
        <v>165</v>
      </c>
      <c r="CK64" s="115">
        <f t="shared" si="196"/>
        <v>453</v>
      </c>
      <c r="CL64" s="115">
        <f t="shared" si="197"/>
        <v>666.39791870117187</v>
      </c>
      <c r="CM64" s="115">
        <f t="shared" ca="1" si="198"/>
        <v>2816.5993052117487</v>
      </c>
      <c r="CN64" s="115">
        <f t="shared" ca="1" si="258"/>
        <v>125.80344444444444</v>
      </c>
      <c r="CO64" s="115">
        <f t="shared" ca="1" si="259"/>
        <v>690.58718083896258</v>
      </c>
      <c r="CP64" s="115">
        <f t="shared" ca="1" si="260"/>
        <v>2790.6388281929471</v>
      </c>
      <c r="CQ64" s="115">
        <f t="shared" si="272"/>
        <v>1.072449112508886</v>
      </c>
      <c r="CR64" s="115">
        <f t="shared" ca="1" si="199"/>
        <v>661.42234097238406</v>
      </c>
      <c r="CS64" s="115">
        <f t="shared" ca="1" si="200"/>
        <v>32.740011106875528</v>
      </c>
      <c r="CT64" s="115">
        <f t="shared" si="273"/>
        <v>1.1224839496264574</v>
      </c>
      <c r="CU64" s="115">
        <f t="shared" ca="1" si="274"/>
        <v>1.0198953064576772</v>
      </c>
      <c r="CV64" s="115">
        <f t="shared" si="108"/>
        <v>197.24091007315349</v>
      </c>
      <c r="CW64" s="115">
        <f t="shared" si="261"/>
        <v>473</v>
      </c>
      <c r="CX64" s="115">
        <f t="shared" si="262"/>
        <v>438</v>
      </c>
      <c r="CY64" s="115">
        <f t="shared" ca="1" si="275"/>
        <v>440.2599888931245</v>
      </c>
      <c r="CZ64" s="115">
        <f t="shared" ca="1" si="263"/>
        <v>226.13792980804737</v>
      </c>
      <c r="DA64" s="115">
        <v>0.21890000000000001</v>
      </c>
      <c r="DB64" s="115">
        <v>2.7E-2</v>
      </c>
      <c r="DC64" s="115">
        <v>1.06</v>
      </c>
      <c r="DD64" s="138">
        <f t="shared" si="201"/>
        <v>11.766702613399451</v>
      </c>
      <c r="DE64" s="138">
        <f t="shared" si="276"/>
        <v>11.766702613399451</v>
      </c>
      <c r="DF64" s="115">
        <f t="shared" si="264"/>
        <v>666.39791870117187</v>
      </c>
      <c r="DG64" s="115">
        <v>670.24091007315349</v>
      </c>
      <c r="DH64" s="115">
        <f t="shared" si="277"/>
        <v>1.1224839496264574</v>
      </c>
      <c r="DI64" s="115">
        <f t="shared" ref="DI64:DI105" si="299">0.991615+(0.0000699703*DG64)+(0.00000027129*DG64^2)-(0.000000000122442*DG64^3)</f>
        <v>1.1235158701671768</v>
      </c>
      <c r="DJ64" s="138">
        <f t="shared" si="202"/>
        <v>2.7714521924539546</v>
      </c>
      <c r="DK64" s="138">
        <f t="shared" si="203"/>
        <v>2.8199686512159858</v>
      </c>
      <c r="DL64" s="115">
        <f t="shared" si="278"/>
        <v>666.39791870117187</v>
      </c>
      <c r="DM64" s="115">
        <f t="shared" si="293"/>
        <v>670.24091007315349</v>
      </c>
      <c r="DN64" s="115">
        <f t="shared" ref="DN64:DN105" si="300">0.666*JN64</f>
        <v>12.801813528737297</v>
      </c>
      <c r="DO64" s="115">
        <f t="shared" ref="DO64:DO105" si="301">0.991615+(0.0000699703*DL64)+(0.00000027129*DL64^2)-(0.000000000122442*DL64^3)</f>
        <v>1.1224839496264574</v>
      </c>
      <c r="DP64" s="115">
        <f t="shared" si="292"/>
        <v>1.1235158701671768</v>
      </c>
      <c r="DQ64" s="115">
        <v>298.14999999999998</v>
      </c>
      <c r="DR64" s="138">
        <f t="shared" ref="DR64:DR105" si="302">(DN64*DO64*DQ64*((DL64/DQ64)-1-LN(DL64/DQ64)))*0.001</f>
        <v>1.8457871601743336</v>
      </c>
      <c r="DS64" s="138">
        <f t="shared" ref="DS64:DS105" si="303">(DN64*DP64*DQ64*((DM64/DQ64)-1-LN(DM64/DQ64)))*0.001</f>
        <v>1.8780991217098464</v>
      </c>
      <c r="DT64" s="115">
        <f t="shared" si="289"/>
        <v>666.39791870117187</v>
      </c>
      <c r="DU64" s="139">
        <f t="shared" si="118"/>
        <v>6.4201287066039878</v>
      </c>
      <c r="DV64" s="115">
        <f t="shared" si="279"/>
        <v>1.1224839496264574</v>
      </c>
      <c r="DW64" s="115">
        <v>298.14999999999998</v>
      </c>
      <c r="DX64" s="138">
        <f t="shared" si="204"/>
        <v>0.92566503227962071</v>
      </c>
      <c r="DY64" s="138">
        <f t="shared" si="205"/>
        <v>0.941869529506139</v>
      </c>
      <c r="DZ64" s="138">
        <f t="shared" si="290"/>
        <v>3.2448893632171676</v>
      </c>
      <c r="EA64" s="138">
        <f t="shared" si="280"/>
        <v>3.9977177014343379</v>
      </c>
      <c r="EB64" s="115">
        <f t="shared" si="291"/>
        <v>27.800706544941125</v>
      </c>
      <c r="EC64" s="115">
        <v>30</v>
      </c>
      <c r="ED64" s="198">
        <f t="shared" ca="1" si="265"/>
        <v>125.80344444444444</v>
      </c>
      <c r="EE64" s="198">
        <v>104.83</v>
      </c>
      <c r="EF64" s="198">
        <f t="shared" ca="1" si="295"/>
        <v>0.42491111111111107</v>
      </c>
      <c r="EG64" s="199">
        <v>0.36720000000000003</v>
      </c>
      <c r="EH64" s="138">
        <f t="shared" ref="EH64:EH105" ca="1" si="304">(EB64*(ED64-EE64-DW64*(EF64-EG64))*0.001)</f>
        <v>0.10472183280098644</v>
      </c>
      <c r="EI64" s="138">
        <f t="shared" ca="1" si="281"/>
        <v>0.10472183280098644</v>
      </c>
      <c r="EJ64" s="115">
        <f t="shared" si="296"/>
        <v>12.801813528737297</v>
      </c>
      <c r="EK64" s="115">
        <v>435</v>
      </c>
      <c r="EL64" s="115">
        <f t="shared" ca="1" si="297"/>
        <v>440.2599888931245</v>
      </c>
      <c r="EM64" s="115">
        <f t="shared" ref="EM64:EM105" ca="1" si="305">0.991615+(0.0000699703*EK64)+(0.00000027129*EK64^2)-(0.000000000122442*EL64^3)</f>
        <v>1.0629383315633589</v>
      </c>
      <c r="EN64" s="115">
        <f t="shared" ref="EN64:EN105" ca="1" si="306">0.991615+(0.0000699703*EL64)+(0.00000027129*EL64^2)-(0.000000000122442*EL64^3)</f>
        <v>1.0645553551522426</v>
      </c>
      <c r="EO64" s="115">
        <v>298.14999999999998</v>
      </c>
      <c r="EP64" s="138">
        <f t="shared" ref="EP64:EP105" ca="1" si="307">(EJ64*EM64*EO64*((EK64/EO64)-1-LN(EK64/EO64)))*0.001</f>
        <v>0.32962957387152897</v>
      </c>
      <c r="EQ64" s="138">
        <f t="shared" ref="EQ64:EQ105" ca="1" si="308">(EJ64*EN64*EO64*((EL64/EO64)-1-LN(EL64/EO64)))*0.001</f>
        <v>0.35297745603783454</v>
      </c>
      <c r="ER64" s="115">
        <f t="shared" si="282"/>
        <v>1.1153402593400743</v>
      </c>
      <c r="ES64" s="115">
        <f t="shared" si="298"/>
        <v>453</v>
      </c>
      <c r="ET64" s="115">
        <f t="shared" ca="1" si="206"/>
        <v>2816.5993052117487</v>
      </c>
      <c r="EU64" s="115">
        <f t="shared" ca="1" si="207"/>
        <v>6.5855309782608691</v>
      </c>
      <c r="EV64" s="138">
        <f t="shared" ref="EV64:EV82" ca="1" si="309">(ER64*(ET64-EE64-DQ64*(EU64-EG64)))*0.001</f>
        <v>0.95670979089757502</v>
      </c>
      <c r="EW64" s="138">
        <f t="shared" ca="1" si="208"/>
        <v>1.0583146867653497</v>
      </c>
      <c r="EX64" s="115">
        <v>21.47</v>
      </c>
      <c r="EY64" s="115">
        <f t="shared" ca="1" si="209"/>
        <v>124.01385683356391</v>
      </c>
      <c r="EZ64" s="115">
        <f t="shared" ca="1" si="210"/>
        <v>0.41950034069485131</v>
      </c>
      <c r="FA64" s="138">
        <f t="shared" ref="FA64:FA105" ca="1" si="310">(EX64*(EY64-EE64-DW64*(EZ64-EG64)))*0.001</f>
        <v>7.7088255183309126E-2</v>
      </c>
      <c r="FB64" s="138">
        <f t="shared" ca="1" si="283"/>
        <v>7.7088255183309126E-2</v>
      </c>
      <c r="FC64" s="115">
        <f t="shared" si="266"/>
        <v>21.47</v>
      </c>
      <c r="FD64" s="115">
        <v>37</v>
      </c>
      <c r="FE64" s="115">
        <f t="shared" ca="1" si="267"/>
        <v>154.93355555555553</v>
      </c>
      <c r="FF64" s="115">
        <f t="shared" ca="1" si="268"/>
        <v>0.52252222222222222</v>
      </c>
      <c r="FG64" s="138">
        <f t="shared" ref="FG64:FG82" ca="1" si="311">(FC64*(FE64-EE64-DW64*(FF64-EG64)))*0.001</f>
        <v>8.1462225449999703E-2</v>
      </c>
      <c r="FH64" s="138">
        <f t="shared" ref="FH64:FH105" ca="1" si="312">FG64</f>
        <v>8.1462225449999703E-2</v>
      </c>
      <c r="FI64" s="115">
        <f t="shared" si="284"/>
        <v>107.35420288085939</v>
      </c>
      <c r="FJ64" s="115">
        <f t="shared" ca="1" si="211"/>
        <v>49.289306527879511</v>
      </c>
      <c r="FK64" s="115">
        <f t="shared" ca="1" si="212"/>
        <v>0.1705243128882514</v>
      </c>
      <c r="FL64" s="138">
        <f t="shared" ref="FL64:FL82" ca="1" si="313">(FI64*(FJ64-EE64-DW64*(FK64-EG64)))*0.001</f>
        <v>0.33260078063901405</v>
      </c>
      <c r="FM64" s="138">
        <f t="shared" ca="1" si="213"/>
        <v>0.51730268126491696</v>
      </c>
      <c r="FN64" s="115">
        <f t="shared" si="285"/>
        <v>107.35420288085939</v>
      </c>
      <c r="FO64" s="115">
        <f t="shared" ca="1" si="214"/>
        <v>66.126095345179237</v>
      </c>
      <c r="FP64" s="115">
        <f t="shared" ca="1" si="215"/>
        <v>0.2266231021563212</v>
      </c>
      <c r="FQ64" s="138">
        <f t="shared" ref="FQ64:FQ82" ca="1" si="314">(FN64*(FO64-EE64-DW64*(FP64-EG64)))*0.001</f>
        <v>0.34451009734535265</v>
      </c>
      <c r="FR64" s="138">
        <f t="shared" ca="1" si="216"/>
        <v>0.53582555259548226</v>
      </c>
      <c r="FS64" s="139">
        <f t="shared" si="217"/>
        <v>5.7503610577283286</v>
      </c>
      <c r="FT64" s="249">
        <f t="shared" si="132"/>
        <v>4.9490162607491275</v>
      </c>
      <c r="FU64" s="139">
        <f t="shared" ca="1" si="218"/>
        <v>0.66416962820621617</v>
      </c>
      <c r="FV64" s="249">
        <f t="shared" ca="1" si="134"/>
        <v>0.57152881170764869</v>
      </c>
      <c r="FW64" s="139">
        <f t="shared" ca="1" si="286"/>
        <v>0.96424513733722295</v>
      </c>
      <c r="FX64" s="249">
        <f t="shared" ca="1" si="136"/>
        <v>1.0724635878292244</v>
      </c>
      <c r="FY64" s="249">
        <f t="shared" si="219"/>
        <v>0.15000000000000002</v>
      </c>
      <c r="FZ64" s="139">
        <f t="shared" si="220"/>
        <v>1050000</v>
      </c>
      <c r="GA64" s="139">
        <f t="shared" si="137"/>
        <v>3.3757716049382713E-2</v>
      </c>
      <c r="GB64" s="139">
        <f t="shared" si="138"/>
        <v>121.52777777777777</v>
      </c>
      <c r="GC64" s="139">
        <f t="shared" si="221"/>
        <v>1050000</v>
      </c>
      <c r="GD64" s="139">
        <f t="shared" si="139"/>
        <v>6.7515432098765427E-2</v>
      </c>
      <c r="GE64" s="139">
        <f t="shared" si="140"/>
        <v>243.05555555555554</v>
      </c>
      <c r="GF64" s="139">
        <f t="shared" si="141"/>
        <v>4.5814043209876545E-2</v>
      </c>
      <c r="GG64" s="139">
        <f t="shared" si="222"/>
        <v>712500</v>
      </c>
      <c r="GH64" s="139">
        <f t="shared" si="142"/>
        <v>164.93055555555554</v>
      </c>
      <c r="GI64" s="137">
        <f t="shared" si="223"/>
        <v>50.341404768878697</v>
      </c>
      <c r="GJ64" s="137">
        <f t="shared" si="143"/>
        <v>0.18122905716796187</v>
      </c>
      <c r="GK64" s="251">
        <f t="shared" si="224"/>
        <v>40.686542770191515</v>
      </c>
      <c r="GL64" s="137">
        <f t="shared" si="164"/>
        <v>0.1464715539726883</v>
      </c>
      <c r="GM64" s="137">
        <f t="shared" ca="1" si="225"/>
        <v>9.3417276443499233</v>
      </c>
      <c r="GN64" s="137">
        <f t="shared" ca="1" si="144"/>
        <v>3.3630219519659457E-2</v>
      </c>
      <c r="GO64" s="137">
        <f t="shared" ca="1" si="145"/>
        <v>0.11824971701708671</v>
      </c>
      <c r="GP64" s="137">
        <f t="shared" ca="1" si="226"/>
        <v>9.7797489591892983</v>
      </c>
      <c r="GQ64" s="137">
        <f t="shared" ca="1" si="146"/>
        <v>3.5207096253081195E-2</v>
      </c>
      <c r="GR64" s="137">
        <f t="shared" ca="1" si="147"/>
        <v>0.12379429062264836</v>
      </c>
      <c r="GS64" s="140">
        <f t="shared" si="227"/>
        <v>8.284545175869204E-2</v>
      </c>
      <c r="GT64" s="140">
        <f t="shared" si="228"/>
        <v>7.1300477268612689E-2</v>
      </c>
      <c r="GU64" s="140">
        <f t="shared" si="287"/>
        <v>298.24362633129135</v>
      </c>
      <c r="GV64" s="140">
        <f t="shared" si="149"/>
        <v>256.68171816700567</v>
      </c>
      <c r="GW64" s="141">
        <f t="shared" ca="1" si="229"/>
        <v>6.3727487611555918E-3</v>
      </c>
      <c r="GX64" s="141">
        <f t="shared" ca="1" si="230"/>
        <v>5.4838543831212143E-3</v>
      </c>
      <c r="GY64" s="141">
        <f t="shared" ca="1" si="150"/>
        <v>22.941895540160129</v>
      </c>
      <c r="GZ64" s="141">
        <f t="shared" ca="1" si="165"/>
        <v>19.74187577923637</v>
      </c>
      <c r="HA64" s="141">
        <f t="shared" ca="1" si="231"/>
        <v>1.646440837317794E-2</v>
      </c>
      <c r="HB64" s="141">
        <f t="shared" ca="1" si="232"/>
        <v>1.6457802415422895E-2</v>
      </c>
      <c r="HC64" s="141">
        <f t="shared" ca="1" si="233"/>
        <v>59.27187014344058</v>
      </c>
      <c r="HD64" s="141">
        <f t="shared" ca="1" si="152"/>
        <v>59.248088695522419</v>
      </c>
      <c r="HE64" s="137">
        <f t="shared" si="153"/>
        <v>8.9952504209454958</v>
      </c>
      <c r="HF64" s="250">
        <f t="shared" si="154"/>
        <v>8.9467339621834654</v>
      </c>
      <c r="HG64" s="137">
        <v>3.2448893632171676</v>
      </c>
      <c r="HH64" s="251">
        <v>4.0852587538042631</v>
      </c>
      <c r="HI64" s="137">
        <f t="shared" ca="1" si="155"/>
        <v>1.4928097041364992</v>
      </c>
      <c r="HJ64" s="251">
        <f t="shared" ca="1" si="156"/>
        <v>1.5251216656720119</v>
      </c>
      <c r="HK64" s="137">
        <f t="shared" ca="1" si="157"/>
        <v>0.85198795809658856</v>
      </c>
      <c r="HL64" s="251">
        <f t="shared" ca="1" si="158"/>
        <v>0.95359285396436322</v>
      </c>
      <c r="HM64" s="137">
        <f t="shared" ca="1" si="159"/>
        <v>0.95670979089757502</v>
      </c>
      <c r="HN64" s="251">
        <f t="shared" ca="1" si="160"/>
        <v>1.0583146867653497</v>
      </c>
      <c r="HO64" s="137">
        <f t="shared" ca="1" si="161"/>
        <v>0.33260078063901405</v>
      </c>
      <c r="HP64" s="251">
        <f t="shared" ca="1" si="162"/>
        <v>0.51730268126491696</v>
      </c>
      <c r="JN64" s="143">
        <f t="shared" si="234"/>
        <v>19.221942235341285</v>
      </c>
      <c r="JO64" s="143">
        <f t="shared" si="235"/>
        <v>3244.8893632171676</v>
      </c>
      <c r="JP64" s="143">
        <f t="shared" si="236"/>
        <v>3997.7177014343379</v>
      </c>
      <c r="JQ64" s="143">
        <f t="shared" si="237"/>
        <v>1.1153402593400743</v>
      </c>
      <c r="JR64" s="143">
        <f t="shared" ca="1" si="238"/>
        <v>1.2337920949809178</v>
      </c>
      <c r="JS64" s="143">
        <f t="shared" si="239"/>
        <v>107.35420288085939</v>
      </c>
      <c r="JT64" s="143">
        <f t="shared" ca="1" si="240"/>
        <v>166.97079570477783</v>
      </c>
      <c r="JU64" s="143">
        <f t="shared" si="256"/>
        <v>0.29231491931251308</v>
      </c>
      <c r="JV64" s="143">
        <f t="shared" si="241"/>
        <v>0.3601332423150399</v>
      </c>
      <c r="JW64" s="143">
        <f t="shared" ca="1" si="242"/>
        <v>0.26988137030346837</v>
      </c>
      <c r="JX64" s="143">
        <f t="shared" ca="1" si="243"/>
        <v>0.29854342517865673</v>
      </c>
      <c r="JY64" s="143">
        <f t="shared" si="244"/>
        <v>0.77517268624814428</v>
      </c>
      <c r="JZ64" s="143">
        <f t="shared" si="245"/>
        <v>1.1464768358778572</v>
      </c>
      <c r="KA64" s="143">
        <f t="shared" si="246"/>
        <v>0.27576879180425767</v>
      </c>
      <c r="KB64" s="143">
        <f t="shared" si="247"/>
        <v>0.33974834180664143</v>
      </c>
      <c r="KC64" s="143">
        <f t="shared" ca="1" si="248"/>
        <v>0.5619389209892004</v>
      </c>
      <c r="KD64" s="143">
        <f t="shared" ca="1" si="249"/>
        <v>0.62525690600833683</v>
      </c>
      <c r="KE64" s="143">
        <f t="shared" ca="1" si="250"/>
        <v>0.48879854709945425</v>
      </c>
      <c r="KF64" s="143">
        <f t="shared" ca="1" si="251"/>
        <v>0.34765064997084594</v>
      </c>
      <c r="KG64" s="142">
        <f t="shared" si="252"/>
        <v>0.1464715539726883</v>
      </c>
      <c r="KH64" s="142">
        <f t="shared" ca="1" si="253"/>
        <v>0.12379429062264836</v>
      </c>
      <c r="KI64" s="142">
        <f t="shared" ca="1" si="254"/>
        <v>380.45739201489209</v>
      </c>
      <c r="KJ64" s="142">
        <f t="shared" ca="1" si="255"/>
        <v>335.67168264176445</v>
      </c>
    </row>
    <row r="65" spans="1:296" x14ac:dyDescent="0.3">
      <c r="A65" s="201">
        <v>41369</v>
      </c>
      <c r="B65" s="196">
        <v>66</v>
      </c>
      <c r="C65" s="179">
        <v>24</v>
      </c>
      <c r="D65" s="179">
        <v>4.2</v>
      </c>
      <c r="E65" s="179">
        <v>50016</v>
      </c>
      <c r="F65" s="179">
        <v>300</v>
      </c>
      <c r="G65" s="179">
        <v>11.7</v>
      </c>
      <c r="H65" s="179">
        <v>0.85</v>
      </c>
      <c r="I65" s="179">
        <v>1.4</v>
      </c>
      <c r="J65" s="179">
        <v>1.33</v>
      </c>
      <c r="K65" s="179">
        <v>0.91</v>
      </c>
      <c r="L65" s="152">
        <v>27122.011943593621</v>
      </c>
      <c r="M65" s="156">
        <v>19</v>
      </c>
      <c r="N65" s="153">
        <v>78489.670001119375</v>
      </c>
      <c r="O65" s="178">
        <v>17</v>
      </c>
      <c r="P65" s="179">
        <v>2</v>
      </c>
      <c r="Q65" s="179">
        <v>5</v>
      </c>
      <c r="R65" s="154">
        <v>403.45626831054687</v>
      </c>
      <c r="S65" s="155">
        <v>101.37264989799587</v>
      </c>
      <c r="T65" s="152">
        <v>180</v>
      </c>
      <c r="U65" s="156">
        <v>3.9791049957275391</v>
      </c>
      <c r="V65" s="178">
        <v>17</v>
      </c>
      <c r="W65" s="179">
        <v>1250</v>
      </c>
      <c r="X65" s="155">
        <v>94565.049580484629</v>
      </c>
      <c r="Y65" s="155">
        <v>11662.139254661277</v>
      </c>
      <c r="Z65" s="155">
        <v>337.46099853515625</v>
      </c>
      <c r="AA65" s="155">
        <v>11.88216495513916</v>
      </c>
      <c r="AB65" s="155">
        <v>15.545929908752441</v>
      </c>
      <c r="AC65" s="215">
        <v>37</v>
      </c>
      <c r="AD65" s="215">
        <v>29.738265991210938</v>
      </c>
      <c r="AE65" s="254">
        <v>20</v>
      </c>
      <c r="AF65" s="254">
        <v>10</v>
      </c>
      <c r="AG65" s="217">
        <v>5000000</v>
      </c>
      <c r="AH65" s="218">
        <v>300000</v>
      </c>
      <c r="AI65" s="219">
        <v>5000000</v>
      </c>
      <c r="AJ65" s="225">
        <f t="shared" si="179"/>
        <v>300000</v>
      </c>
      <c r="AK65" s="220">
        <v>2750000</v>
      </c>
      <c r="AL65" s="226">
        <f t="shared" si="180"/>
        <v>300000</v>
      </c>
      <c r="AM65" s="221">
        <v>14.407</v>
      </c>
      <c r="BK65" s="283"/>
      <c r="BM65" s="197">
        <f t="shared" si="181"/>
        <v>7.2617340087890625</v>
      </c>
      <c r="BN65" s="196">
        <f t="shared" si="182"/>
        <v>180</v>
      </c>
      <c r="BO65" s="197">
        <f t="shared" si="183"/>
        <v>3.6637649536132812</v>
      </c>
      <c r="BP65" s="196">
        <f t="shared" si="294"/>
        <v>12.687367432605322</v>
      </c>
      <c r="BQ65" s="115">
        <f t="shared" si="184"/>
        <v>659.74492511188635</v>
      </c>
      <c r="BR65" s="184">
        <f t="shared" si="185"/>
        <v>1.0041987768</v>
      </c>
      <c r="BS65" s="115">
        <f t="shared" si="186"/>
        <v>6863.8528613899143</v>
      </c>
      <c r="BT65" s="196">
        <v>900</v>
      </c>
      <c r="BU65" s="115">
        <f t="shared" si="288"/>
        <v>1.1850729520000001</v>
      </c>
      <c r="BV65" s="115">
        <f t="shared" si="269"/>
        <v>1.0736800143992282</v>
      </c>
      <c r="BW65" s="115">
        <f t="shared" si="270"/>
        <v>478.0258061251368</v>
      </c>
      <c r="BX65" s="115">
        <f t="shared" si="187"/>
        <v>1149.9681362153342</v>
      </c>
      <c r="BY65" s="115"/>
      <c r="BZ65" s="115">
        <f t="shared" si="188"/>
        <v>671.9423300901974</v>
      </c>
      <c r="CA65" s="115">
        <f t="shared" si="189"/>
        <v>10889.902975165583</v>
      </c>
      <c r="CB65" s="115">
        <f t="shared" si="190"/>
        <v>3270.4029167133071</v>
      </c>
      <c r="CC65" s="115">
        <f t="shared" si="191"/>
        <v>1130.0838309830676</v>
      </c>
      <c r="CD65" s="129">
        <f t="shared" si="271"/>
        <v>0.22328398879594324</v>
      </c>
      <c r="CE65" s="115">
        <f t="shared" si="192"/>
        <v>19.85064697265625</v>
      </c>
      <c r="CF65" s="115">
        <f t="shared" si="193"/>
        <v>28.159069416109965</v>
      </c>
      <c r="CG65" s="115">
        <f t="shared" si="194"/>
        <v>0.02</v>
      </c>
      <c r="CH65" s="115">
        <f t="shared" si="195"/>
        <v>0.05</v>
      </c>
      <c r="CI65" s="136">
        <v>30</v>
      </c>
      <c r="CJ65" s="115">
        <f t="shared" si="257"/>
        <v>165</v>
      </c>
      <c r="CK65" s="115">
        <f t="shared" si="196"/>
        <v>453</v>
      </c>
      <c r="CL65" s="115">
        <f t="shared" si="197"/>
        <v>676.45626831054687</v>
      </c>
      <c r="CM65" s="115">
        <f t="shared" ca="1" si="198"/>
        <v>2816.5993052117487</v>
      </c>
      <c r="CN65" s="115">
        <f t="shared" ca="1" si="258"/>
        <v>125.80344444444444</v>
      </c>
      <c r="CO65" s="115">
        <f t="shared" ca="1" si="259"/>
        <v>690.58718083896258</v>
      </c>
      <c r="CP65" s="115">
        <f t="shared" ca="1" si="260"/>
        <v>2790.6388281929471</v>
      </c>
      <c r="CQ65" s="115">
        <f t="shared" si="272"/>
        <v>1.072449112508886</v>
      </c>
      <c r="CR65" s="115">
        <f t="shared" ca="1" si="199"/>
        <v>655.4723545396522</v>
      </c>
      <c r="CS65" s="115">
        <f t="shared" ca="1" si="200"/>
        <v>32.443225688110019</v>
      </c>
      <c r="CT65" s="115">
        <f t="shared" si="273"/>
        <v>1.1251863695318027</v>
      </c>
      <c r="CU65" s="115">
        <f t="shared" ca="1" si="274"/>
        <v>1.0216105056067037</v>
      </c>
      <c r="CV65" s="115">
        <f t="shared" si="108"/>
        <v>198.9423300901974</v>
      </c>
      <c r="CW65" s="115">
        <f t="shared" si="261"/>
        <v>473</v>
      </c>
      <c r="CX65" s="115">
        <f t="shared" si="262"/>
        <v>438</v>
      </c>
      <c r="CY65" s="115">
        <f t="shared" ca="1" si="275"/>
        <v>440.55677431188997</v>
      </c>
      <c r="CZ65" s="115">
        <f t="shared" ca="1" si="263"/>
        <v>235.89949399865691</v>
      </c>
      <c r="DA65" s="115">
        <v>0.21890000000000001</v>
      </c>
      <c r="DB65" s="115">
        <v>2.7E-2</v>
      </c>
      <c r="DC65" s="115">
        <v>1.06</v>
      </c>
      <c r="DD65" s="138">
        <f t="shared" si="201"/>
        <v>11.837838302634971</v>
      </c>
      <c r="DE65" s="138">
        <f t="shared" si="276"/>
        <v>11.837838302634971</v>
      </c>
      <c r="DF65" s="115">
        <f t="shared" si="264"/>
        <v>676.45626831054687</v>
      </c>
      <c r="DG65" s="115">
        <v>671.9423300901974</v>
      </c>
      <c r="DH65" s="115">
        <f t="shared" si="277"/>
        <v>1.1251863695318027</v>
      </c>
      <c r="DI65" s="115">
        <f t="shared" si="299"/>
        <v>1.1239729748764646</v>
      </c>
      <c r="DJ65" s="138">
        <f t="shared" si="202"/>
        <v>2.899268174454702</v>
      </c>
      <c r="DK65" s="138">
        <f t="shared" si="203"/>
        <v>2.841742200816209</v>
      </c>
      <c r="DL65" s="115">
        <f t="shared" si="278"/>
        <v>676.45626831054687</v>
      </c>
      <c r="DM65" s="115">
        <f t="shared" si="293"/>
        <v>671.9423300901974</v>
      </c>
      <c r="DN65" s="115">
        <f t="shared" si="300"/>
        <v>12.802707136538098</v>
      </c>
      <c r="DO65" s="115">
        <f t="shared" si="301"/>
        <v>1.1251863695318027</v>
      </c>
      <c r="DP65" s="115">
        <f t="shared" si="292"/>
        <v>1.1239729748764646</v>
      </c>
      <c r="DQ65" s="115">
        <v>298.14999999999998</v>
      </c>
      <c r="DR65" s="138">
        <f t="shared" si="302"/>
        <v>1.9309126041868316</v>
      </c>
      <c r="DS65" s="138">
        <f t="shared" si="303"/>
        <v>1.8926003057435956</v>
      </c>
      <c r="DT65" s="115">
        <f t="shared" si="289"/>
        <v>676.45626831054687</v>
      </c>
      <c r="DU65" s="139">
        <f t="shared" si="118"/>
        <v>6.4205768522578435</v>
      </c>
      <c r="DV65" s="115">
        <f t="shared" si="279"/>
        <v>1.1251863695318027</v>
      </c>
      <c r="DW65" s="115">
        <v>298.14999999999998</v>
      </c>
      <c r="DX65" s="138">
        <f t="shared" si="204"/>
        <v>0.96835557026787022</v>
      </c>
      <c r="DY65" s="138">
        <f t="shared" si="205"/>
        <v>0.94914189507261382</v>
      </c>
      <c r="DZ65" s="138">
        <f t="shared" si="290"/>
        <v>3.2704029167133073</v>
      </c>
      <c r="EA65" s="138">
        <f t="shared" si="280"/>
        <v>4.0260501137756695</v>
      </c>
      <c r="EB65" s="115">
        <f t="shared" si="291"/>
        <v>28.159069416109965</v>
      </c>
      <c r="EC65" s="115">
        <v>30</v>
      </c>
      <c r="ED65" s="198">
        <f t="shared" ca="1" si="265"/>
        <v>125.80344444444444</v>
      </c>
      <c r="EE65" s="198">
        <v>104.83</v>
      </c>
      <c r="EF65" s="198">
        <f t="shared" ca="1" si="295"/>
        <v>0.42491111111111107</v>
      </c>
      <c r="EG65" s="199">
        <v>0.36720000000000003</v>
      </c>
      <c r="EH65" s="138">
        <f t="shared" ca="1" si="304"/>
        <v>0.10607174153859204</v>
      </c>
      <c r="EI65" s="138">
        <f t="shared" ca="1" si="281"/>
        <v>0.10607174153859204</v>
      </c>
      <c r="EJ65" s="115">
        <f t="shared" si="296"/>
        <v>12.802707136538098</v>
      </c>
      <c r="EK65" s="115">
        <v>435</v>
      </c>
      <c r="EL65" s="115">
        <f t="shared" ca="1" si="297"/>
        <v>440.55677431188997</v>
      </c>
      <c r="EM65" s="115">
        <f t="shared" ca="1" si="305"/>
        <v>1.0629171866749623</v>
      </c>
      <c r="EN65" s="115">
        <f t="shared" ca="1" si="306"/>
        <v>1.0646258953165597</v>
      </c>
      <c r="EO65" s="115">
        <v>298.14999999999998</v>
      </c>
      <c r="EP65" s="138">
        <f t="shared" ca="1" si="307"/>
        <v>0.32964602534282711</v>
      </c>
      <c r="EQ65" s="138">
        <f t="shared" ca="1" si="308"/>
        <v>0.35433214899364757</v>
      </c>
      <c r="ER65" s="115">
        <f t="shared" si="282"/>
        <v>1.1053069432576499</v>
      </c>
      <c r="ES65" s="115">
        <f t="shared" si="298"/>
        <v>453</v>
      </c>
      <c r="ET65" s="115">
        <f t="shared" ca="1" si="206"/>
        <v>2816.5993052117487</v>
      </c>
      <c r="EU65" s="115">
        <f t="shared" ca="1" si="207"/>
        <v>6.5855309782608691</v>
      </c>
      <c r="EV65" s="138">
        <f t="shared" ca="1" si="309"/>
        <v>0.9481034739903873</v>
      </c>
      <c r="EW65" s="138">
        <f t="shared" ca="1" si="208"/>
        <v>1.0700884154079189</v>
      </c>
      <c r="EX65" s="115">
        <v>21.47</v>
      </c>
      <c r="EY65" s="115">
        <f t="shared" ca="1" si="209"/>
        <v>124.54239186943902</v>
      </c>
      <c r="EZ65" s="115">
        <f t="shared" ca="1" si="210"/>
        <v>0.42126137576633027</v>
      </c>
      <c r="FA65" s="138">
        <f t="shared" ca="1" si="310"/>
        <v>7.7163022940673329E-2</v>
      </c>
      <c r="FB65" s="138">
        <f t="shared" ca="1" si="283"/>
        <v>7.7163022940673329E-2</v>
      </c>
      <c r="FC65" s="115">
        <f t="shared" si="266"/>
        <v>21.47</v>
      </c>
      <c r="FD65" s="115">
        <v>37</v>
      </c>
      <c r="FE65" s="115">
        <f t="shared" ca="1" si="267"/>
        <v>154.93355555555553</v>
      </c>
      <c r="FF65" s="115">
        <f t="shared" ca="1" si="268"/>
        <v>0.52252222222222222</v>
      </c>
      <c r="FG65" s="138">
        <f t="shared" ca="1" si="311"/>
        <v>8.1462225449999703E-2</v>
      </c>
      <c r="FH65" s="138">
        <f t="shared" ca="1" si="312"/>
        <v>8.1462225449999703E-2</v>
      </c>
      <c r="FI65" s="115">
        <f t="shared" si="284"/>
        <v>94.489079589843755</v>
      </c>
      <c r="FJ65" s="115">
        <f t="shared" ca="1" si="211"/>
        <v>49.812625022252405</v>
      </c>
      <c r="FK65" s="115">
        <f t="shared" ca="1" si="212"/>
        <v>0.17226796687444051</v>
      </c>
      <c r="FL65" s="138">
        <f t="shared" ca="1" si="313"/>
        <v>0.29306834016031402</v>
      </c>
      <c r="FM65" s="138">
        <f t="shared" ca="1" si="213"/>
        <v>0.57877534534766384</v>
      </c>
      <c r="FN65" s="115">
        <f t="shared" si="285"/>
        <v>94.489079589843755</v>
      </c>
      <c r="FO65" s="115">
        <f t="shared" ca="1" si="214"/>
        <v>65.145888438118831</v>
      </c>
      <c r="FP65" s="115">
        <f t="shared" ca="1" si="215"/>
        <v>0.22335713372760349</v>
      </c>
      <c r="FQ65" s="138">
        <f t="shared" ca="1" si="314"/>
        <v>0.30261441299694891</v>
      </c>
      <c r="FR65" s="138">
        <f t="shared" ca="1" si="216"/>
        <v>0.59762771131703118</v>
      </c>
      <c r="FS65" s="139">
        <f t="shared" ref="FS65:FS83" si="315">(DD65-DJ65)-DZ65</f>
        <v>5.6681672114669617</v>
      </c>
      <c r="FT65" s="249">
        <f t="shared" ref="FT65:FT105" si="316">(DE65-DK65)-EA65</f>
        <v>4.9700459880430916</v>
      </c>
      <c r="FU65" s="139">
        <f t="shared" ref="FU65:FU83" ca="1" si="317">(DR65+EH65)-(EP65+EV65)</f>
        <v>0.75923484639220939</v>
      </c>
      <c r="FV65" s="249">
        <f t="shared" ref="FV65:FV105" ca="1" si="318">(DS65+EI65)-(EQ65+EW65)</f>
        <v>0.57425148288062133</v>
      </c>
      <c r="FW65" s="139">
        <f t="shared" ca="1" si="286"/>
        <v>0.95335034431769561</v>
      </c>
      <c r="FX65" s="249">
        <f t="shared" ref="FX65:FX105" ca="1" si="319">(EW65+FB65+FR65)-(FH65+FM65)</f>
        <v>1.0846415788679598</v>
      </c>
      <c r="FY65" s="249">
        <f t="shared" si="219"/>
        <v>0.15000000000000002</v>
      </c>
      <c r="FZ65" s="139">
        <f t="shared" si="220"/>
        <v>1050000</v>
      </c>
      <c r="GA65" s="139">
        <f t="shared" ref="GA65:GA105" si="320">FZ65/(8640*3600)</f>
        <v>3.3757716049382713E-2</v>
      </c>
      <c r="GB65" s="139">
        <f t="shared" si="138"/>
        <v>121.52777777777777</v>
      </c>
      <c r="GC65" s="139">
        <f t="shared" si="221"/>
        <v>1050000</v>
      </c>
      <c r="GD65" s="139">
        <f t="shared" si="139"/>
        <v>6.7515432098765427E-2</v>
      </c>
      <c r="GE65" s="139">
        <f t="shared" si="140"/>
        <v>243.05555555555554</v>
      </c>
      <c r="GF65" s="139">
        <f t="shared" si="141"/>
        <v>4.5814043209876545E-2</v>
      </c>
      <c r="GG65" s="139">
        <f t="shared" si="222"/>
        <v>712500</v>
      </c>
      <c r="GH65" s="139">
        <f t="shared" si="142"/>
        <v>164.93055555555554</v>
      </c>
      <c r="GI65" s="137">
        <f t="shared" si="223"/>
        <v>49.698982059807221</v>
      </c>
      <c r="GJ65" s="137">
        <f t="shared" ref="GJ65:GJ105" si="321">GI65/277.77777777778</f>
        <v>0.17891633541530458</v>
      </c>
      <c r="GK65" s="251">
        <f t="shared" si="224"/>
        <v>40.576860190913223</v>
      </c>
      <c r="GL65" s="137">
        <f t="shared" si="164"/>
        <v>0.14607669668728643</v>
      </c>
      <c r="GM65" s="137">
        <f t="shared" ca="1" si="225"/>
        <v>9.235441069228596</v>
      </c>
      <c r="GN65" s="137">
        <f t="shared" ref="GN65:GN105" ca="1" si="322">GM65/277.77777777778</f>
        <v>3.324758784922268E-2</v>
      </c>
      <c r="GO65" s="137">
        <f t="shared" ca="1" si="145"/>
        <v>0.11690431733200662</v>
      </c>
      <c r="GP65" s="137">
        <f t="shared" ca="1" si="226"/>
        <v>9.9105072010926758</v>
      </c>
      <c r="GQ65" s="137">
        <f t="shared" ref="GQ65:GQ105" ca="1" si="323">GP65/277.77777777778</f>
        <v>3.567782592393335E-2</v>
      </c>
      <c r="GR65" s="137">
        <f t="shared" ca="1" si="147"/>
        <v>0.12544945824167844</v>
      </c>
      <c r="GS65" s="140">
        <f t="shared" si="227"/>
        <v>8.1661285015604518E-2</v>
      </c>
      <c r="GT65" s="140">
        <f t="shared" si="228"/>
        <v>7.1603452549736823E-2</v>
      </c>
      <c r="GU65" s="140">
        <f t="shared" si="287"/>
        <v>293.98062605617628</v>
      </c>
      <c r="GV65" s="140">
        <f t="shared" ref="GV65:GV105" si="324">GT65*3600</f>
        <v>257.77242917905255</v>
      </c>
      <c r="GW65" s="141">
        <f t="shared" ca="1" si="229"/>
        <v>7.2849054236937246E-3</v>
      </c>
      <c r="GX65" s="141">
        <f t="shared" ca="1" si="230"/>
        <v>5.5099785818315001E-3</v>
      </c>
      <c r="GY65" s="141">
        <f t="shared" ref="GY65:GY105" ca="1" si="325">GW65*3600</f>
        <v>26.225659525297409</v>
      </c>
      <c r="GZ65" s="141">
        <f t="shared" ref="GZ65:GZ105" ca="1" si="326">GX65*3600</f>
        <v>19.835922894593402</v>
      </c>
      <c r="HA65" s="141">
        <f t="shared" ca="1" si="231"/>
        <v>1.7395443030972971E-2</v>
      </c>
      <c r="HB65" s="141">
        <f t="shared" ca="1" si="232"/>
        <v>1.6606631101658675E-2</v>
      </c>
      <c r="HC65" s="141">
        <f t="shared" ref="HC65:HC83" ca="1" si="327">HA65*3600</f>
        <v>62.623594911502693</v>
      </c>
      <c r="HD65" s="141">
        <f t="shared" ref="HD65:HD105" ca="1" si="328">HB65*3600</f>
        <v>59.78387196597123</v>
      </c>
      <c r="HE65" s="137">
        <f t="shared" si="153"/>
        <v>8.9385701281802685</v>
      </c>
      <c r="HF65" s="250">
        <f t="shared" si="154"/>
        <v>8.9960961018187611</v>
      </c>
      <c r="HG65" s="137">
        <v>3.2704029167133073</v>
      </c>
      <c r="HH65" s="251">
        <v>3.9232181146960432</v>
      </c>
      <c r="HI65" s="137">
        <f t="shared" ca="1" si="155"/>
        <v>1.5765804551931841</v>
      </c>
      <c r="HJ65" s="251">
        <f t="shared" ca="1" si="156"/>
        <v>1.5382681567499481</v>
      </c>
      <c r="HK65" s="137">
        <f t="shared" ca="1" si="157"/>
        <v>0.8420317324517953</v>
      </c>
      <c r="HL65" s="251">
        <f t="shared" ca="1" si="158"/>
        <v>0.96401667386932688</v>
      </c>
      <c r="HM65" s="137">
        <f t="shared" ca="1" si="159"/>
        <v>0.9481034739903873</v>
      </c>
      <c r="HN65" s="251">
        <f t="shared" ca="1" si="160"/>
        <v>1.0700884154079189</v>
      </c>
      <c r="HO65" s="137">
        <f t="shared" ca="1" si="161"/>
        <v>0.29306834016031402</v>
      </c>
      <c r="HP65" s="251">
        <f t="shared" ca="1" si="162"/>
        <v>0.57877534534766384</v>
      </c>
      <c r="JN65" s="143">
        <f t="shared" si="234"/>
        <v>19.223283988795941</v>
      </c>
      <c r="JO65" s="143">
        <f t="shared" si="235"/>
        <v>3270.4029167133071</v>
      </c>
      <c r="JP65" s="143">
        <f t="shared" si="236"/>
        <v>4026.0501137756692</v>
      </c>
      <c r="JQ65" s="143">
        <f t="shared" si="237"/>
        <v>1.1053069432576499</v>
      </c>
      <c r="JR65" s="143">
        <f t="shared" ca="1" si="238"/>
        <v>1.2475180061010314</v>
      </c>
      <c r="JS65" s="143">
        <f t="shared" si="239"/>
        <v>94.489079589843755</v>
      </c>
      <c r="JT65" s="143">
        <f t="shared" ca="1" si="240"/>
        <v>186.60476816185383</v>
      </c>
      <c r="JU65" s="143">
        <f t="shared" si="256"/>
        <v>0.29284291634093979</v>
      </c>
      <c r="JV65" s="143">
        <f t="shared" si="241"/>
        <v>0.36050611703762553</v>
      </c>
      <c r="JW65" s="143">
        <f t="shared" ca="1" si="242"/>
        <v>0.26584841028413664</v>
      </c>
      <c r="JX65" s="143">
        <f t="shared" ca="1" si="243"/>
        <v>0.30005301309817833</v>
      </c>
      <c r="JY65" s="143">
        <f t="shared" si="244"/>
        <v>0.64264716140352562</v>
      </c>
      <c r="JZ65" s="143">
        <f t="shared" si="245"/>
        <v>0.97720623833005416</v>
      </c>
      <c r="KA65" s="143">
        <f t="shared" si="246"/>
        <v>0.27626690220843381</v>
      </c>
      <c r="KB65" s="143">
        <f t="shared" si="247"/>
        <v>0.34010011041285432</v>
      </c>
      <c r="KC65" s="143">
        <f t="shared" ca="1" si="248"/>
        <v>0.52585356091031366</v>
      </c>
      <c r="KD65" s="143">
        <f t="shared" ca="1" si="249"/>
        <v>0.6266896117163997</v>
      </c>
      <c r="KE65" s="143">
        <f t="shared" ca="1" si="250"/>
        <v>0.54086684521954576</v>
      </c>
      <c r="KF65" s="143">
        <f t="shared" ca="1" si="251"/>
        <v>0.30911007943768531</v>
      </c>
      <c r="KG65" s="142">
        <f t="shared" si="252"/>
        <v>0.14607669668728643</v>
      </c>
      <c r="KH65" s="142">
        <f t="shared" ca="1" si="253"/>
        <v>0.12544945824167844</v>
      </c>
      <c r="KI65" s="142">
        <f t="shared" ca="1" si="254"/>
        <v>382.82988049297637</v>
      </c>
      <c r="KJ65" s="142">
        <f t="shared" ca="1" si="255"/>
        <v>337.39222403961719</v>
      </c>
    </row>
    <row r="66" spans="1:296" x14ac:dyDescent="0.3">
      <c r="A66" s="201">
        <v>41373</v>
      </c>
      <c r="B66" s="196">
        <v>67</v>
      </c>
      <c r="C66" s="179">
        <v>24</v>
      </c>
      <c r="D66" s="179">
        <v>4.2</v>
      </c>
      <c r="E66" s="179">
        <v>50016</v>
      </c>
      <c r="F66" s="179">
        <v>300</v>
      </c>
      <c r="G66" s="179">
        <v>11.7</v>
      </c>
      <c r="H66" s="179">
        <v>0.85</v>
      </c>
      <c r="I66" s="179">
        <v>1.4</v>
      </c>
      <c r="J66" s="179">
        <v>1.33</v>
      </c>
      <c r="K66" s="179">
        <v>0.91</v>
      </c>
      <c r="L66" s="152">
        <v>27312.947078950703</v>
      </c>
      <c r="M66" s="156">
        <v>19</v>
      </c>
      <c r="N66" s="153">
        <v>79064.238609611988</v>
      </c>
      <c r="O66" s="178">
        <v>17</v>
      </c>
      <c r="P66" s="179">
        <v>2</v>
      </c>
      <c r="Q66" s="179">
        <v>5</v>
      </c>
      <c r="R66" s="154">
        <v>394.5443115234375</v>
      </c>
      <c r="S66" s="155">
        <v>106.00735573790735</v>
      </c>
      <c r="T66" s="152">
        <v>180</v>
      </c>
      <c r="U66" s="156">
        <v>4.3227782249450684</v>
      </c>
      <c r="V66" s="178">
        <v>17</v>
      </c>
      <c r="W66" s="179">
        <v>1250</v>
      </c>
      <c r="X66" s="155">
        <v>20791.272518709302</v>
      </c>
      <c r="Y66" s="155">
        <v>2895.4471085444093</v>
      </c>
      <c r="Z66" s="155">
        <v>89.972526550292969</v>
      </c>
      <c r="AA66" s="155">
        <v>24.267608642578125</v>
      </c>
      <c r="AB66" s="155">
        <v>24.75337028503418</v>
      </c>
      <c r="AC66" s="215">
        <v>37</v>
      </c>
      <c r="AD66" s="215">
        <v>30.300613403320313</v>
      </c>
      <c r="AE66" s="254">
        <v>20</v>
      </c>
      <c r="AF66" s="254">
        <v>10</v>
      </c>
      <c r="AG66" s="217">
        <v>5000000</v>
      </c>
      <c r="AH66" s="218">
        <v>300000</v>
      </c>
      <c r="AI66" s="219">
        <v>5000000</v>
      </c>
      <c r="AJ66" s="225">
        <f t="shared" si="179"/>
        <v>300000</v>
      </c>
      <c r="AK66" s="220">
        <v>2750000</v>
      </c>
      <c r="AL66" s="226">
        <f t="shared" si="180"/>
        <v>300000</v>
      </c>
      <c r="AM66" s="221">
        <v>14.407</v>
      </c>
      <c r="BM66" s="197">
        <f t="shared" si="181"/>
        <v>6.6993865966796875</v>
      </c>
      <c r="BN66" s="196">
        <f t="shared" si="182"/>
        <v>180</v>
      </c>
      <c r="BO66" s="197">
        <f t="shared" si="183"/>
        <v>0.48576164245605469</v>
      </c>
      <c r="BP66" s="196">
        <f t="shared" si="294"/>
        <v>12.688404878527486</v>
      </c>
      <c r="BQ66" s="115">
        <f t="shared" si="184"/>
        <v>659.74492511188635</v>
      </c>
      <c r="BR66" s="184">
        <f t="shared" si="185"/>
        <v>1.0041987768</v>
      </c>
      <c r="BS66" s="115">
        <f t="shared" si="186"/>
        <v>6863.8528613899143</v>
      </c>
      <c r="BT66" s="196">
        <v>900</v>
      </c>
      <c r="BU66" s="115">
        <f t="shared" si="288"/>
        <v>1.1850729520000001</v>
      </c>
      <c r="BV66" s="115">
        <f t="shared" si="269"/>
        <v>1.0740281341701261</v>
      </c>
      <c r="BW66" s="115">
        <f t="shared" si="270"/>
        <v>479.44360251057446</v>
      </c>
      <c r="BX66" s="115">
        <f t="shared" si="187"/>
        <v>1153.3788739746838</v>
      </c>
      <c r="BY66" s="115"/>
      <c r="BZ66" s="115">
        <f t="shared" si="188"/>
        <v>673.93527146410929</v>
      </c>
      <c r="CA66" s="115">
        <f t="shared" si="189"/>
        <v>10923.094894321912</v>
      </c>
      <c r="CB66" s="115">
        <f t="shared" si="190"/>
        <v>3294.3432754004994</v>
      </c>
      <c r="CC66" s="115">
        <f t="shared" si="191"/>
        <v>1138.039461622946</v>
      </c>
      <c r="CD66" s="129">
        <f t="shared" si="271"/>
        <v>0.22485587655679545</v>
      </c>
      <c r="CE66" s="115">
        <f t="shared" si="192"/>
        <v>5.2925015617819398</v>
      </c>
      <c r="CF66" s="115">
        <f t="shared" si="193"/>
        <v>29.446487704974263</v>
      </c>
      <c r="CG66" s="115">
        <f t="shared" si="194"/>
        <v>0.02</v>
      </c>
      <c r="CH66" s="115">
        <f t="shared" si="195"/>
        <v>0.05</v>
      </c>
      <c r="CI66" s="136">
        <v>30</v>
      </c>
      <c r="CJ66" s="115">
        <f t="shared" si="257"/>
        <v>165</v>
      </c>
      <c r="CK66" s="115">
        <f t="shared" si="196"/>
        <v>453</v>
      </c>
      <c r="CL66" s="115">
        <f t="shared" si="197"/>
        <v>667.5443115234375</v>
      </c>
      <c r="CM66" s="115">
        <f t="shared" ca="1" si="198"/>
        <v>2816.5993052117487</v>
      </c>
      <c r="CN66" s="115">
        <f t="shared" ca="1" si="258"/>
        <v>125.80344444444444</v>
      </c>
      <c r="CO66" s="115">
        <f t="shared" ca="1" si="259"/>
        <v>690.58718083896258</v>
      </c>
      <c r="CP66" s="115">
        <f t="shared" ca="1" si="260"/>
        <v>2790.6388281929471</v>
      </c>
      <c r="CQ66" s="115">
        <f t="shared" si="272"/>
        <v>1.072449112508886</v>
      </c>
      <c r="CR66" s="115">
        <f t="shared" ca="1" si="199"/>
        <v>712.08516093439061</v>
      </c>
      <c r="CS66" s="115">
        <f t="shared" ca="1" si="200"/>
        <v>35.24244844456809</v>
      </c>
      <c r="CT66" s="115">
        <f t="shared" si="273"/>
        <v>1.1227916991283908</v>
      </c>
      <c r="CU66" s="115">
        <f t="shared" ca="1" si="274"/>
        <v>1.0205322788471998</v>
      </c>
      <c r="CV66" s="115">
        <f t="shared" si="108"/>
        <v>200.93527146410929</v>
      </c>
      <c r="CW66" s="115">
        <f t="shared" si="261"/>
        <v>473</v>
      </c>
      <c r="CX66" s="115">
        <f t="shared" si="262"/>
        <v>438</v>
      </c>
      <c r="CY66" s="115">
        <f t="shared" ca="1" si="275"/>
        <v>437.75755155543192</v>
      </c>
      <c r="CZ66" s="115">
        <f t="shared" ca="1" si="263"/>
        <v>229.78675996800558</v>
      </c>
      <c r="DA66" s="115">
        <v>0.21890000000000001</v>
      </c>
      <c r="DB66" s="115">
        <v>2.7E-2</v>
      </c>
      <c r="DC66" s="115">
        <v>1.06</v>
      </c>
      <c r="DD66" s="138">
        <f t="shared" si="201"/>
        <v>11.921175013176562</v>
      </c>
      <c r="DE66" s="138">
        <f t="shared" si="276"/>
        <v>11.921175013176562</v>
      </c>
      <c r="DF66" s="115">
        <f t="shared" si="264"/>
        <v>667.5443115234375</v>
      </c>
      <c r="DG66" s="115">
        <v>673.93527146410929</v>
      </c>
      <c r="DH66" s="115">
        <f t="shared" si="277"/>
        <v>1.1227916991283908</v>
      </c>
      <c r="DI66" s="115">
        <f t="shared" si="299"/>
        <v>1.1245085798076133</v>
      </c>
      <c r="DJ66" s="138">
        <f t="shared" si="202"/>
        <v>2.7863159728794127</v>
      </c>
      <c r="DK66" s="138">
        <f t="shared" si="203"/>
        <v>2.8673244269569724</v>
      </c>
      <c r="DL66" s="115">
        <f t="shared" si="278"/>
        <v>667.5443115234375</v>
      </c>
      <c r="DM66" s="115">
        <f t="shared" si="293"/>
        <v>673.93527146410929</v>
      </c>
      <c r="DN66" s="115">
        <f t="shared" si="300"/>
        <v>12.803754013786826</v>
      </c>
      <c r="DO66" s="115">
        <f t="shared" si="301"/>
        <v>1.1227916991283908</v>
      </c>
      <c r="DP66" s="115">
        <f t="shared" si="292"/>
        <v>1.1245085798076133</v>
      </c>
      <c r="DQ66" s="115">
        <v>298.14999999999998</v>
      </c>
      <c r="DR66" s="138">
        <f t="shared" si="302"/>
        <v>1.8556864379376889</v>
      </c>
      <c r="DS66" s="138">
        <f t="shared" si="303"/>
        <v>1.9096380683533436</v>
      </c>
      <c r="DT66" s="115">
        <f t="shared" si="289"/>
        <v>667.5443115234375</v>
      </c>
      <c r="DU66" s="139">
        <f t="shared" si="118"/>
        <v>6.4211018627699694</v>
      </c>
      <c r="DV66" s="115">
        <f t="shared" si="279"/>
        <v>1.1227916991283908</v>
      </c>
      <c r="DW66" s="115">
        <v>298.14999999999998</v>
      </c>
      <c r="DX66" s="138">
        <f t="shared" si="204"/>
        <v>0.93062953494172385</v>
      </c>
      <c r="DY66" s="138">
        <f t="shared" si="205"/>
        <v>0.95768635860362872</v>
      </c>
      <c r="DZ66" s="138">
        <f t="shared" si="290"/>
        <v>3.2943432754004993</v>
      </c>
      <c r="EA66" s="138">
        <f t="shared" si="280"/>
        <v>4.0592420329319978</v>
      </c>
      <c r="EB66" s="115">
        <f t="shared" si="291"/>
        <v>29.446487704974263</v>
      </c>
      <c r="EC66" s="115">
        <v>30</v>
      </c>
      <c r="ED66" s="198">
        <f t="shared" ca="1" si="265"/>
        <v>125.80344444444444</v>
      </c>
      <c r="EE66" s="198">
        <v>104.83</v>
      </c>
      <c r="EF66" s="198">
        <f t="shared" ca="1" si="295"/>
        <v>0.42491111111111107</v>
      </c>
      <c r="EG66" s="199">
        <v>0.36720000000000003</v>
      </c>
      <c r="EH66" s="138">
        <f t="shared" ca="1" si="304"/>
        <v>0.11092128745115491</v>
      </c>
      <c r="EI66" s="138">
        <f t="shared" ca="1" si="281"/>
        <v>0.11092128745115491</v>
      </c>
      <c r="EJ66" s="115">
        <f t="shared" si="296"/>
        <v>12.803754013786826</v>
      </c>
      <c r="EK66" s="115">
        <v>435</v>
      </c>
      <c r="EL66" s="115">
        <f t="shared" ca="1" si="297"/>
        <v>437.75755155543192</v>
      </c>
      <c r="EM66" s="115">
        <f t="shared" ca="1" si="305"/>
        <v>1.0631154902490199</v>
      </c>
      <c r="EN66" s="115">
        <f t="shared" ca="1" si="306"/>
        <v>1.0639613435328343</v>
      </c>
      <c r="EO66" s="115">
        <v>298.14999999999998</v>
      </c>
      <c r="EP66" s="138">
        <f t="shared" ca="1" si="307"/>
        <v>0.32973448606809169</v>
      </c>
      <c r="EQ66" s="138">
        <f t="shared" ca="1" si="308"/>
        <v>0.34189605596744355</v>
      </c>
      <c r="ER66" s="115">
        <f t="shared" si="282"/>
        <v>1.200771729151408</v>
      </c>
      <c r="ES66" s="115">
        <f t="shared" si="298"/>
        <v>453</v>
      </c>
      <c r="ET66" s="115">
        <f t="shared" ca="1" si="206"/>
        <v>2816.5993052117487</v>
      </c>
      <c r="EU66" s="115">
        <f t="shared" ca="1" si="207"/>
        <v>6.5855309782608691</v>
      </c>
      <c r="EV66" s="138">
        <f t="shared" ca="1" si="309"/>
        <v>1.0299906779944268</v>
      </c>
      <c r="EW66" s="138">
        <f t="shared" ca="1" si="208"/>
        <v>1.0785961895624383</v>
      </c>
      <c r="EX66" s="115">
        <v>21.47</v>
      </c>
      <c r="EY66" s="115">
        <f t="shared" ca="1" si="209"/>
        <v>126.89587827216253</v>
      </c>
      <c r="EZ66" s="115">
        <f t="shared" ca="1" si="210"/>
        <v>0.42910299801296659</v>
      </c>
      <c r="FA66" s="138">
        <f t="shared" ca="1" si="310"/>
        <v>7.7495952431388043E-2</v>
      </c>
      <c r="FB66" s="138">
        <f t="shared" ca="1" si="283"/>
        <v>7.7495952431388043E-2</v>
      </c>
      <c r="FC66" s="115">
        <f t="shared" si="266"/>
        <v>21.47</v>
      </c>
      <c r="FD66" s="115">
        <v>37</v>
      </c>
      <c r="FE66" s="115">
        <f t="shared" ca="1" si="267"/>
        <v>154.93355555555553</v>
      </c>
      <c r="FF66" s="115">
        <f t="shared" ca="1" si="268"/>
        <v>0.52252222222222222</v>
      </c>
      <c r="FG66" s="138">
        <f t="shared" ca="1" si="311"/>
        <v>8.1462225449999703E-2</v>
      </c>
      <c r="FH66" s="138">
        <f t="shared" ca="1" si="312"/>
        <v>8.1462225449999703E-2</v>
      </c>
      <c r="FI66" s="115">
        <f t="shared" si="284"/>
        <v>25.192307434082032</v>
      </c>
      <c r="FJ66" s="115">
        <f t="shared" ca="1" si="211"/>
        <v>101.64708301459419</v>
      </c>
      <c r="FK66" s="115">
        <f t="shared" ca="1" si="212"/>
        <v>0.34497609829372827</v>
      </c>
      <c r="FL66" s="138">
        <f t="shared" ca="1" si="313"/>
        <v>8.6740623993547636E-2</v>
      </c>
      <c r="FM66" s="138">
        <f t="shared" ca="1" si="213"/>
        <v>4.9788746061017877</v>
      </c>
      <c r="FN66" s="115">
        <f t="shared" si="285"/>
        <v>25.192307434082032</v>
      </c>
      <c r="FO66" s="115">
        <f t="shared" ca="1" si="214"/>
        <v>103.6800494617886</v>
      </c>
      <c r="FP66" s="115">
        <f t="shared" ca="1" si="215"/>
        <v>0.35174977453019884</v>
      </c>
      <c r="FQ66" s="138">
        <f t="shared" ca="1" si="314"/>
        <v>8.7078071860297007E-2</v>
      </c>
      <c r="FR66" s="138">
        <f t="shared" ca="1" si="216"/>
        <v>4.9982439688904003</v>
      </c>
      <c r="FS66" s="139">
        <f t="shared" si="315"/>
        <v>5.8405157648966499</v>
      </c>
      <c r="FT66" s="249">
        <f t="shared" si="316"/>
        <v>4.9946085532875912</v>
      </c>
      <c r="FU66" s="139">
        <f t="shared" ca="1" si="317"/>
        <v>0.60688256132632534</v>
      </c>
      <c r="FV66" s="249">
        <f t="shared" ca="1" si="318"/>
        <v>0.60006711027461646</v>
      </c>
      <c r="FW66" s="139">
        <f t="shared" ca="1" si="286"/>
        <v>1.0263618528425646</v>
      </c>
      <c r="FX66" s="249">
        <f t="shared" ca="1" si="319"/>
        <v>1.09399927933244</v>
      </c>
      <c r="FY66" s="249">
        <f t="shared" si="219"/>
        <v>0.15000000000000002</v>
      </c>
      <c r="FZ66" s="139">
        <f t="shared" si="220"/>
        <v>1050000</v>
      </c>
      <c r="GA66" s="139">
        <f t="shared" si="320"/>
        <v>3.3757716049382713E-2</v>
      </c>
      <c r="GB66" s="139">
        <f t="shared" si="138"/>
        <v>121.52777777777777</v>
      </c>
      <c r="GC66" s="139">
        <f t="shared" si="221"/>
        <v>1050000</v>
      </c>
      <c r="GD66" s="139">
        <f t="shared" si="139"/>
        <v>6.7515432098765427E-2</v>
      </c>
      <c r="GE66" s="139">
        <f t="shared" si="140"/>
        <v>243.05555555555554</v>
      </c>
      <c r="GF66" s="139">
        <f t="shared" si="141"/>
        <v>4.5814043209876545E-2</v>
      </c>
      <c r="GG66" s="139">
        <f t="shared" si="222"/>
        <v>712500</v>
      </c>
      <c r="GH66" s="139">
        <f t="shared" si="142"/>
        <v>164.93055555555554</v>
      </c>
      <c r="GI66" s="137">
        <f t="shared" si="223"/>
        <v>50.196235309703788</v>
      </c>
      <c r="GJ66" s="137">
        <f t="shared" si="321"/>
        <v>0.18070644711493219</v>
      </c>
      <c r="GK66" s="251">
        <f t="shared" si="224"/>
        <v>40.450049569093785</v>
      </c>
      <c r="GL66" s="137">
        <f t="shared" ref="GL66:GL105" si="329">GK66/277.77777777778</f>
        <v>0.14562017844873648</v>
      </c>
      <c r="GM66" s="137">
        <f t="shared" ca="1" si="225"/>
        <v>5.9444024938419089</v>
      </c>
      <c r="GN66" s="137">
        <f t="shared" ca="1" si="322"/>
        <v>2.1399848977830701E-2</v>
      </c>
      <c r="GO66" s="137">
        <f t="shared" ca="1" si="145"/>
        <v>7.5245601187871672E-2</v>
      </c>
      <c r="GP66" s="137">
        <f t="shared" ca="1" si="226"/>
        <v>10.588187036507922</v>
      </c>
      <c r="GQ66" s="137">
        <f t="shared" ca="1" si="323"/>
        <v>3.8117473331428217E-2</v>
      </c>
      <c r="GR66" s="137">
        <f t="shared" ca="1" si="147"/>
        <v>0.13402768400642834</v>
      </c>
      <c r="GS66" s="140">
        <f t="shared" si="227"/>
        <v>8.4144310624866048E-2</v>
      </c>
      <c r="GT66" s="140">
        <f t="shared" si="228"/>
        <v>7.1957325427214322E-2</v>
      </c>
      <c r="GU66" s="140">
        <f t="shared" si="287"/>
        <v>302.91951824951775</v>
      </c>
      <c r="GV66" s="140">
        <f t="shared" si="324"/>
        <v>259.04637153797154</v>
      </c>
      <c r="GW66" s="141">
        <f t="shared" ca="1" si="229"/>
        <v>5.8230758026448937E-3</v>
      </c>
      <c r="GX66" s="141">
        <f t="shared" ca="1" si="230"/>
        <v>5.7576811272457814E-3</v>
      </c>
      <c r="GY66" s="141">
        <f t="shared" ca="1" si="325"/>
        <v>20.963072889521616</v>
      </c>
      <c r="GZ66" s="141">
        <f t="shared" ca="1" si="326"/>
        <v>20.727652058084814</v>
      </c>
      <c r="HA66" s="141">
        <f t="shared" ca="1" si="231"/>
        <v>1.6350869195493525E-2</v>
      </c>
      <c r="HB66" s="141">
        <f t="shared" ca="1" si="232"/>
        <v>1.7006304103034279E-2</v>
      </c>
      <c r="HC66" s="141">
        <f t="shared" ca="1" si="327"/>
        <v>58.863129103776686</v>
      </c>
      <c r="HD66" s="141">
        <f t="shared" ca="1" si="328"/>
        <v>61.222694770923404</v>
      </c>
      <c r="HE66" s="137">
        <f t="shared" si="153"/>
        <v>9.1348590402971492</v>
      </c>
      <c r="HF66" s="250">
        <f t="shared" si="154"/>
        <v>9.053850586219589</v>
      </c>
      <c r="HG66" s="137">
        <v>3.2943432754004993</v>
      </c>
      <c r="HH66" s="251">
        <v>4.204846357470311</v>
      </c>
      <c r="HI66" s="137">
        <f t="shared" ca="1" si="155"/>
        <v>1.5137903819702454</v>
      </c>
      <c r="HJ66" s="251">
        <f t="shared" ca="1" si="156"/>
        <v>1.5677420123859001</v>
      </c>
      <c r="HK66" s="137">
        <f t="shared" ca="1" si="157"/>
        <v>0.91906939054327186</v>
      </c>
      <c r="HL66" s="251">
        <f t="shared" ca="1" si="158"/>
        <v>0.96767490211128337</v>
      </c>
      <c r="HM66" s="137">
        <f t="shared" ca="1" si="159"/>
        <v>1.0299906779944268</v>
      </c>
      <c r="HN66" s="251">
        <f t="shared" ca="1" si="160"/>
        <v>1.0785961895624383</v>
      </c>
      <c r="HO66" s="137">
        <f t="shared" ca="1" si="161"/>
        <v>8.6740623993547636E-2</v>
      </c>
      <c r="HP66" s="251">
        <f t="shared" ca="1" si="162"/>
        <v>4.9788746061017877</v>
      </c>
      <c r="JN66" s="143">
        <f t="shared" si="234"/>
        <v>19.224855876556795</v>
      </c>
      <c r="JO66" s="143">
        <f t="shared" si="235"/>
        <v>3294.3432754004994</v>
      </c>
      <c r="JP66" s="143">
        <f t="shared" si="236"/>
        <v>4059.2420329319975</v>
      </c>
      <c r="JQ66" s="143">
        <f t="shared" si="237"/>
        <v>1.200771729151408</v>
      </c>
      <c r="JR66" s="143">
        <f t="shared" ca="1" si="238"/>
        <v>1.257436440219915</v>
      </c>
      <c r="JS66" s="143">
        <f t="shared" si="239"/>
        <v>25.192307434082032</v>
      </c>
      <c r="JT66" s="143">
        <f t="shared" ca="1" si="240"/>
        <v>1446.0276393906345</v>
      </c>
      <c r="JU66" s="143">
        <f t="shared" si="256"/>
        <v>0.29292446995072147</v>
      </c>
      <c r="JV66" s="143">
        <f t="shared" si="241"/>
        <v>0.36093728597659247</v>
      </c>
      <c r="JW66" s="143">
        <f t="shared" ca="1" si="242"/>
        <v>0.28679463987725945</v>
      </c>
      <c r="JX66" s="143">
        <f t="shared" ca="1" si="243"/>
        <v>0.30032854895432126</v>
      </c>
      <c r="JY66" s="143">
        <f t="shared" si="244"/>
        <v>0.72570412285676078</v>
      </c>
      <c r="JZ66" s="143">
        <f t="shared" si="245"/>
        <v>7.5267202876851069E-2</v>
      </c>
      <c r="KA66" s="143">
        <f t="shared" si="246"/>
        <v>0.27634383957615233</v>
      </c>
      <c r="KB66" s="143">
        <f t="shared" si="247"/>
        <v>0.34050687356282311</v>
      </c>
      <c r="KC66" s="143">
        <f t="shared" ca="1" si="248"/>
        <v>0.602292483336207</v>
      </c>
      <c r="KD66" s="143">
        <f t="shared" ca="1" si="249"/>
        <v>0.61724116242736116</v>
      </c>
      <c r="KE66" s="143">
        <f t="shared" ca="1" si="250"/>
        <v>4.6160691594150753</v>
      </c>
      <c r="KF66" s="143">
        <f t="shared" ca="1" si="251"/>
        <v>8.4214960238714887E-2</v>
      </c>
      <c r="KG66" s="142">
        <f t="shared" si="252"/>
        <v>0.14562017844873648</v>
      </c>
      <c r="KH66" s="142">
        <f t="shared" ca="1" si="253"/>
        <v>0.13402768400642834</v>
      </c>
      <c r="KI66" s="142">
        <f t="shared" ca="1" si="254"/>
        <v>382.74572024281611</v>
      </c>
      <c r="KJ66" s="142">
        <f t="shared" ca="1" si="255"/>
        <v>340.99671836697974</v>
      </c>
    </row>
    <row r="67" spans="1:296" x14ac:dyDescent="0.3">
      <c r="A67" s="201">
        <v>41374</v>
      </c>
      <c r="B67" s="196">
        <v>68</v>
      </c>
      <c r="C67" s="179">
        <v>24</v>
      </c>
      <c r="D67" s="179">
        <v>4.2</v>
      </c>
      <c r="E67" s="179">
        <v>50016</v>
      </c>
      <c r="F67" s="179">
        <v>300</v>
      </c>
      <c r="G67" s="179">
        <v>11.7</v>
      </c>
      <c r="H67" s="179">
        <v>0.85</v>
      </c>
      <c r="I67" s="179">
        <v>1.4</v>
      </c>
      <c r="J67" s="179">
        <v>1.33</v>
      </c>
      <c r="K67" s="179">
        <v>0.91</v>
      </c>
      <c r="L67" s="152">
        <v>26430.476022228599</v>
      </c>
      <c r="M67" s="155">
        <v>19</v>
      </c>
      <c r="N67" s="153">
        <v>75458.525276876986</v>
      </c>
      <c r="O67" s="178">
        <v>17</v>
      </c>
      <c r="P67" s="179">
        <v>2</v>
      </c>
      <c r="Q67" s="179">
        <v>5</v>
      </c>
      <c r="R67" s="154">
        <v>396.54150390625</v>
      </c>
      <c r="S67" s="155">
        <v>96.840727149305167</v>
      </c>
      <c r="T67" s="152">
        <v>180</v>
      </c>
      <c r="U67" s="156">
        <v>3.8980345726013184</v>
      </c>
      <c r="V67" s="178">
        <v>17</v>
      </c>
      <c r="W67" s="179">
        <v>1250</v>
      </c>
      <c r="X67" s="155">
        <v>56380.435540780425</v>
      </c>
      <c r="Y67" s="155">
        <v>7613.4849876854569</v>
      </c>
      <c r="Z67" s="155">
        <v>323.59237670898437</v>
      </c>
      <c r="AA67" s="155">
        <v>12.146881103515625</v>
      </c>
      <c r="AB67" s="155">
        <v>14.966775894165039</v>
      </c>
      <c r="AC67" s="215">
        <v>37</v>
      </c>
      <c r="AD67" s="215">
        <v>27.437461853027344</v>
      </c>
      <c r="AE67" s="254">
        <v>20</v>
      </c>
      <c r="AF67" s="254">
        <v>10</v>
      </c>
      <c r="AG67" s="217">
        <v>5000000</v>
      </c>
      <c r="AH67" s="218">
        <v>300000</v>
      </c>
      <c r="AI67" s="219">
        <v>5000000</v>
      </c>
      <c r="AJ67" s="225">
        <f t="shared" ref="AJ67:AJ98" si="330">AH67</f>
        <v>300000</v>
      </c>
      <c r="AK67" s="220">
        <v>2750000</v>
      </c>
      <c r="AL67" s="226">
        <f t="shared" ref="AL67:AL98" si="331">AH67</f>
        <v>300000</v>
      </c>
      <c r="AM67" s="221">
        <v>14.407</v>
      </c>
      <c r="BM67" s="197">
        <f t="shared" ref="BM67:BM98" si="332">37-AD67</f>
        <v>9.5625381469726563</v>
      </c>
      <c r="BN67" s="196">
        <f t="shared" ref="BN67:BN98" si="333">T67</f>
        <v>180</v>
      </c>
      <c r="BO67" s="197">
        <f t="shared" ref="BO67:BO98" si="334">AB67-AA67</f>
        <v>2.8198947906494141</v>
      </c>
      <c r="BP67" s="196">
        <f t="shared" si="294"/>
        <v>12.683609972668432</v>
      </c>
      <c r="BQ67" s="115">
        <f t="shared" ref="BQ67:BQ98" si="335">(F67/H67)*((G67)^((I67-1)/I67)-1)+F67</f>
        <v>659.74492511188635</v>
      </c>
      <c r="BR67" s="184">
        <f t="shared" ref="BR67:BR98" si="336">1.04841-((3.8371*F67)/10^4)+((9.4537*F67^2)/10^7)-((5.49031*F67^3)/(10^10))+((7.9298*F67^4)/(10^14))</f>
        <v>1.0041987768</v>
      </c>
      <c r="BS67" s="115">
        <f t="shared" ref="BS67:BS98" si="337">M67*BR67*(BQ67-F67)</f>
        <v>6863.8528613899143</v>
      </c>
      <c r="BT67" s="196">
        <v>900</v>
      </c>
      <c r="BU67" s="115">
        <f t="shared" si="288"/>
        <v>1.1850729520000001</v>
      </c>
      <c r="BV67" s="115">
        <f t="shared" si="269"/>
        <v>1.0724219423814694</v>
      </c>
      <c r="BW67" s="115">
        <f t="shared" si="270"/>
        <v>472.88883759693749</v>
      </c>
      <c r="BX67" s="115">
        <f t="shared" si="187"/>
        <v>1137.6103303218511</v>
      </c>
      <c r="BY67" s="115"/>
      <c r="BZ67" s="115">
        <f t="shared" si="188"/>
        <v>664.72149272491356</v>
      </c>
      <c r="CA67" s="115">
        <f t="shared" si="189"/>
        <v>10769.687257127542</v>
      </c>
      <c r="CB67" s="115">
        <f t="shared" si="190"/>
        <v>3144.1052198698744</v>
      </c>
      <c r="CC67" s="115">
        <f t="shared" si="191"/>
        <v>1101.2698342595249</v>
      </c>
      <c r="CD67" s="129">
        <f t="shared" si="271"/>
        <v>0.21759086767944241</v>
      </c>
      <c r="CE67" s="115">
        <f t="shared" si="192"/>
        <v>19.034845688763788</v>
      </c>
      <c r="CF67" s="115">
        <f t="shared" si="193"/>
        <v>26.900201985918102</v>
      </c>
      <c r="CG67" s="115">
        <f t="shared" si="194"/>
        <v>0.02</v>
      </c>
      <c r="CH67" s="115">
        <f t="shared" si="195"/>
        <v>0.05</v>
      </c>
      <c r="CI67" s="136">
        <v>30</v>
      </c>
      <c r="CJ67" s="115">
        <f t="shared" si="257"/>
        <v>165</v>
      </c>
      <c r="CK67" s="115">
        <f t="shared" si="196"/>
        <v>453</v>
      </c>
      <c r="CL67" s="115">
        <f t="shared" si="197"/>
        <v>669.54150390625</v>
      </c>
      <c r="CM67" s="115">
        <f t="shared" ca="1" si="198"/>
        <v>2816.5993052117487</v>
      </c>
      <c r="CN67" s="115">
        <f t="shared" ca="1" si="258"/>
        <v>125.80344444444444</v>
      </c>
      <c r="CO67" s="115">
        <f t="shared" ca="1" si="259"/>
        <v>690.58718083896258</v>
      </c>
      <c r="CP67" s="115">
        <f t="shared" ca="1" si="260"/>
        <v>2790.6388281929471</v>
      </c>
      <c r="CQ67" s="115">
        <f t="shared" si="272"/>
        <v>1.072449112508886</v>
      </c>
      <c r="CR67" s="115">
        <f t="shared" ref="CR67:CR98" ca="1" si="338">(JQ67*(1+CH67)*(CO67-CN67))</f>
        <v>642.1177380650613</v>
      </c>
      <c r="CS67" s="115">
        <f t="shared" ref="CS67:CS98" ca="1" si="339">CR67/(JN67*CQ67*(1-CG67))</f>
        <v>31.791641618633268</v>
      </c>
      <c r="CT67" s="115">
        <f t="shared" si="273"/>
        <v>1.1233280091391149</v>
      </c>
      <c r="CU67" s="115">
        <f t="shared" ca="1" si="274"/>
        <v>1.0202779245863112</v>
      </c>
      <c r="CV67" s="115">
        <f t="shared" si="108"/>
        <v>191.72149272491356</v>
      </c>
      <c r="CW67" s="115">
        <f t="shared" si="261"/>
        <v>473</v>
      </c>
      <c r="CX67" s="115">
        <f t="shared" si="262"/>
        <v>438</v>
      </c>
      <c r="CY67" s="115">
        <f t="shared" ca="1" si="275"/>
        <v>441.20835838136674</v>
      </c>
      <c r="CZ67" s="115">
        <f t="shared" ca="1" si="263"/>
        <v>228.33314552488326</v>
      </c>
      <c r="DA67" s="115">
        <v>0.21890000000000001</v>
      </c>
      <c r="DB67" s="115">
        <v>2.7E-2</v>
      </c>
      <c r="DC67" s="115">
        <v>1.06</v>
      </c>
      <c r="DD67" s="138">
        <f t="shared" si="201"/>
        <v>11.536006328126291</v>
      </c>
      <c r="DE67" s="138">
        <f t="shared" si="276"/>
        <v>11.536006328126291</v>
      </c>
      <c r="DF67" s="115">
        <f t="shared" si="264"/>
        <v>669.54150390625</v>
      </c>
      <c r="DG67" s="115">
        <v>664.72149272491356</v>
      </c>
      <c r="DH67" s="115">
        <f t="shared" si="277"/>
        <v>1.1233280091391149</v>
      </c>
      <c r="DI67" s="115">
        <f t="shared" si="299"/>
        <v>1.1220340382970504</v>
      </c>
      <c r="DJ67" s="138">
        <f t="shared" ref="DJ67:DJ98" si="340">(JN67*DH67*DQ67*((DF67/DQ67)-1-LN(DF67/DQ67)))*0.001</f>
        <v>2.8104802671097988</v>
      </c>
      <c r="DK67" s="138">
        <f t="shared" ref="DK67:DK98" si="341">(JN67*DI67*DQ67*((DG67/DQ67)-1-LN(DG67/DQ67)))*0.001</f>
        <v>2.7497591616480541</v>
      </c>
      <c r="DL67" s="115">
        <f t="shared" si="278"/>
        <v>669.54150390625</v>
      </c>
      <c r="DM67" s="115">
        <f t="shared" si="293"/>
        <v>664.72149272491356</v>
      </c>
      <c r="DN67" s="115">
        <f t="shared" si="300"/>
        <v>12.798915517874509</v>
      </c>
      <c r="DO67" s="115">
        <f t="shared" si="301"/>
        <v>1.1233280091391149</v>
      </c>
      <c r="DP67" s="115">
        <f t="shared" si="292"/>
        <v>1.1220340382970504</v>
      </c>
      <c r="DQ67" s="115">
        <v>298.14999999999998</v>
      </c>
      <c r="DR67" s="138">
        <f t="shared" si="302"/>
        <v>1.8717798578951259</v>
      </c>
      <c r="DS67" s="138">
        <f t="shared" si="303"/>
        <v>1.8313396016576045</v>
      </c>
      <c r="DT67" s="115">
        <f t="shared" si="289"/>
        <v>669.54150390625</v>
      </c>
      <c r="DU67" s="139">
        <f t="shared" si="118"/>
        <v>6.418675349804932</v>
      </c>
      <c r="DV67" s="115">
        <f t="shared" si="279"/>
        <v>1.1233280091391149</v>
      </c>
      <c r="DW67" s="115">
        <v>298.14999999999998</v>
      </c>
      <c r="DX67" s="138">
        <f t="shared" ref="DX67:DX98" si="342">(JN67-DN67)*DV67*DW67*((DT67/DW67)-1-LN(DT67/DW67))*0.001</f>
        <v>0.93870040921467279</v>
      </c>
      <c r="DY67" s="138">
        <f t="shared" ref="DY67:DY98" si="343">(JN67-DN67)*DP67*DW67*((DM67/DW67)-1-LN(DM67/DW67))*0.001</f>
        <v>0.91841955999044989</v>
      </c>
      <c r="DZ67" s="138">
        <f t="shared" si="290"/>
        <v>3.1441052198698745</v>
      </c>
      <c r="EA67" s="138">
        <f t="shared" si="280"/>
        <v>3.9058343957376276</v>
      </c>
      <c r="EB67" s="115">
        <f t="shared" si="291"/>
        <v>26.900201985918102</v>
      </c>
      <c r="EC67" s="115">
        <v>30</v>
      </c>
      <c r="ED67" s="198">
        <f t="shared" ca="1" si="265"/>
        <v>125.80344444444444</v>
      </c>
      <c r="EE67" s="198">
        <v>104.83</v>
      </c>
      <c r="EF67" s="198">
        <f t="shared" ca="1" si="295"/>
        <v>0.42491111111111107</v>
      </c>
      <c r="EG67" s="199">
        <v>0.36720000000000003</v>
      </c>
      <c r="EH67" s="138">
        <f t="shared" ca="1" si="304"/>
        <v>0.10132974318937567</v>
      </c>
      <c r="EI67" s="138">
        <f t="shared" ca="1" si="281"/>
        <v>0.10132974318937567</v>
      </c>
      <c r="EJ67" s="115">
        <f t="shared" si="296"/>
        <v>12.798915517874509</v>
      </c>
      <c r="EK67" s="115">
        <v>435</v>
      </c>
      <c r="EL67" s="115">
        <f t="shared" ca="1" si="297"/>
        <v>441.20835838136674</v>
      </c>
      <c r="EM67" s="115">
        <f t="shared" ca="1" si="305"/>
        <v>1.0628706636378646</v>
      </c>
      <c r="EN67" s="115">
        <f t="shared" ca="1" si="306"/>
        <v>1.0647808318848255</v>
      </c>
      <c r="EO67" s="115">
        <v>298.14999999999998</v>
      </c>
      <c r="EP67" s="138">
        <f t="shared" ca="1" si="307"/>
        <v>0.32953397410584234</v>
      </c>
      <c r="EQ67" s="138">
        <f t="shared" ca="1" si="308"/>
        <v>0.3571535369079063</v>
      </c>
      <c r="ER67" s="115">
        <f t="shared" si="282"/>
        <v>1.0827873812781441</v>
      </c>
      <c r="ES67" s="115">
        <f t="shared" si="298"/>
        <v>453</v>
      </c>
      <c r="ET67" s="115">
        <f t="shared" ca="1" si="206"/>
        <v>2816.5993052117487</v>
      </c>
      <c r="EU67" s="115">
        <f t="shared" ca="1" si="207"/>
        <v>6.5855309782608691</v>
      </c>
      <c r="EV67" s="138">
        <f t="shared" ca="1" si="309"/>
        <v>0.92878678094349099</v>
      </c>
      <c r="EW67" s="138">
        <f t="shared" ref="EW67:EW98" ca="1" si="344">(JR67*(ET67-EE67-DQ67*(EU67-EG67)))*0.001</f>
        <v>1.0292402237406417</v>
      </c>
      <c r="EX67" s="115">
        <v>21.47</v>
      </c>
      <c r="EY67" s="115">
        <f t="shared" ca="1" si="209"/>
        <v>114.91327090623643</v>
      </c>
      <c r="EZ67" s="115">
        <f t="shared" ca="1" si="210"/>
        <v>0.38917794028388125</v>
      </c>
      <c r="FA67" s="138">
        <f t="shared" ca="1" si="310"/>
        <v>7.5800865787522931E-2</v>
      </c>
      <c r="FB67" s="138">
        <f t="shared" ca="1" si="283"/>
        <v>7.5800865787522931E-2</v>
      </c>
      <c r="FC67" s="115">
        <f t="shared" si="266"/>
        <v>21.47</v>
      </c>
      <c r="FD67" s="115">
        <v>37</v>
      </c>
      <c r="FE67" s="115">
        <f t="shared" ca="1" si="267"/>
        <v>154.93355555555553</v>
      </c>
      <c r="FF67" s="115">
        <f t="shared" ca="1" si="268"/>
        <v>0.52252222222222222</v>
      </c>
      <c r="FG67" s="138">
        <f t="shared" ca="1" si="311"/>
        <v>8.1462225449999703E-2</v>
      </c>
      <c r="FH67" s="138">
        <f t="shared" ca="1" si="312"/>
        <v>8.1462225449999703E-2</v>
      </c>
      <c r="FI67" s="115">
        <f t="shared" si="284"/>
        <v>90.605865478515639</v>
      </c>
      <c r="FJ67" s="115">
        <f t="shared" ca="1" si="211"/>
        <v>50.920491516113287</v>
      </c>
      <c r="FK67" s="115">
        <f t="shared" ca="1" si="212"/>
        <v>0.17595928649902343</v>
      </c>
      <c r="FL67" s="138">
        <f t="shared" ca="1" si="313"/>
        <v>0.28168550357276656</v>
      </c>
      <c r="FM67" s="138">
        <f t="shared" ref="FM67:FM98" ca="1" si="345">(JT67*(FJ67-EE67-DW67*(FK67-EG67)))*0.001</f>
        <v>0.66395182504945882</v>
      </c>
      <c r="FN67" s="115">
        <f t="shared" si="285"/>
        <v>90.605865478515639</v>
      </c>
      <c r="FO67" s="115">
        <f t="shared" ca="1" si="214"/>
        <v>62.722064536624487</v>
      </c>
      <c r="FP67" s="115">
        <f t="shared" ca="1" si="215"/>
        <v>0.21528115274641249</v>
      </c>
      <c r="FQ67" s="138">
        <f t="shared" ca="1" si="314"/>
        <v>0.28873088872016223</v>
      </c>
      <c r="FR67" s="138">
        <f t="shared" ref="FR67:FR98" ca="1" si="346">(JT67*(FO67-EE67-DW67*(FP67-EG67)))*0.001</f>
        <v>0.68055827539020675</v>
      </c>
      <c r="FS67" s="139">
        <f t="shared" si="315"/>
        <v>5.5814208411466169</v>
      </c>
      <c r="FT67" s="249">
        <f t="shared" si="316"/>
        <v>4.8804127707406089</v>
      </c>
      <c r="FU67" s="139">
        <f t="shared" ca="1" si="317"/>
        <v>0.71478884603516812</v>
      </c>
      <c r="FV67" s="249">
        <f t="shared" ca="1" si="318"/>
        <v>0.54627558419843192</v>
      </c>
      <c r="FW67" s="139">
        <f t="shared" ca="1" si="286"/>
        <v>0.93017080642840999</v>
      </c>
      <c r="FX67" s="249">
        <f t="shared" ca="1" si="319"/>
        <v>1.0401853144189128</v>
      </c>
      <c r="FY67" s="249">
        <f t="shared" si="219"/>
        <v>0.15000000000000002</v>
      </c>
      <c r="FZ67" s="139">
        <f t="shared" si="220"/>
        <v>1050000</v>
      </c>
      <c r="GA67" s="139">
        <f t="shared" si="320"/>
        <v>3.3757716049382713E-2</v>
      </c>
      <c r="GB67" s="139">
        <f t="shared" si="138"/>
        <v>121.52777777777777</v>
      </c>
      <c r="GC67" s="139">
        <f t="shared" si="221"/>
        <v>1050000</v>
      </c>
      <c r="GD67" s="139">
        <f t="shared" si="139"/>
        <v>6.7515432098765427E-2</v>
      </c>
      <c r="GE67" s="139">
        <f t="shared" si="140"/>
        <v>243.05555555555554</v>
      </c>
      <c r="GF67" s="139">
        <f t="shared" si="141"/>
        <v>4.5814043209876545E-2</v>
      </c>
      <c r="GG67" s="139">
        <f t="shared" si="222"/>
        <v>712500</v>
      </c>
      <c r="GH67" s="139">
        <f t="shared" si="142"/>
        <v>164.93055555555554</v>
      </c>
      <c r="GI67" s="137">
        <f t="shared" si="223"/>
        <v>50.719158189320133</v>
      </c>
      <c r="GJ67" s="137">
        <f t="shared" si="321"/>
        <v>0.18258896948155104</v>
      </c>
      <c r="GK67" s="251">
        <f t="shared" si="224"/>
        <v>41.051709502024032</v>
      </c>
      <c r="GL67" s="137">
        <f t="shared" si="329"/>
        <v>0.14778615420728533</v>
      </c>
      <c r="GM67" s="137">
        <f t="shared" ca="1" si="225"/>
        <v>8.9903996255870844</v>
      </c>
      <c r="GN67" s="137">
        <f t="shared" ca="1" si="322"/>
        <v>3.2365438652113249E-2</v>
      </c>
      <c r="GO67" s="137">
        <f t="shared" ca="1" si="145"/>
        <v>0.11380252690616473</v>
      </c>
      <c r="GP67" s="137">
        <f t="shared" ca="1" si="226"/>
        <v>9.7950514948662413</v>
      </c>
      <c r="GQ67" s="137">
        <f t="shared" ca="1" si="323"/>
        <v>3.5262185381518187E-2</v>
      </c>
      <c r="GR67" s="137">
        <f t="shared" ca="1" si="147"/>
        <v>0.12398799360590081</v>
      </c>
      <c r="GS67" s="140">
        <f t="shared" si="227"/>
        <v>8.0411530058399308E-2</v>
      </c>
      <c r="GT67" s="140">
        <f t="shared" si="228"/>
        <v>7.031210678805995E-2</v>
      </c>
      <c r="GU67" s="140">
        <f t="shared" si="287"/>
        <v>289.48150821023751</v>
      </c>
      <c r="GV67" s="140">
        <f t="shared" si="324"/>
        <v>253.12358443701581</v>
      </c>
      <c r="GW67" s="141">
        <f t="shared" ca="1" si="229"/>
        <v>6.8584432946158912E-3</v>
      </c>
      <c r="GX67" s="141">
        <f t="shared" ca="1" si="230"/>
        <v>5.2415480994701747E-3</v>
      </c>
      <c r="GY67" s="141">
        <f t="shared" ca="1" si="325"/>
        <v>24.690395860617208</v>
      </c>
      <c r="GZ67" s="141">
        <f t="shared" ca="1" si="326"/>
        <v>18.869573158092628</v>
      </c>
      <c r="HA67" s="141">
        <f t="shared" ca="1" si="231"/>
        <v>1.6634841072208979E-2</v>
      </c>
      <c r="HB67" s="141">
        <f t="shared" ca="1" si="232"/>
        <v>1.5856404817051563E-2</v>
      </c>
      <c r="HC67" s="141">
        <f t="shared" ca="1" si="327"/>
        <v>59.885427859952323</v>
      </c>
      <c r="HD67" s="141">
        <f t="shared" ca="1" si="328"/>
        <v>57.083057341385626</v>
      </c>
      <c r="HE67" s="137">
        <f t="shared" si="153"/>
        <v>8.7255260610164918</v>
      </c>
      <c r="HF67" s="250">
        <f t="shared" si="154"/>
        <v>8.7862471664782369</v>
      </c>
      <c r="HG67" s="137">
        <v>3.1441052198698745</v>
      </c>
      <c r="HH67" s="251">
        <v>3.796062269876844</v>
      </c>
      <c r="HI67" s="137">
        <f t="shared" ca="1" si="155"/>
        <v>1.5146263209872197</v>
      </c>
      <c r="HJ67" s="251">
        <f t="shared" ca="1" si="156"/>
        <v>1.474186064749698</v>
      </c>
      <c r="HK67" s="137">
        <f t="shared" ca="1" si="157"/>
        <v>0.82745703775411528</v>
      </c>
      <c r="HL67" s="251">
        <f t="shared" ca="1" si="158"/>
        <v>0.92791048055126601</v>
      </c>
      <c r="HM67" s="137">
        <f t="shared" ca="1" si="159"/>
        <v>0.92878678094349099</v>
      </c>
      <c r="HN67" s="251">
        <f t="shared" ca="1" si="160"/>
        <v>1.0292402237406417</v>
      </c>
      <c r="HO67" s="137">
        <f t="shared" ca="1" si="161"/>
        <v>0.28168550357276656</v>
      </c>
      <c r="HP67" s="251">
        <f t="shared" ca="1" si="162"/>
        <v>0.66395182504945882</v>
      </c>
      <c r="JN67" s="143">
        <f t="shared" si="234"/>
        <v>19.217590867679441</v>
      </c>
      <c r="JO67" s="143">
        <f t="shared" ref="JO67:JO98" si="347">CB67</f>
        <v>3144.1052198698744</v>
      </c>
      <c r="JP67" s="143">
        <f t="shared" si="236"/>
        <v>3905.8343957376273</v>
      </c>
      <c r="JQ67" s="143">
        <f t="shared" si="237"/>
        <v>1.0827873812781441</v>
      </c>
      <c r="JR67" s="143">
        <f t="shared" ref="JR67:JR98" ca="1" si="348">((0.66*JN67*(1-CG67)*CT67*CV67))/((CM67-CO67+CH67*(CP67-CO67)))</f>
        <v>1.1998968433187311</v>
      </c>
      <c r="JS67" s="143">
        <f t="shared" si="239"/>
        <v>90.605865478515639</v>
      </c>
      <c r="JT67" s="143">
        <f t="shared" ref="JT67:JT98" ca="1" si="349">((JR67*ET67)-EX67*(FE67-EY67))/(FO67-FJ67)</f>
        <v>213.56416635443182</v>
      </c>
      <c r="JU67" s="143">
        <f t="shared" si="256"/>
        <v>0.28889993974226447</v>
      </c>
      <c r="JV67" s="143">
        <f t="shared" si="241"/>
        <v>0.35889235336041508</v>
      </c>
      <c r="JW67" s="143">
        <f t="shared" ca="1" si="242"/>
        <v>0.26723453301401473</v>
      </c>
      <c r="JX67" s="143">
        <f t="shared" ca="1" si="243"/>
        <v>0.29613743024116623</v>
      </c>
      <c r="JY67" s="143">
        <f t="shared" si="244"/>
        <v>0.7036879180835186</v>
      </c>
      <c r="JZ67" s="143">
        <f t="shared" si="245"/>
        <v>0.39600007610940169</v>
      </c>
      <c r="KA67" s="143">
        <f t="shared" ref="KA67:KA98" si="350">(DZ67)/(DD67)</f>
        <v>0.27254711296440043</v>
      </c>
      <c r="KB67" s="143">
        <f t="shared" ref="KB67:KB98" si="351">EA67/(DE67)</f>
        <v>0.33857769184944819</v>
      </c>
      <c r="KC67" s="143">
        <f t="shared" ref="KC67:KC98" ca="1" si="352">(EV67-EH67)/(DR67-EP67)</f>
        <v>0.5365273115341771</v>
      </c>
      <c r="KD67" s="143">
        <f t="shared" ref="KD67:KD98" ca="1" si="353">(EW67-EI67)/(DS67-EQ67)</f>
        <v>0.62943918867447435</v>
      </c>
      <c r="KE67" s="143">
        <f t="shared" ref="KE67:KE98" ca="1" si="354">FM67/EW67</f>
        <v>0.64508927044884723</v>
      </c>
      <c r="KF67" s="143">
        <f t="shared" ref="KF67:KF98" ca="1" si="355">FL67/EV67</f>
        <v>0.30328328239837943</v>
      </c>
      <c r="KG67" s="142">
        <f t="shared" ref="KG67:KG98" si="356">GL67</f>
        <v>0.14778615420728533</v>
      </c>
      <c r="KH67" s="142">
        <f t="shared" ref="KH67:KH98" ca="1" si="357">GR67</f>
        <v>0.12398799360590081</v>
      </c>
      <c r="KI67" s="142">
        <f t="shared" ref="KI67:KI98" ca="1" si="358">GU67+GY67+HC67</f>
        <v>374.05733193080704</v>
      </c>
      <c r="KJ67" s="142">
        <f t="shared" ref="KJ67:KJ98" ca="1" si="359">GV67+GZ67+HD67</f>
        <v>329.07621493649401</v>
      </c>
    </row>
    <row r="68" spans="1:296" x14ac:dyDescent="0.3">
      <c r="A68" s="201">
        <v>41375</v>
      </c>
      <c r="B68" s="196">
        <v>69</v>
      </c>
      <c r="C68" s="179">
        <v>24</v>
      </c>
      <c r="D68" s="179">
        <v>4.2</v>
      </c>
      <c r="E68" s="179">
        <v>50016</v>
      </c>
      <c r="F68" s="179">
        <v>300</v>
      </c>
      <c r="G68" s="179">
        <v>11.7</v>
      </c>
      <c r="H68" s="179">
        <v>0.85</v>
      </c>
      <c r="I68" s="179">
        <v>1.4</v>
      </c>
      <c r="J68" s="179">
        <v>1.33</v>
      </c>
      <c r="K68" s="179">
        <v>0.91</v>
      </c>
      <c r="L68" s="152">
        <v>26641.924651347101</v>
      </c>
      <c r="M68" s="155">
        <v>19</v>
      </c>
      <c r="N68" s="153">
        <v>76125.755555637181</v>
      </c>
      <c r="O68" s="178">
        <v>17</v>
      </c>
      <c r="P68" s="179">
        <v>2</v>
      </c>
      <c r="Q68" s="179">
        <v>5</v>
      </c>
      <c r="R68" s="154">
        <v>388.34176635742187</v>
      </c>
      <c r="S68" s="155">
        <v>72.510142359358724</v>
      </c>
      <c r="T68" s="152">
        <v>180</v>
      </c>
      <c r="U68" s="156">
        <v>2.899411678314209</v>
      </c>
      <c r="V68" s="178">
        <v>17</v>
      </c>
      <c r="W68" s="179">
        <v>1250</v>
      </c>
      <c r="X68" s="155">
        <v>62917.56433545053</v>
      </c>
      <c r="Y68" s="155">
        <v>9325.1514943540096</v>
      </c>
      <c r="Z68" s="155">
        <v>331.1019287109375</v>
      </c>
      <c r="AA68" s="155">
        <v>11.236841201782227</v>
      </c>
      <c r="AB68" s="155">
        <v>14.049665451049805</v>
      </c>
      <c r="AC68" s="215">
        <v>37</v>
      </c>
      <c r="AD68" s="215">
        <v>27.765768051147461</v>
      </c>
      <c r="AE68" s="254">
        <v>20</v>
      </c>
      <c r="AF68" s="254">
        <v>10</v>
      </c>
      <c r="AG68" s="217">
        <v>5000000</v>
      </c>
      <c r="AH68" s="218">
        <v>300000</v>
      </c>
      <c r="AI68" s="219">
        <v>5000000</v>
      </c>
      <c r="AJ68" s="225">
        <f t="shared" si="330"/>
        <v>300000</v>
      </c>
      <c r="AK68" s="220">
        <v>2750000</v>
      </c>
      <c r="AL68" s="226">
        <f t="shared" si="331"/>
        <v>300000</v>
      </c>
      <c r="AM68" s="221">
        <v>14.407</v>
      </c>
      <c r="BM68" s="197">
        <f t="shared" si="332"/>
        <v>9.2342319488525391</v>
      </c>
      <c r="BN68" s="196">
        <f t="shared" si="333"/>
        <v>180</v>
      </c>
      <c r="BO68" s="197">
        <f t="shared" si="334"/>
        <v>2.8128242492675781</v>
      </c>
      <c r="BP68" s="196">
        <f t="shared" si="294"/>
        <v>12.684758878644358</v>
      </c>
      <c r="BQ68" s="115">
        <f t="shared" si="335"/>
        <v>659.74492511188635</v>
      </c>
      <c r="BR68" s="184">
        <f t="shared" si="336"/>
        <v>1.0041987768</v>
      </c>
      <c r="BS68" s="115">
        <f t="shared" si="337"/>
        <v>6863.8528613899143</v>
      </c>
      <c r="BT68" s="196">
        <v>900</v>
      </c>
      <c r="BU68" s="115">
        <f t="shared" si="288"/>
        <v>1.1850729520000001</v>
      </c>
      <c r="BV68" s="115">
        <f t="shared" si="269"/>
        <v>1.0728061558735154</v>
      </c>
      <c r="BW68" s="115">
        <f t="shared" si="270"/>
        <v>474.45987431662809</v>
      </c>
      <c r="BX68" s="115">
        <f t="shared" si="187"/>
        <v>1141.3897124081718</v>
      </c>
      <c r="BY68" s="115"/>
      <c r="BZ68" s="115">
        <f t="shared" si="188"/>
        <v>666.92983809154373</v>
      </c>
      <c r="CA68" s="115">
        <f t="shared" si="189"/>
        <v>10806.44521574156</v>
      </c>
      <c r="CB68" s="115">
        <f t="shared" si="190"/>
        <v>3171.9064814848825</v>
      </c>
      <c r="CC68" s="115">
        <f t="shared" si="191"/>
        <v>1110.0801938061293</v>
      </c>
      <c r="CD68" s="129">
        <f t="shared" si="271"/>
        <v>0.2193316343096321</v>
      </c>
      <c r="CE68" s="115">
        <f t="shared" si="192"/>
        <v>19.476584041819851</v>
      </c>
      <c r="CF68" s="115">
        <f t="shared" si="193"/>
        <v>20.141706210932981</v>
      </c>
      <c r="CG68" s="115">
        <f t="shared" si="194"/>
        <v>0.02</v>
      </c>
      <c r="CH68" s="115">
        <f t="shared" si="195"/>
        <v>0.05</v>
      </c>
      <c r="CI68" s="136">
        <v>30</v>
      </c>
      <c r="CJ68" s="115">
        <f t="shared" si="257"/>
        <v>165</v>
      </c>
      <c r="CK68" s="115">
        <f t="shared" si="196"/>
        <v>453</v>
      </c>
      <c r="CL68" s="115">
        <f t="shared" si="197"/>
        <v>661.34176635742187</v>
      </c>
      <c r="CM68" s="115">
        <f t="shared" ca="1" si="198"/>
        <v>2816.5993052117487</v>
      </c>
      <c r="CN68" s="115">
        <f t="shared" ca="1" si="258"/>
        <v>125.80344444444444</v>
      </c>
      <c r="CO68" s="115">
        <f t="shared" ca="1" si="259"/>
        <v>690.58718083896258</v>
      </c>
      <c r="CP68" s="115">
        <f t="shared" ca="1" si="260"/>
        <v>2790.6388281929471</v>
      </c>
      <c r="CQ68" s="115">
        <f t="shared" si="272"/>
        <v>1.072449112508886</v>
      </c>
      <c r="CR68" s="115">
        <f t="shared" ca="1" si="338"/>
        <v>477.61599696539167</v>
      </c>
      <c r="CS68" s="115">
        <f t="shared" ca="1" si="339"/>
        <v>23.644918084988088</v>
      </c>
      <c r="CT68" s="115">
        <f t="shared" si="273"/>
        <v>1.1211274702193383</v>
      </c>
      <c r="CU68" s="115">
        <f t="shared" ca="1" si="274"/>
        <v>1.0174726748319169</v>
      </c>
      <c r="CV68" s="115">
        <f t="shared" ref="CV68:CV122" si="360">BZ68-CW68</f>
        <v>193.92983809154373</v>
      </c>
      <c r="CW68" s="115">
        <f t="shared" si="261"/>
        <v>473</v>
      </c>
      <c r="CX68" s="115">
        <f t="shared" si="262"/>
        <v>438</v>
      </c>
      <c r="CY68" s="115">
        <f t="shared" ca="1" si="275"/>
        <v>449.35508191501191</v>
      </c>
      <c r="CZ68" s="115">
        <f t="shared" ca="1" si="263"/>
        <v>211.98668444240997</v>
      </c>
      <c r="DA68" s="115">
        <v>0.21890000000000001</v>
      </c>
      <c r="DB68" s="115">
        <v>2.7E-2</v>
      </c>
      <c r="DC68" s="115">
        <v>1.06</v>
      </c>
      <c r="DD68" s="138">
        <f t="shared" si="201"/>
        <v>11.628296482928393</v>
      </c>
      <c r="DE68" s="138">
        <f t="shared" si="276"/>
        <v>11.628296482928393</v>
      </c>
      <c r="DF68" s="115">
        <f t="shared" si="264"/>
        <v>661.34176635742187</v>
      </c>
      <c r="DG68" s="115">
        <v>666.92983809154373</v>
      </c>
      <c r="DH68" s="115">
        <f t="shared" si="277"/>
        <v>1.1211274702193383</v>
      </c>
      <c r="DI68" s="115">
        <f t="shared" si="299"/>
        <v>1.1226267349527324</v>
      </c>
      <c r="DJ68" s="138">
        <f t="shared" si="340"/>
        <v>2.7077096346618013</v>
      </c>
      <c r="DK68" s="138">
        <f t="shared" si="341"/>
        <v>2.777772332619413</v>
      </c>
      <c r="DL68" s="115">
        <f t="shared" si="278"/>
        <v>661.34176635742187</v>
      </c>
      <c r="DM68" s="115">
        <f t="shared" si="293"/>
        <v>666.92983809154373</v>
      </c>
      <c r="DN68" s="115">
        <f t="shared" si="300"/>
        <v>12.800074868450215</v>
      </c>
      <c r="DO68" s="115">
        <f t="shared" si="301"/>
        <v>1.1211274702193383</v>
      </c>
      <c r="DP68" s="115">
        <f t="shared" si="292"/>
        <v>1.1226267349527324</v>
      </c>
      <c r="DQ68" s="115">
        <v>298.14999999999998</v>
      </c>
      <c r="DR68" s="138">
        <f t="shared" si="302"/>
        <v>1.8033346166847597</v>
      </c>
      <c r="DS68" s="138">
        <f t="shared" si="303"/>
        <v>1.8499963735245293</v>
      </c>
      <c r="DT68" s="115">
        <f t="shared" si="289"/>
        <v>661.34176635742187</v>
      </c>
      <c r="DU68" s="139">
        <f t="shared" si="118"/>
        <v>6.4192567658594175</v>
      </c>
      <c r="DV68" s="115">
        <f t="shared" si="279"/>
        <v>1.1211274702193383</v>
      </c>
      <c r="DW68" s="115">
        <v>298.14999999999998</v>
      </c>
      <c r="DX68" s="138">
        <f t="shared" si="342"/>
        <v>0.90437501797704167</v>
      </c>
      <c r="DY68" s="138">
        <f t="shared" si="343"/>
        <v>0.92777595909488386</v>
      </c>
      <c r="DZ68" s="138">
        <f t="shared" si="290"/>
        <v>3.1719064814848825</v>
      </c>
      <c r="EA68" s="138">
        <f t="shared" si="280"/>
        <v>3.9425923543516457</v>
      </c>
      <c r="EB68" s="115">
        <f t="shared" si="291"/>
        <v>20.141706210932981</v>
      </c>
      <c r="EC68" s="115">
        <v>30</v>
      </c>
      <c r="ED68" s="198">
        <f t="shared" ca="1" si="265"/>
        <v>125.80344444444444</v>
      </c>
      <c r="EE68" s="198">
        <v>104.83</v>
      </c>
      <c r="EF68" s="198">
        <f t="shared" ca="1" si="295"/>
        <v>0.42491111111111107</v>
      </c>
      <c r="EG68" s="199">
        <v>0.36720000000000003</v>
      </c>
      <c r="EH68" s="138">
        <f t="shared" ca="1" si="304"/>
        <v>7.5871323152818845E-2</v>
      </c>
      <c r="EI68" s="138">
        <f t="shared" ca="1" si="281"/>
        <v>7.5871323152818845E-2</v>
      </c>
      <c r="EJ68" s="115">
        <f t="shared" si="296"/>
        <v>12.800074868450215</v>
      </c>
      <c r="EK68" s="115">
        <v>435</v>
      </c>
      <c r="EL68" s="115">
        <f t="shared" ca="1" si="297"/>
        <v>449.35508191501191</v>
      </c>
      <c r="EM68" s="115">
        <f t="shared" ca="1" si="305"/>
        <v>1.0622773060567978</v>
      </c>
      <c r="EN68" s="115">
        <f t="shared" ca="1" si="306"/>
        <v>1.0667257591851238</v>
      </c>
      <c r="EO68" s="115">
        <v>298.14999999999998</v>
      </c>
      <c r="EP68" s="138">
        <f t="shared" ca="1" si="307"/>
        <v>0.32937984181628555</v>
      </c>
      <c r="EQ68" s="138">
        <f t="shared" ca="1" si="308"/>
        <v>0.39459152453259339</v>
      </c>
      <c r="ER68" s="115">
        <f t="shared" si="282"/>
        <v>0.80539213286505806</v>
      </c>
      <c r="ES68" s="115">
        <f t="shared" si="298"/>
        <v>453</v>
      </c>
      <c r="ET68" s="115">
        <f t="shared" ca="1" si="206"/>
        <v>2816.5993052117487</v>
      </c>
      <c r="EU68" s="115">
        <f t="shared" ca="1" si="207"/>
        <v>6.5855309782608691</v>
      </c>
      <c r="EV68" s="138">
        <f t="shared" ca="1" si="309"/>
        <v>0.69084437020124034</v>
      </c>
      <c r="EW68" s="138">
        <f t="shared" ca="1" si="344"/>
        <v>1.0391502042918259</v>
      </c>
      <c r="EX68" s="115">
        <v>21.47</v>
      </c>
      <c r="EY68" s="115">
        <f t="shared" ca="1" si="209"/>
        <v>116.28726882383559</v>
      </c>
      <c r="EZ68" s="115">
        <f t="shared" ca="1" si="210"/>
        <v>0.39375598782433402</v>
      </c>
      <c r="FA68" s="138">
        <f t="shared" ca="1" si="310"/>
        <v>7.5995234629603531E-2</v>
      </c>
      <c r="FB68" s="138">
        <f t="shared" ca="1" si="283"/>
        <v>7.5995234629603531E-2</v>
      </c>
      <c r="FC68" s="115">
        <f t="shared" si="266"/>
        <v>21.47</v>
      </c>
      <c r="FD68" s="115">
        <v>37</v>
      </c>
      <c r="FE68" s="115">
        <f t="shared" ca="1" si="267"/>
        <v>154.93355555555553</v>
      </c>
      <c r="FF68" s="115">
        <f t="shared" ca="1" si="268"/>
        <v>0.52252222222222222</v>
      </c>
      <c r="FG68" s="138">
        <f t="shared" ca="1" si="311"/>
        <v>8.1462225449999703E-2</v>
      </c>
      <c r="FH68" s="138">
        <f t="shared" ca="1" si="312"/>
        <v>8.1462225449999703E-2</v>
      </c>
      <c r="FI68" s="115">
        <f t="shared" si="284"/>
        <v>92.708540039062513</v>
      </c>
      <c r="FJ68" s="115">
        <f t="shared" ca="1" si="211"/>
        <v>47.111873411814379</v>
      </c>
      <c r="FK68" s="115">
        <f t="shared" ca="1" si="212"/>
        <v>0.16326928564707438</v>
      </c>
      <c r="FL68" s="138">
        <f t="shared" ca="1" si="313"/>
        <v>0.28589606948031454</v>
      </c>
      <c r="FM68" s="138">
        <f t="shared" ca="1" si="345"/>
        <v>0.67650028309612364</v>
      </c>
      <c r="FN68" s="115">
        <f t="shared" si="285"/>
        <v>92.708540039062513</v>
      </c>
      <c r="FO68" s="115">
        <f t="shared" ca="1" si="214"/>
        <v>58.883855431026888</v>
      </c>
      <c r="FP68" s="115">
        <f t="shared" ca="1" si="215"/>
        <v>0.20249255712297229</v>
      </c>
      <c r="FQ68" s="138">
        <f t="shared" ca="1" si="314"/>
        <v>0.29308688025477148</v>
      </c>
      <c r="FR68" s="138">
        <f t="shared" ca="1" si="346"/>
        <v>0.69351550661232442</v>
      </c>
      <c r="FS68" s="139">
        <f t="shared" si="315"/>
        <v>5.7486803667817092</v>
      </c>
      <c r="FT68" s="249">
        <f t="shared" si="316"/>
        <v>4.9079317959573334</v>
      </c>
      <c r="FU68" s="139">
        <f t="shared" ca="1" si="317"/>
        <v>0.85898172782005244</v>
      </c>
      <c r="FV68" s="249">
        <f t="shared" ca="1" si="318"/>
        <v>0.49212596785292861</v>
      </c>
      <c r="FW68" s="139">
        <f t="shared" ca="1" si="286"/>
        <v>0.69256819015530113</v>
      </c>
      <c r="FX68" s="249">
        <f t="shared" ca="1" si="319"/>
        <v>1.0506984369876307</v>
      </c>
      <c r="FY68" s="249">
        <f t="shared" si="219"/>
        <v>0.15000000000000002</v>
      </c>
      <c r="FZ68" s="139">
        <f t="shared" si="220"/>
        <v>1050000</v>
      </c>
      <c r="GA68" s="139">
        <f t="shared" si="320"/>
        <v>3.3757716049382713E-2</v>
      </c>
      <c r="GB68" s="139">
        <f t="shared" ref="GB68:GB122" si="361">FZ68/8640</f>
        <v>121.52777777777777</v>
      </c>
      <c r="GC68" s="139">
        <f t="shared" si="221"/>
        <v>1050000</v>
      </c>
      <c r="GD68" s="139">
        <f t="shared" ref="GD68:GD122" si="362">GC68/(4320*3600)</f>
        <v>6.7515432098765427E-2</v>
      </c>
      <c r="GE68" s="139">
        <f t="shared" ref="GE68:GE122" si="363">GC68/4320</f>
        <v>243.05555555555554</v>
      </c>
      <c r="GF68" s="139">
        <f t="shared" ref="GF68:GF122" si="364">GG68/(4320*3600)</f>
        <v>4.5814043209876545E-2</v>
      </c>
      <c r="GG68" s="139">
        <f t="shared" si="222"/>
        <v>712500</v>
      </c>
      <c r="GH68" s="139">
        <f t="shared" ref="GH68:GH122" si="365">GG68/4320</f>
        <v>164.93055555555554</v>
      </c>
      <c r="GI68" s="137">
        <f t="shared" si="223"/>
        <v>51.160591183757731</v>
      </c>
      <c r="GJ68" s="137">
        <f t="shared" si="321"/>
        <v>0.18417812826152635</v>
      </c>
      <c r="GK68" s="251">
        <f t="shared" si="224"/>
        <v>40.903852843138878</v>
      </c>
      <c r="GL68" s="137">
        <f t="shared" si="329"/>
        <v>0.14725387023529879</v>
      </c>
      <c r="GM68" s="137">
        <f t="shared" ca="1" si="225"/>
        <v>9.0528992514468545</v>
      </c>
      <c r="GN68" s="137">
        <f t="shared" ca="1" si="322"/>
        <v>3.2590437305208414E-2</v>
      </c>
      <c r="GO68" s="137">
        <f t="shared" ref="GO68:GO122" ca="1" si="366">GN68/0.2844</f>
        <v>0.11459366141071876</v>
      </c>
      <c r="GP68" s="137">
        <f t="shared" ca="1" si="226"/>
        <v>9.8689601129618332</v>
      </c>
      <c r="GQ68" s="137">
        <f t="shared" ca="1" si="323"/>
        <v>3.5528256406662316E-2</v>
      </c>
      <c r="GR68" s="137">
        <f t="shared" ca="1" si="147"/>
        <v>0.1249235457336931</v>
      </c>
      <c r="GS68" s="140">
        <f t="shared" si="227"/>
        <v>8.2821238044224088E-2</v>
      </c>
      <c r="GT68" s="140">
        <f t="shared" si="228"/>
        <v>7.0708573384357307E-2</v>
      </c>
      <c r="GU68" s="140">
        <f t="shared" si="287"/>
        <v>298.15645695920671</v>
      </c>
      <c r="GV68" s="140">
        <f t="shared" si="324"/>
        <v>254.55086418368631</v>
      </c>
      <c r="GW68" s="141">
        <f t="shared" ca="1" si="229"/>
        <v>8.2419829353005264E-3</v>
      </c>
      <c r="GX68" s="141">
        <f t="shared" ca="1" si="230"/>
        <v>4.7219791733588562E-3</v>
      </c>
      <c r="GY68" s="141">
        <f t="shared" ca="1" si="325"/>
        <v>29.671138567081893</v>
      </c>
      <c r="GZ68" s="141">
        <f t="shared" ca="1" si="326"/>
        <v>16.999125024091882</v>
      </c>
      <c r="HA68" s="141">
        <f t="shared" ca="1" si="231"/>
        <v>1.592716217113865E-2</v>
      </c>
      <c r="HB68" s="141">
        <f t="shared" ca="1" si="232"/>
        <v>1.5232025220694296E-2</v>
      </c>
      <c r="HC68" s="141">
        <f t="shared" ca="1" si="327"/>
        <v>57.33778381609914</v>
      </c>
      <c r="HD68" s="141">
        <f t="shared" ca="1" si="328"/>
        <v>54.835290794499464</v>
      </c>
      <c r="HE68" s="137">
        <f t="shared" ref="HE68:HE122" si="367">(DD68-DJ68)</f>
        <v>8.9205868482665913</v>
      </c>
      <c r="HF68" s="250">
        <f t="shared" ref="HF68:HF122" si="368">(DE68-DK68)</f>
        <v>8.8505241503089795</v>
      </c>
      <c r="HG68" s="137">
        <v>3.1719064814848825</v>
      </c>
      <c r="HH68" s="251">
        <v>4.0698680088912385</v>
      </c>
      <c r="HI68" s="137">
        <f t="shared" ref="HI68:HI122" ca="1" si="369">(DR68-EQ68)</f>
        <v>1.4087430921521662</v>
      </c>
      <c r="HJ68" s="251">
        <f t="shared" ref="HJ68:HJ122" ca="1" si="370">(DS68-EQ68)</f>
        <v>1.455404848991936</v>
      </c>
      <c r="HK68" s="137">
        <f t="shared" ref="HK68:HK122" ca="1" si="371">(EV68-EH68)</f>
        <v>0.61497304704842148</v>
      </c>
      <c r="HL68" s="251">
        <f t="shared" ref="HL68:HL122" ca="1" si="372">(EW68-EI68)</f>
        <v>0.96327888113900706</v>
      </c>
      <c r="HM68" s="137">
        <f t="shared" ref="HM68:HM122" ca="1" si="373">EV68</f>
        <v>0.69084437020124034</v>
      </c>
      <c r="HN68" s="251">
        <f t="shared" ref="HN68:HN122" ca="1" si="374">EW68</f>
        <v>1.0391502042918259</v>
      </c>
      <c r="HO68" s="137">
        <f t="shared" ref="HO68:HO122" ca="1" si="375">FL68</f>
        <v>0.28589606948031454</v>
      </c>
      <c r="HP68" s="251">
        <f t="shared" ref="HP68:HP122" ca="1" si="376">FM68</f>
        <v>0.67650028309612364</v>
      </c>
      <c r="JN68" s="143">
        <f t="shared" si="234"/>
        <v>19.219331634309633</v>
      </c>
      <c r="JO68" s="143">
        <f t="shared" si="347"/>
        <v>3171.9064814848825</v>
      </c>
      <c r="JP68" s="143">
        <f t="shared" si="236"/>
        <v>3942.5923543516456</v>
      </c>
      <c r="JQ68" s="143">
        <f t="shared" si="237"/>
        <v>0.80539213286505806</v>
      </c>
      <c r="JR68" s="143">
        <f t="shared" ca="1" si="348"/>
        <v>1.2114499813582646</v>
      </c>
      <c r="JS68" s="143">
        <f t="shared" si="239"/>
        <v>92.708540039062513</v>
      </c>
      <c r="JT68" s="143">
        <f t="shared" ca="1" si="349"/>
        <v>219.37116412918206</v>
      </c>
      <c r="JU68" s="143">
        <f t="shared" si="256"/>
        <v>0.28914130933194582</v>
      </c>
      <c r="JV68" s="143">
        <f t="shared" si="241"/>
        <v>0.35939468018795268</v>
      </c>
      <c r="JW68" s="143">
        <f t="shared" ca="1" si="242"/>
        <v>0.19719887106414061</v>
      </c>
      <c r="JX68" s="143">
        <f t="shared" ca="1" si="243"/>
        <v>0.29662143312064193</v>
      </c>
      <c r="JY68" s="143">
        <f t="shared" si="244"/>
        <v>0.77234087418955089</v>
      </c>
      <c r="JZ68" s="143">
        <f t="shared" si="245"/>
        <v>0.41556662736645383</v>
      </c>
      <c r="KA68" s="143">
        <f t="shared" si="350"/>
        <v>0.27277482012447712</v>
      </c>
      <c r="KB68" s="143">
        <f t="shared" si="351"/>
        <v>0.33905158508297417</v>
      </c>
      <c r="KC68" s="143">
        <f t="shared" ca="1" si="352"/>
        <v>0.41722653743110777</v>
      </c>
      <c r="KD68" s="143">
        <f t="shared" ca="1" si="353"/>
        <v>0.66186317972364017</v>
      </c>
      <c r="KE68" s="143">
        <f t="shared" ca="1" si="354"/>
        <v>0.65101299148293401</v>
      </c>
      <c r="KF68" s="143">
        <f t="shared" ca="1" si="355"/>
        <v>0.41383570860834273</v>
      </c>
      <c r="KG68" s="142">
        <f t="shared" si="356"/>
        <v>0.14725387023529879</v>
      </c>
      <c r="KH68" s="142">
        <f t="shared" ca="1" si="357"/>
        <v>0.1249235457336931</v>
      </c>
      <c r="KI68" s="142">
        <f t="shared" ca="1" si="358"/>
        <v>385.16537934238772</v>
      </c>
      <c r="KJ68" s="142">
        <f t="shared" ca="1" si="359"/>
        <v>326.38528000227768</v>
      </c>
    </row>
    <row r="69" spans="1:296" x14ac:dyDescent="0.3">
      <c r="A69" s="201">
        <v>41376</v>
      </c>
      <c r="B69" s="196">
        <v>70</v>
      </c>
      <c r="C69" s="179">
        <v>24</v>
      </c>
      <c r="D69" s="179">
        <v>4.2</v>
      </c>
      <c r="E69" s="179">
        <v>50016</v>
      </c>
      <c r="F69" s="179">
        <v>300</v>
      </c>
      <c r="G69" s="179">
        <v>11.7</v>
      </c>
      <c r="H69" s="179">
        <v>0.85</v>
      </c>
      <c r="I69" s="179">
        <v>1.4</v>
      </c>
      <c r="J69" s="179">
        <v>1.33</v>
      </c>
      <c r="K69" s="179">
        <v>0.91</v>
      </c>
      <c r="L69" s="152">
        <v>26920.214443221688</v>
      </c>
      <c r="M69" s="155">
        <v>19</v>
      </c>
      <c r="N69" s="153">
        <v>77400.030556902289</v>
      </c>
      <c r="O69" s="178">
        <v>17</v>
      </c>
      <c r="P69" s="179">
        <v>2</v>
      </c>
      <c r="Q69" s="179">
        <v>5</v>
      </c>
      <c r="R69" s="154">
        <v>382.3846435546875</v>
      </c>
      <c r="S69" s="155">
        <v>76.100613356975373</v>
      </c>
      <c r="T69" s="152">
        <v>180</v>
      </c>
      <c r="U69" s="156">
        <v>3.0072286128997803</v>
      </c>
      <c r="V69" s="178">
        <v>17</v>
      </c>
      <c r="W69" s="179">
        <v>1250</v>
      </c>
      <c r="X69" s="155">
        <v>66674.165287926793</v>
      </c>
      <c r="Y69" s="155">
        <v>9958.0780443400145</v>
      </c>
      <c r="Z69" s="155">
        <v>338.47750854492187</v>
      </c>
      <c r="AA69" s="155">
        <v>11.589003562927246</v>
      </c>
      <c r="AB69" s="155">
        <v>14.786724090576172</v>
      </c>
      <c r="AC69" s="215">
        <v>37</v>
      </c>
      <c r="AD69" s="215">
        <v>27.96759033203125</v>
      </c>
      <c r="AE69" s="254">
        <v>20</v>
      </c>
      <c r="AF69" s="254">
        <v>10</v>
      </c>
      <c r="AG69" s="217">
        <v>5000000</v>
      </c>
      <c r="AH69" s="218">
        <v>300000</v>
      </c>
      <c r="AI69" s="219">
        <v>5000000</v>
      </c>
      <c r="AJ69" s="225">
        <f t="shared" si="330"/>
        <v>300000</v>
      </c>
      <c r="AK69" s="220">
        <v>2750000</v>
      </c>
      <c r="AL69" s="226">
        <f t="shared" si="331"/>
        <v>300000</v>
      </c>
      <c r="AM69" s="221">
        <v>14.407</v>
      </c>
      <c r="BM69" s="197">
        <f t="shared" si="332"/>
        <v>9.03240966796875</v>
      </c>
      <c r="BN69" s="196">
        <f t="shared" si="333"/>
        <v>180</v>
      </c>
      <c r="BO69" s="197">
        <f t="shared" si="334"/>
        <v>3.1977205276489258</v>
      </c>
      <c r="BP69" s="196">
        <f t="shared" si="294"/>
        <v>12.686270966030579</v>
      </c>
      <c r="BQ69" s="115">
        <f t="shared" si="335"/>
        <v>659.74492511188635</v>
      </c>
      <c r="BR69" s="184">
        <f t="shared" si="336"/>
        <v>1.0041987768</v>
      </c>
      <c r="BS69" s="115">
        <f t="shared" si="337"/>
        <v>6863.8528613899143</v>
      </c>
      <c r="BT69" s="196">
        <v>900</v>
      </c>
      <c r="BU69" s="115">
        <f t="shared" si="288"/>
        <v>1.1850729520000001</v>
      </c>
      <c r="BV69" s="115">
        <f t="shared" si="269"/>
        <v>1.0733124464294075</v>
      </c>
      <c r="BW69" s="115">
        <f t="shared" si="270"/>
        <v>476.52709876961603</v>
      </c>
      <c r="BX69" s="115">
        <f t="shared" ref="BX69:BX100" si="377">((CD69*E69)/(JN69*BU69))+BQ69</f>
        <v>1146.3627540742928</v>
      </c>
      <c r="BY69" s="115"/>
      <c r="BZ69" s="115">
        <f t="shared" ref="BZ69:BZ100" si="378">BX69+(K69*BX69*((1/G69)^((J69-1)/J69)-1))</f>
        <v>669.83565530467672</v>
      </c>
      <c r="CA69" s="115">
        <f t="shared" ref="CA69:CA100" si="379">(JN69*BU69*(BX69-BZ69))</f>
        <v>10854.822756400365</v>
      </c>
      <c r="CB69" s="115">
        <f t="shared" ref="CB69:CB100" si="380">N69/C69</f>
        <v>3225.0012732042619</v>
      </c>
      <c r="CC69" s="115">
        <f t="shared" ref="CC69:CC100" si="381">L69/C69</f>
        <v>1121.6756018009037</v>
      </c>
      <c r="CD69" s="129">
        <f t="shared" si="271"/>
        <v>0.22162267580390543</v>
      </c>
      <c r="CE69" s="115">
        <f t="shared" ref="CE69:CE100" si="382">Z69/V69</f>
        <v>19.910441679113053</v>
      </c>
      <c r="CF69" s="115">
        <f t="shared" ref="CF69:CF100" si="383">(1/3.6)*S69</f>
        <v>21.139059265826493</v>
      </c>
      <c r="CG69" s="115">
        <f t="shared" ref="CG69:CG100" si="384">P69/100</f>
        <v>0.02</v>
      </c>
      <c r="CH69" s="115">
        <f t="shared" ref="CH69:CH100" si="385">Q69/100</f>
        <v>0.05</v>
      </c>
      <c r="CI69" s="136">
        <v>30</v>
      </c>
      <c r="CJ69" s="115">
        <f t="shared" si="257"/>
        <v>165</v>
      </c>
      <c r="CK69" s="115">
        <f t="shared" ref="CK69:CK100" si="386">T69+273</f>
        <v>453</v>
      </c>
      <c r="CL69" s="115">
        <f t="shared" ref="CL69:CL100" si="387">R69+273</f>
        <v>655.3846435546875</v>
      </c>
      <c r="CM69" s="115">
        <f t="shared" ref="CM69:CM100" ca="1" si="388">FORECAST(T69,OFFSET(KnownA,MATCH(T69,KnownB,1)-1,0,2),OFFSET(KnownB,MATCH(T69,KnownB,1)-1,0,2))</f>
        <v>2816.5993052117487</v>
      </c>
      <c r="CN69" s="115">
        <f t="shared" ca="1" si="258"/>
        <v>125.80344444444444</v>
      </c>
      <c r="CO69" s="115">
        <f t="shared" ca="1" si="259"/>
        <v>690.58718083896258</v>
      </c>
      <c r="CP69" s="115">
        <f t="shared" ca="1" si="260"/>
        <v>2790.6388281929471</v>
      </c>
      <c r="CQ69" s="115">
        <f t="shared" si="272"/>
        <v>1.072449112508886</v>
      </c>
      <c r="CR69" s="115">
        <f t="shared" ca="1" si="338"/>
        <v>495.37652855426234</v>
      </c>
      <c r="CS69" s="115">
        <f t="shared" ca="1" si="339"/>
        <v>24.521250156039901</v>
      </c>
      <c r="CT69" s="115">
        <f t="shared" si="273"/>
        <v>1.119531143804096</v>
      </c>
      <c r="CU69" s="115">
        <f t="shared" ca="1" si="274"/>
        <v>1.0166216570529603</v>
      </c>
      <c r="CV69" s="115">
        <f t="shared" si="360"/>
        <v>196.83565530467672</v>
      </c>
      <c r="CW69" s="115">
        <f t="shared" si="261"/>
        <v>473</v>
      </c>
      <c r="CX69" s="115">
        <f t="shared" si="262"/>
        <v>438</v>
      </c>
      <c r="CY69" s="115">
        <f t="shared" ca="1" si="275"/>
        <v>448.47874984396009</v>
      </c>
      <c r="CZ69" s="115">
        <f t="shared" ca="1" si="263"/>
        <v>206.90589371072741</v>
      </c>
      <c r="DA69" s="115">
        <v>0.21890000000000001</v>
      </c>
      <c r="DB69" s="115">
        <v>2.7E-2</v>
      </c>
      <c r="DC69" s="115">
        <v>1.06</v>
      </c>
      <c r="DD69" s="138">
        <f t="shared" ref="DD69:DD100" si="389">(CD69*(DC69*E69))*0.001</f>
        <v>11.749760538188623</v>
      </c>
      <c r="DE69" s="138">
        <f t="shared" si="276"/>
        <v>11.749760538188623</v>
      </c>
      <c r="DF69" s="115">
        <f t="shared" si="264"/>
        <v>655.3846435546875</v>
      </c>
      <c r="DG69" s="115">
        <v>669.83565530467672</v>
      </c>
      <c r="DH69" s="115">
        <f t="shared" si="277"/>
        <v>1.119531143804096</v>
      </c>
      <c r="DI69" s="115">
        <f t="shared" si="299"/>
        <v>1.1234070154209459</v>
      </c>
      <c r="DJ69" s="138">
        <f t="shared" si="340"/>
        <v>2.6340383873799778</v>
      </c>
      <c r="DK69" s="138">
        <f t="shared" si="341"/>
        <v>2.8147915537179626</v>
      </c>
      <c r="DL69" s="115">
        <f t="shared" si="278"/>
        <v>655.3846435546875</v>
      </c>
      <c r="DM69" s="115">
        <f t="shared" si="293"/>
        <v>669.83565530467672</v>
      </c>
      <c r="DN69" s="115">
        <f t="shared" si="300"/>
        <v>12.801600702085402</v>
      </c>
      <c r="DO69" s="115">
        <f t="shared" si="301"/>
        <v>1.119531143804096</v>
      </c>
      <c r="DP69" s="115">
        <f t="shared" si="292"/>
        <v>1.1234070154209459</v>
      </c>
      <c r="DQ69" s="115">
        <v>298.14999999999998</v>
      </c>
      <c r="DR69" s="138">
        <f t="shared" si="302"/>
        <v>1.7542695659950653</v>
      </c>
      <c r="DS69" s="138">
        <f t="shared" si="303"/>
        <v>1.8746511747761632</v>
      </c>
      <c r="DT69" s="115">
        <f t="shared" si="289"/>
        <v>655.3846435546875</v>
      </c>
      <c r="DU69" s="139">
        <f t="shared" si="118"/>
        <v>6.4200219737185051</v>
      </c>
      <c r="DV69" s="115">
        <f t="shared" si="279"/>
        <v>1.119531143804096</v>
      </c>
      <c r="DW69" s="115">
        <v>298.14999999999998</v>
      </c>
      <c r="DX69" s="138">
        <f t="shared" si="342"/>
        <v>0.87976882138491264</v>
      </c>
      <c r="DY69" s="138">
        <f t="shared" si="343"/>
        <v>0.94014037894179958</v>
      </c>
      <c r="DZ69" s="138">
        <f t="shared" si="290"/>
        <v>3.2250012732042621</v>
      </c>
      <c r="EA69" s="138">
        <f t="shared" si="280"/>
        <v>3.9909698950104504</v>
      </c>
      <c r="EB69" s="115">
        <f t="shared" si="291"/>
        <v>21.139059265826493</v>
      </c>
      <c r="EC69" s="115">
        <v>30</v>
      </c>
      <c r="ED69" s="198">
        <f t="shared" ca="1" si="265"/>
        <v>125.80344444444444</v>
      </c>
      <c r="EE69" s="198">
        <v>104.83</v>
      </c>
      <c r="EF69" s="198">
        <f t="shared" ca="1" si="295"/>
        <v>0.42491111111111107</v>
      </c>
      <c r="EG69" s="199">
        <v>0.36720000000000003</v>
      </c>
      <c r="EH69" s="138">
        <f t="shared" ca="1" si="304"/>
        <v>7.9628229103725953E-2</v>
      </c>
      <c r="EI69" s="138">
        <f t="shared" ca="1" si="281"/>
        <v>7.9628229103725953E-2</v>
      </c>
      <c r="EJ69" s="115">
        <f t="shared" si="296"/>
        <v>12.801600702085402</v>
      </c>
      <c r="EK69" s="115">
        <v>435</v>
      </c>
      <c r="EL69" s="115">
        <f t="shared" ca="1" si="297"/>
        <v>448.47874984396009</v>
      </c>
      <c r="EM69" s="115">
        <f t="shared" ca="1" si="305"/>
        <v>1.0623421773348951</v>
      </c>
      <c r="EN69" s="115">
        <f t="shared" ca="1" si="306"/>
        <v>1.0665158621156239</v>
      </c>
      <c r="EO69" s="115">
        <v>298.14999999999998</v>
      </c>
      <c r="EP69" s="138">
        <f t="shared" ca="1" si="307"/>
        <v>0.32943922256411101</v>
      </c>
      <c r="EQ69" s="138">
        <f t="shared" ca="1" si="308"/>
        <v>0.3905426305538669</v>
      </c>
      <c r="ER69" s="115">
        <f t="shared" si="282"/>
        <v>0.83534128136105013</v>
      </c>
      <c r="ES69" s="115">
        <f t="shared" si="298"/>
        <v>453</v>
      </c>
      <c r="ET69" s="115">
        <f t="shared" ref="ET69:ET100" ca="1" si="390">FORECAST(T69,OFFSET(KnownA,MATCH(T69,KnownB,1)-1,0,2),OFFSET(KnownB,MATCH(T69,KnownB,1)-1,0,2))</f>
        <v>2816.5993052117487</v>
      </c>
      <c r="EU69" s="115">
        <f t="shared" ref="EU69:EU100" ca="1" si="391">FORECAST(T69,OFFSET(Svapour,MATCH(T69,Suhu,1)-1,0,2),OFFSET(Suhu,MATCH(T69,Suhu,1)-1,0,2))</f>
        <v>6.5855309782608691</v>
      </c>
      <c r="EV69" s="138">
        <f t="shared" ca="1" si="309"/>
        <v>0.71653396882840192</v>
      </c>
      <c r="EW69" s="138">
        <f t="shared" ca="1" si="344"/>
        <v>1.0533444601436879</v>
      </c>
      <c r="EX69" s="115">
        <v>21.47</v>
      </c>
      <c r="EY69" s="115">
        <f t="shared" ref="EY69:EY100" ca="1" si="392">FORECAST(AD69,OFFSET(KnownY1SAC,MATCH(AD69,KnownX1SAC,1)-1,0,2),OFFSET(KnownX1SAC,MATCH(AD69,KnownX1SAC,1)-1,0,2))</f>
        <v>117.13191749403211</v>
      </c>
      <c r="EZ69" s="115">
        <f t="shared" ref="EZ69:EZ100" ca="1" si="393">FORECAST(AD69,OFFSET(KnownYSAC,MATCH(AD69,KnownXSAC,1)-1,0,2),OFFSET(KnownXSAC,MATCH(AD69,KnownXSAC,1)-1,0,2))</f>
        <v>0.39657028740776906</v>
      </c>
      <c r="FA69" s="138">
        <f t="shared" ca="1" si="310"/>
        <v>7.6114720534121966E-2</v>
      </c>
      <c r="FB69" s="138">
        <f t="shared" ca="1" si="283"/>
        <v>7.6114720534121966E-2</v>
      </c>
      <c r="FC69" s="115">
        <f t="shared" si="266"/>
        <v>21.47</v>
      </c>
      <c r="FD69" s="115">
        <v>37</v>
      </c>
      <c r="FE69" s="115">
        <f t="shared" ca="1" si="267"/>
        <v>154.93355555555553</v>
      </c>
      <c r="FF69" s="115">
        <f t="shared" ca="1" si="268"/>
        <v>0.52252222222222222</v>
      </c>
      <c r="FG69" s="138">
        <f t="shared" ca="1" si="311"/>
        <v>8.1462225449999703E-2</v>
      </c>
      <c r="FH69" s="138">
        <f t="shared" ca="1" si="312"/>
        <v>8.1462225449999703E-2</v>
      </c>
      <c r="FI69" s="115">
        <f t="shared" si="284"/>
        <v>94.77370239257813</v>
      </c>
      <c r="FJ69" s="115">
        <f t="shared" ref="FJ69:FJ100" ca="1" si="394">FORECAST(AA69,OFFSET(KnownY1SAC,MATCH(AA69,KnownX1SAC,1)-1,0,2),OFFSET(KnownX1SAC,MATCH(AA69,KnownX1SAC,1)-1,0,2))</f>
        <v>48.585712022357527</v>
      </c>
      <c r="FK69" s="115">
        <f t="shared" ref="FK69:FK100" ca="1" si="395">FORECAST(AA69,OFFSET(KnownYSAC,MATCH(AA69,KnownXSAC,1)-1,0,2),OFFSET(KnownXSAC,MATCH(AA69,KnownXSAC,1)-1,0,2))</f>
        <v>0.16817999412748549</v>
      </c>
      <c r="FL69" s="138">
        <f t="shared" ca="1" si="313"/>
        <v>0.29318498575125301</v>
      </c>
      <c r="FM69" s="138">
        <f t="shared" ca="1" si="345"/>
        <v>0.61191243192335432</v>
      </c>
      <c r="FN69" s="115">
        <f t="shared" si="285"/>
        <v>94.77370239257813</v>
      </c>
      <c r="FO69" s="115">
        <f t="shared" ref="FO69:FO100" ca="1" si="396">FORECAST(AB69,OFFSET(KnownY1SAC,MATCH(AB69,KnownX1SAC,1)-1,0,2),OFFSET(KnownX1SAC,MATCH(AB69,KnownX1SAC,1)-1,0,2))</f>
        <v>61.968527732849125</v>
      </c>
      <c r="FP69" s="115">
        <f t="shared" ref="FP69:FP100" ca="1" si="397">FORECAST(AB69,OFFSET(KnownYSAC,MATCH(AB69,KnownXSAC,1)-1,0,2),OFFSET(KnownXSAC,MATCH(AB69,KnownXSAC,1)-1,0,2))</f>
        <v>0.2127704303741455</v>
      </c>
      <c r="FQ69" s="138">
        <f t="shared" ca="1" si="314"/>
        <v>0.30154186011188078</v>
      </c>
      <c r="FR69" s="138">
        <f t="shared" ca="1" si="346"/>
        <v>0.62935423679677405</v>
      </c>
      <c r="FS69" s="139">
        <f t="shared" si="315"/>
        <v>5.8907208776043838</v>
      </c>
      <c r="FT69" s="249">
        <f t="shared" si="316"/>
        <v>4.9439990894602106</v>
      </c>
      <c r="FU69" s="139">
        <f t="shared" ca="1" si="317"/>
        <v>0.78792460370627837</v>
      </c>
      <c r="FV69" s="249">
        <f t="shared" ca="1" si="318"/>
        <v>0.51039231318233447</v>
      </c>
      <c r="FW69" s="139">
        <f t="shared" ca="1" si="286"/>
        <v>0.71954333827315198</v>
      </c>
      <c r="FX69" s="249">
        <f t="shared" ca="1" si="319"/>
        <v>1.0654387601012298</v>
      </c>
      <c r="FY69" s="249">
        <f t="shared" ref="FY69:FY100" si="398">((AF69/100*(1+(AF69/100)*AE69))/((1+(AF69/100)*AE69-1)))</f>
        <v>0.15000000000000002</v>
      </c>
      <c r="FZ69" s="139">
        <f t="shared" ref="FZ69:FZ100" si="399">(AG69*FY69)+(AH69)</f>
        <v>1050000</v>
      </c>
      <c r="GA69" s="139">
        <f t="shared" si="320"/>
        <v>3.3757716049382713E-2</v>
      </c>
      <c r="GB69" s="139">
        <f t="shared" si="361"/>
        <v>121.52777777777777</v>
      </c>
      <c r="GC69" s="139">
        <f t="shared" ref="GC69:GC100" si="400">(AI69*FY69)+(AJ69)</f>
        <v>1050000</v>
      </c>
      <c r="GD69" s="139">
        <f t="shared" si="362"/>
        <v>6.7515432098765427E-2</v>
      </c>
      <c r="GE69" s="139">
        <f t="shared" si="363"/>
        <v>243.05555555555554</v>
      </c>
      <c r="GF69" s="139">
        <f t="shared" si="364"/>
        <v>4.5814043209876545E-2</v>
      </c>
      <c r="GG69" s="139">
        <f t="shared" ref="GG69:GG100" si="401">(AK69*FY69)+(AL69)</f>
        <v>712500</v>
      </c>
      <c r="GH69" s="139">
        <f t="shared" si="365"/>
        <v>164.93055555555554</v>
      </c>
      <c r="GI69" s="137">
        <f t="shared" ref="GI69:GI100" si="402">((AM69*(DD69-DJ69)*10^(-3))+GA69)/(DZ69*10^(-3))</f>
        <v>51.190034077740556</v>
      </c>
      <c r="GJ69" s="137">
        <f t="shared" si="321"/>
        <v>0.18428412267986455</v>
      </c>
      <c r="GK69" s="251">
        <f t="shared" ref="GK69:GK100" si="403">((AM69*(DE69-DK69)*10^(-3))+GA69)/(EA69*10^(-3))</f>
        <v>40.712863911048387</v>
      </c>
      <c r="GL69" s="137">
        <f t="shared" si="329"/>
        <v>0.14656631007977303</v>
      </c>
      <c r="GM69" s="137">
        <f t="shared" ref="GM69:GM100" ca="1" si="404">(AM69*(DD69*(EXP(-3))+(GA69+GD69+GF69))-(GI69*DZ69*EXP(-3))/(FL69)*(EXP(-3)))</f>
        <v>9.1512333948335804</v>
      </c>
      <c r="GN69" s="137">
        <f t="shared" ca="1" si="322"/>
        <v>3.2944440221400625E-2</v>
      </c>
      <c r="GO69" s="137">
        <f t="shared" ca="1" si="366"/>
        <v>0.11583839740295579</v>
      </c>
      <c r="GP69" s="137">
        <f t="shared" ref="GP69:GP100" ca="1" si="405">(AM69*(DE69*(EXP(-3))+(GA69+GD69+GF69))-(GK69*EA69*EXP(-3))/(FM69)*(EXP(-3)))</f>
        <v>9.8887863307336925</v>
      </c>
      <c r="GQ69" s="137">
        <f t="shared" ca="1" si="323"/>
        <v>3.5599630790641011E-2</v>
      </c>
      <c r="GR69" s="137">
        <f t="shared" ref="GR69:GR122" ca="1" si="406">GQ69/0.2844</f>
        <v>0.12517451051561537</v>
      </c>
      <c r="GS69" s="140">
        <f t="shared" ref="GS69:GS100" si="407">(AM69*(FS69*0.001))</f>
        <v>8.4867615683646355E-2</v>
      </c>
      <c r="GT69" s="140">
        <f t="shared" ref="GT69:GT100" si="408">(AM69*(FT69*0.001))</f>
        <v>7.1228194881853266E-2</v>
      </c>
      <c r="GU69" s="140">
        <f t="shared" si="287"/>
        <v>305.52341646112689</v>
      </c>
      <c r="GV69" s="140">
        <f t="shared" si="324"/>
        <v>256.42150157467177</v>
      </c>
      <c r="GW69" s="141">
        <f t="shared" ref="GW69:GW100" ca="1" si="409">((66.6/100)*AM69*(0.001*FU69))</f>
        <v>7.5601854238871698E-3</v>
      </c>
      <c r="GX69" s="141">
        <f t="shared" ref="GX69:GX100" ca="1" si="410">((66.6/100)*AM69*(0.001*FV69))</f>
        <v>4.8972458893079161E-3</v>
      </c>
      <c r="GY69" s="141">
        <f t="shared" ca="1" si="325"/>
        <v>27.21666752599381</v>
      </c>
      <c r="GZ69" s="141">
        <f t="shared" ca="1" si="326"/>
        <v>17.630085201508496</v>
      </c>
      <c r="HA69" s="141">
        <f t="shared" ref="HA69:HA100" ca="1" si="411">(((66.6/100)*AM69)/KC69)*(FW69*0.001)</f>
        <v>1.5445171490472984E-2</v>
      </c>
      <c r="HB69" s="141">
        <f t="shared" ref="HB69:HB100" ca="1" si="412">(((66.6/100)*AM69)/KD69)*(FX69*0.001)</f>
        <v>1.5581509667609256E-2</v>
      </c>
      <c r="HC69" s="141">
        <f t="shared" ca="1" si="327"/>
        <v>55.602617365702741</v>
      </c>
      <c r="HD69" s="141">
        <f t="shared" ca="1" si="328"/>
        <v>56.093434803393322</v>
      </c>
      <c r="HE69" s="137">
        <f t="shared" si="367"/>
        <v>9.1157221508086455</v>
      </c>
      <c r="HF69" s="250">
        <f t="shared" si="368"/>
        <v>8.934968984470661</v>
      </c>
      <c r="HG69" s="137">
        <v>3.2250012732042621</v>
      </c>
      <c r="HH69" s="251">
        <v>4.3201498547688972</v>
      </c>
      <c r="HI69" s="137">
        <f t="shared" ca="1" si="369"/>
        <v>1.3637269354411985</v>
      </c>
      <c r="HJ69" s="251">
        <f t="shared" ca="1" si="370"/>
        <v>1.4841085442222963</v>
      </c>
      <c r="HK69" s="137">
        <f t="shared" ca="1" si="371"/>
        <v>0.63690573972467601</v>
      </c>
      <c r="HL69" s="251">
        <f t="shared" ca="1" si="372"/>
        <v>0.97371623103996197</v>
      </c>
      <c r="HM69" s="137">
        <f t="shared" ca="1" si="373"/>
        <v>0.71653396882840192</v>
      </c>
      <c r="HN69" s="251">
        <f t="shared" ca="1" si="374"/>
        <v>1.0533444601436879</v>
      </c>
      <c r="HO69" s="137">
        <f t="shared" ca="1" si="375"/>
        <v>0.29318498575125301</v>
      </c>
      <c r="HP69" s="251">
        <f t="shared" ca="1" si="376"/>
        <v>0.61191243192335432</v>
      </c>
      <c r="JN69" s="143">
        <f t="shared" ref="JN69:JN100" si="413">CD69+M69</f>
        <v>19.221622675803907</v>
      </c>
      <c r="JO69" s="143">
        <f t="shared" si="347"/>
        <v>3225.0012732042619</v>
      </c>
      <c r="JP69" s="143">
        <f t="shared" ref="JP69:JP100" si="414">CA69-BS69</f>
        <v>3990.9698950104503</v>
      </c>
      <c r="JQ69" s="143">
        <f t="shared" ref="JQ69:JQ100" si="415">(1/3.6)*U69</f>
        <v>0.83534128136105013</v>
      </c>
      <c r="JR69" s="143">
        <f t="shared" ca="1" si="348"/>
        <v>1.2279977633017338</v>
      </c>
      <c r="JS69" s="143">
        <f t="shared" ref="JS69:JS100" si="416">0.28*Z69</f>
        <v>94.77370239257813</v>
      </c>
      <c r="JT69" s="143">
        <f t="shared" ca="1" si="349"/>
        <v>197.80414936604527</v>
      </c>
      <c r="JU69" s="143">
        <f t="shared" si="256"/>
        <v>0.29094221439541978</v>
      </c>
      <c r="JV69" s="143">
        <f t="shared" ref="JV69:JV100" si="417">JP69/(CD69*E69)</f>
        <v>0.36004377067613436</v>
      </c>
      <c r="JW69" s="143">
        <f t="shared" ref="JW69:JW100" ca="1" si="418">(JQ69*(CM69-CN69))/((JN69*CU69)+(CD69*E69))</f>
        <v>0.20242148353731093</v>
      </c>
      <c r="JX69" s="143">
        <f t="shared" ref="JX69:JX100" ca="1" si="419">(JR69*(CM69-CN69))/((JN69*CU69)+(CD69*E69))</f>
        <v>0.29757074692038188</v>
      </c>
      <c r="JY69" s="143">
        <f t="shared" ref="JY69:JY100" si="420">Y69/(X69*(DA69-DB69))</f>
        <v>0.77829271176201964</v>
      </c>
      <c r="JZ69" s="143">
        <f t="shared" ref="JZ69:JZ100" si="421">((BO69/(BM69-BO69)))*((BN69-BM69)/BN69)</f>
        <v>0.52055193803391731</v>
      </c>
      <c r="KA69" s="143">
        <f t="shared" si="350"/>
        <v>0.27447378716549042</v>
      </c>
      <c r="KB69" s="143">
        <f t="shared" si="351"/>
        <v>0.33966393460012673</v>
      </c>
      <c r="KC69" s="143">
        <f t="shared" ca="1" si="352"/>
        <v>0.44700461543444081</v>
      </c>
      <c r="KD69" s="143">
        <f t="shared" ca="1" si="353"/>
        <v>0.65609502406726561</v>
      </c>
      <c r="KE69" s="143">
        <f t="shared" ca="1" si="354"/>
        <v>0.58092338743575167</v>
      </c>
      <c r="KF69" s="143">
        <f t="shared" ca="1" si="355"/>
        <v>0.40917109098210247</v>
      </c>
      <c r="KG69" s="142">
        <f t="shared" si="356"/>
        <v>0.14656631007977303</v>
      </c>
      <c r="KH69" s="142">
        <f t="shared" ca="1" si="357"/>
        <v>0.12517451051561537</v>
      </c>
      <c r="KI69" s="142">
        <f t="shared" ca="1" si="358"/>
        <v>388.34270135282338</v>
      </c>
      <c r="KJ69" s="142">
        <f t="shared" ca="1" si="359"/>
        <v>330.14502157957361</v>
      </c>
    </row>
    <row r="70" spans="1:296" x14ac:dyDescent="0.3">
      <c r="A70" s="201">
        <v>41377</v>
      </c>
      <c r="B70" s="196">
        <v>71</v>
      </c>
      <c r="C70" s="179">
        <v>24</v>
      </c>
      <c r="D70" s="179">
        <v>4.2</v>
      </c>
      <c r="E70" s="179">
        <v>50016</v>
      </c>
      <c r="F70" s="179">
        <v>300</v>
      </c>
      <c r="G70" s="179">
        <v>11.7</v>
      </c>
      <c r="H70" s="179">
        <v>0.85</v>
      </c>
      <c r="I70" s="179">
        <v>1.4</v>
      </c>
      <c r="J70" s="179">
        <v>1.33</v>
      </c>
      <c r="K70" s="179">
        <v>0.91</v>
      </c>
      <c r="L70" s="152">
        <v>26176.060264319181</v>
      </c>
      <c r="M70" s="155">
        <v>19</v>
      </c>
      <c r="N70" s="153">
        <v>74459.890833087265</v>
      </c>
      <c r="O70" s="178">
        <v>17</v>
      </c>
      <c r="P70" s="179">
        <v>2</v>
      </c>
      <c r="Q70" s="179">
        <v>5</v>
      </c>
      <c r="R70" s="154">
        <v>381.32290649414062</v>
      </c>
      <c r="S70" s="155">
        <v>76.120621110021602</v>
      </c>
      <c r="T70" s="152">
        <v>180</v>
      </c>
      <c r="U70" s="156">
        <v>3.1398873329162598</v>
      </c>
      <c r="V70" s="178">
        <v>17</v>
      </c>
      <c r="W70" s="179">
        <v>1250</v>
      </c>
      <c r="X70" s="155">
        <v>72135.277093425393</v>
      </c>
      <c r="Y70" s="155">
        <v>10137.523506209254</v>
      </c>
      <c r="Z70" s="155">
        <v>346.68414306640625</v>
      </c>
      <c r="AA70" s="155">
        <v>11.227792739868164</v>
      </c>
      <c r="AB70" s="155">
        <v>14.614399909973145</v>
      </c>
      <c r="AC70" s="215">
        <v>37</v>
      </c>
      <c r="AD70" s="215">
        <v>28.991363525390625</v>
      </c>
      <c r="AE70" s="254">
        <v>20</v>
      </c>
      <c r="AF70" s="254">
        <v>10</v>
      </c>
      <c r="AG70" s="217">
        <v>5000000</v>
      </c>
      <c r="AH70" s="218">
        <v>300000</v>
      </c>
      <c r="AI70" s="219">
        <v>5000000</v>
      </c>
      <c r="AJ70" s="225">
        <f t="shared" si="330"/>
        <v>300000</v>
      </c>
      <c r="AK70" s="220">
        <v>2750000</v>
      </c>
      <c r="AL70" s="226">
        <f t="shared" si="331"/>
        <v>300000</v>
      </c>
      <c r="AM70" s="221">
        <v>14.407</v>
      </c>
      <c r="BM70" s="197">
        <f t="shared" si="332"/>
        <v>8.008636474609375</v>
      </c>
      <c r="BN70" s="196">
        <f t="shared" si="333"/>
        <v>180</v>
      </c>
      <c r="BO70" s="197">
        <f t="shared" si="334"/>
        <v>3.3866071701049805</v>
      </c>
      <c r="BP70" s="196">
        <f t="shared" si="294"/>
        <v>12.682227604828782</v>
      </c>
      <c r="BQ70" s="115">
        <f t="shared" si="335"/>
        <v>659.74492511188635</v>
      </c>
      <c r="BR70" s="184">
        <f t="shared" si="336"/>
        <v>1.0041987768</v>
      </c>
      <c r="BS70" s="115">
        <f t="shared" si="337"/>
        <v>6863.8528613899143</v>
      </c>
      <c r="BT70" s="196">
        <v>900</v>
      </c>
      <c r="BU70" s="115">
        <f t="shared" si="288"/>
        <v>1.1850729520000001</v>
      </c>
      <c r="BV70" s="115">
        <f t="shared" si="269"/>
        <v>1.0719602019852019</v>
      </c>
      <c r="BW70" s="115">
        <f t="shared" si="270"/>
        <v>470.99818322988438</v>
      </c>
      <c r="BX70" s="115">
        <f t="shared" si="377"/>
        <v>1133.062056461217</v>
      </c>
      <c r="BY70" s="115"/>
      <c r="BZ70" s="115">
        <f t="shared" si="378"/>
        <v>662.06387323133265</v>
      </c>
      <c r="CA70" s="115">
        <f t="shared" si="379"/>
        <v>10725.459947927318</v>
      </c>
      <c r="CB70" s="115">
        <f t="shared" si="380"/>
        <v>3102.4954513786361</v>
      </c>
      <c r="CC70" s="115">
        <f t="shared" si="381"/>
        <v>1090.669177679966</v>
      </c>
      <c r="CD70" s="129">
        <f t="shared" si="271"/>
        <v>0.21549637095269883</v>
      </c>
      <c r="CE70" s="115">
        <f t="shared" si="382"/>
        <v>20.393184886259192</v>
      </c>
      <c r="CF70" s="115">
        <f t="shared" si="383"/>
        <v>21.144616975006002</v>
      </c>
      <c r="CG70" s="115">
        <f t="shared" si="384"/>
        <v>0.02</v>
      </c>
      <c r="CH70" s="115">
        <f t="shared" si="385"/>
        <v>0.05</v>
      </c>
      <c r="CI70" s="136">
        <v>30</v>
      </c>
      <c r="CJ70" s="115">
        <f t="shared" si="257"/>
        <v>165</v>
      </c>
      <c r="CK70" s="115">
        <f t="shared" si="386"/>
        <v>453</v>
      </c>
      <c r="CL70" s="115">
        <f t="shared" si="387"/>
        <v>654.32290649414062</v>
      </c>
      <c r="CM70" s="115">
        <f t="shared" ca="1" si="388"/>
        <v>2816.5993052117487</v>
      </c>
      <c r="CN70" s="115">
        <f t="shared" ca="1" si="258"/>
        <v>125.80344444444444</v>
      </c>
      <c r="CO70" s="115">
        <f t="shared" ca="1" si="259"/>
        <v>690.58718083896258</v>
      </c>
      <c r="CP70" s="115">
        <f t="shared" ca="1" si="260"/>
        <v>2790.6388281929471</v>
      </c>
      <c r="CQ70" s="115">
        <f t="shared" si="272"/>
        <v>1.072449112508886</v>
      </c>
      <c r="CR70" s="115">
        <f t="shared" ca="1" si="338"/>
        <v>517.22921242482687</v>
      </c>
      <c r="CS70" s="115">
        <f t="shared" ca="1" si="339"/>
        <v>25.611125711686704</v>
      </c>
      <c r="CT70" s="115">
        <f t="shared" si="273"/>
        <v>1.119246853996793</v>
      </c>
      <c r="CU70" s="115">
        <f t="shared" ca="1" si="274"/>
        <v>1.0166263424936941</v>
      </c>
      <c r="CV70" s="115">
        <f t="shared" si="360"/>
        <v>189.06387323133265</v>
      </c>
      <c r="CW70" s="115">
        <f t="shared" si="261"/>
        <v>473</v>
      </c>
      <c r="CX70" s="115">
        <f t="shared" si="262"/>
        <v>438</v>
      </c>
      <c r="CY70" s="115">
        <f t="shared" ca="1" si="275"/>
        <v>447.38887428831327</v>
      </c>
      <c r="CZ70" s="115">
        <f t="shared" ca="1" si="263"/>
        <v>206.93403220582735</v>
      </c>
      <c r="DA70" s="115">
        <v>0.21890000000000001</v>
      </c>
      <c r="DB70" s="115">
        <v>2.7E-2</v>
      </c>
      <c r="DC70" s="115">
        <v>1.06</v>
      </c>
      <c r="DD70" s="138">
        <f t="shared" si="389"/>
        <v>11.424962478944396</v>
      </c>
      <c r="DE70" s="138">
        <f t="shared" si="276"/>
        <v>11.424962478944396</v>
      </c>
      <c r="DF70" s="115">
        <f t="shared" si="264"/>
        <v>654.32290649414062</v>
      </c>
      <c r="DG70" s="115">
        <v>662.06387323133265</v>
      </c>
      <c r="DH70" s="115">
        <f t="shared" si="277"/>
        <v>1.119246853996793</v>
      </c>
      <c r="DI70" s="115">
        <f t="shared" si="299"/>
        <v>1.1213211126245604</v>
      </c>
      <c r="DJ70" s="138">
        <f t="shared" si="340"/>
        <v>2.6200919965140126</v>
      </c>
      <c r="DK70" s="138">
        <f t="shared" si="341"/>
        <v>2.7161853441802322</v>
      </c>
      <c r="DL70" s="115">
        <f t="shared" si="278"/>
        <v>654.32290649414062</v>
      </c>
      <c r="DM70" s="115">
        <f t="shared" si="293"/>
        <v>662.06387323133265</v>
      </c>
      <c r="DN70" s="115">
        <f t="shared" si="300"/>
        <v>12.797520583054499</v>
      </c>
      <c r="DO70" s="115">
        <f t="shared" si="301"/>
        <v>1.119246853996793</v>
      </c>
      <c r="DP70" s="115">
        <f t="shared" si="292"/>
        <v>1.1213211126245604</v>
      </c>
      <c r="DQ70" s="115">
        <v>298.14999999999998</v>
      </c>
      <c r="DR70" s="138">
        <f t="shared" si="302"/>
        <v>1.7449812696783324</v>
      </c>
      <c r="DS70" s="138">
        <f t="shared" si="303"/>
        <v>1.808979439224035</v>
      </c>
      <c r="DT70" s="115">
        <f t="shared" si="289"/>
        <v>654.32290649414062</v>
      </c>
      <c r="DU70" s="139">
        <f t="shared" ref="DU70:DU122" si="422">JN70-DN70</f>
        <v>6.4179757878982002</v>
      </c>
      <c r="DV70" s="115">
        <f t="shared" si="279"/>
        <v>1.119246853996793</v>
      </c>
      <c r="DW70" s="115">
        <v>298.14999999999998</v>
      </c>
      <c r="DX70" s="138">
        <f t="shared" si="342"/>
        <v>0.87511072683568014</v>
      </c>
      <c r="DY70" s="138">
        <f t="shared" si="343"/>
        <v>0.90720590495619746</v>
      </c>
      <c r="DZ70" s="138">
        <f t="shared" si="290"/>
        <v>3.102495451378636</v>
      </c>
      <c r="EA70" s="138">
        <f t="shared" si="280"/>
        <v>3.8616070865374041</v>
      </c>
      <c r="EB70" s="115">
        <f t="shared" si="291"/>
        <v>21.144616975006002</v>
      </c>
      <c r="EC70" s="115">
        <v>30</v>
      </c>
      <c r="ED70" s="198">
        <f t="shared" ca="1" si="265"/>
        <v>125.80344444444444</v>
      </c>
      <c r="EE70" s="198">
        <v>104.83</v>
      </c>
      <c r="EF70" s="198">
        <f t="shared" ca="1" si="295"/>
        <v>0.42491111111111107</v>
      </c>
      <c r="EG70" s="199">
        <v>0.36720000000000003</v>
      </c>
      <c r="EH70" s="138">
        <f t="shared" ca="1" si="304"/>
        <v>7.9649164308754364E-2</v>
      </c>
      <c r="EI70" s="138">
        <f t="shared" ca="1" si="281"/>
        <v>7.9649164308754364E-2</v>
      </c>
      <c r="EJ70" s="115">
        <f t="shared" si="296"/>
        <v>12.797520583054499</v>
      </c>
      <c r="EK70" s="115">
        <v>435</v>
      </c>
      <c r="EL70" s="115">
        <f t="shared" ca="1" si="297"/>
        <v>447.38887428831327</v>
      </c>
      <c r="EM70" s="115">
        <f t="shared" ca="1" si="305"/>
        <v>1.062422503399149</v>
      </c>
      <c r="EN70" s="115">
        <f t="shared" ca="1" si="306"/>
        <v>1.0662550459839846</v>
      </c>
      <c r="EO70" s="115">
        <v>298.14999999999998</v>
      </c>
      <c r="EP70" s="138">
        <f t="shared" ca="1" si="307"/>
        <v>0.32935912557503849</v>
      </c>
      <c r="EQ70" s="138">
        <f t="shared" ca="1" si="308"/>
        <v>0.3853497262339145</v>
      </c>
      <c r="ER70" s="115">
        <f t="shared" si="282"/>
        <v>0.87219092581007218</v>
      </c>
      <c r="ES70" s="115">
        <f t="shared" si="298"/>
        <v>453</v>
      </c>
      <c r="ET70" s="115">
        <f t="shared" ca="1" si="390"/>
        <v>2816.5993052117487</v>
      </c>
      <c r="EU70" s="115">
        <f t="shared" ca="1" si="391"/>
        <v>6.5855309782608691</v>
      </c>
      <c r="EV70" s="138">
        <f t="shared" ca="1" si="309"/>
        <v>0.74814263294703898</v>
      </c>
      <c r="EW70" s="138">
        <f t="shared" ca="1" si="344"/>
        <v>1.0111753138223152</v>
      </c>
      <c r="EX70" s="115">
        <v>21.47</v>
      </c>
      <c r="EY70" s="115">
        <f t="shared" ca="1" si="392"/>
        <v>121.41652206081814</v>
      </c>
      <c r="EZ70" s="115">
        <f t="shared" ca="1" si="393"/>
        <v>0.41084623582628038</v>
      </c>
      <c r="FA70" s="138">
        <f t="shared" ca="1" si="310"/>
        <v>7.6720830352595651E-2</v>
      </c>
      <c r="FB70" s="138">
        <f t="shared" ca="1" si="283"/>
        <v>7.6720830352595651E-2</v>
      </c>
      <c r="FC70" s="115">
        <f t="shared" si="266"/>
        <v>21.47</v>
      </c>
      <c r="FD70" s="115">
        <v>37</v>
      </c>
      <c r="FE70" s="115">
        <f t="shared" ca="1" si="267"/>
        <v>154.93355555555553</v>
      </c>
      <c r="FF70" s="115">
        <f t="shared" ca="1" si="268"/>
        <v>0.52252222222222222</v>
      </c>
      <c r="FG70" s="138">
        <f t="shared" ca="1" si="311"/>
        <v>8.1462225449999703E-2</v>
      </c>
      <c r="FH70" s="138">
        <f t="shared" ca="1" si="312"/>
        <v>8.1462225449999703E-2</v>
      </c>
      <c r="FI70" s="115">
        <f t="shared" si="284"/>
        <v>97.071560058593761</v>
      </c>
      <c r="FJ70" s="115">
        <f t="shared" ca="1" si="394"/>
        <v>47.074004593319373</v>
      </c>
      <c r="FK70" s="115">
        <f t="shared" ca="1" si="395"/>
        <v>0.16314310987260608</v>
      </c>
      <c r="FL70" s="138">
        <f t="shared" ca="1" si="313"/>
        <v>0.29932659951695623</v>
      </c>
      <c r="FM70" s="138">
        <f t="shared" ca="1" si="345"/>
        <v>0.56581140022562049</v>
      </c>
      <c r="FN70" s="115">
        <f t="shared" si="285"/>
        <v>97.071560058593761</v>
      </c>
      <c r="FO70" s="115">
        <f t="shared" ca="1" si="396"/>
        <v>61.247331889894276</v>
      </c>
      <c r="FP70" s="115">
        <f t="shared" ca="1" si="397"/>
        <v>0.21036746541129217</v>
      </c>
      <c r="FQ70" s="138">
        <f t="shared" ca="1" si="314"/>
        <v>0.30839169439601616</v>
      </c>
      <c r="FR70" s="138">
        <f t="shared" ca="1" si="346"/>
        <v>0.58294697733429113</v>
      </c>
      <c r="FS70" s="139">
        <f t="shared" si="315"/>
        <v>5.7023750310517469</v>
      </c>
      <c r="FT70" s="249">
        <f t="shared" si="316"/>
        <v>4.8471700482267597</v>
      </c>
      <c r="FU70" s="139">
        <f t="shared" ca="1" si="317"/>
        <v>0.7471286754650095</v>
      </c>
      <c r="FV70" s="249">
        <f t="shared" ca="1" si="318"/>
        <v>0.49210356347655981</v>
      </c>
      <c r="FW70" s="139">
        <f t="shared" ca="1" si="286"/>
        <v>0.7524663327286949</v>
      </c>
      <c r="FX70" s="249">
        <f t="shared" ca="1" si="319"/>
        <v>1.0235694958335817</v>
      </c>
      <c r="FY70" s="249">
        <f t="shared" si="398"/>
        <v>0.15000000000000002</v>
      </c>
      <c r="FZ70" s="139">
        <f t="shared" si="399"/>
        <v>1050000</v>
      </c>
      <c r="GA70" s="139">
        <f t="shared" si="320"/>
        <v>3.3757716049382713E-2</v>
      </c>
      <c r="GB70" s="139">
        <f t="shared" si="361"/>
        <v>121.52777777777777</v>
      </c>
      <c r="GC70" s="139">
        <f t="shared" si="400"/>
        <v>1050000</v>
      </c>
      <c r="GD70" s="139">
        <f t="shared" si="362"/>
        <v>6.7515432098765427E-2</v>
      </c>
      <c r="GE70" s="139">
        <f t="shared" si="363"/>
        <v>243.05555555555554</v>
      </c>
      <c r="GF70" s="139">
        <f t="shared" si="364"/>
        <v>4.5814043209876545E-2</v>
      </c>
      <c r="GG70" s="139">
        <f t="shared" si="401"/>
        <v>712500</v>
      </c>
      <c r="GH70" s="139">
        <f t="shared" si="365"/>
        <v>164.93055555555554</v>
      </c>
      <c r="GI70" s="137">
        <f t="shared" si="402"/>
        <v>51.767839020807656</v>
      </c>
      <c r="GJ70" s="137">
        <f t="shared" si="321"/>
        <v>0.18636422047490608</v>
      </c>
      <c r="GK70" s="251">
        <f t="shared" si="403"/>
        <v>41.232850640095208</v>
      </c>
      <c r="GL70" s="137">
        <f t="shared" si="329"/>
        <v>0.14843826230434157</v>
      </c>
      <c r="GM70" s="137">
        <f t="shared" ca="1" si="404"/>
        <v>8.9839859662125754</v>
      </c>
      <c r="GN70" s="137">
        <f t="shared" ca="1" si="322"/>
        <v>3.2342349478365014E-2</v>
      </c>
      <c r="GO70" s="137">
        <f t="shared" ca="1" si="366"/>
        <v>0.11372134134446207</v>
      </c>
      <c r="GP70" s="137">
        <f t="shared" ca="1" si="405"/>
        <v>9.616462451707072</v>
      </c>
      <c r="GQ70" s="137">
        <f t="shared" ca="1" si="323"/>
        <v>3.4619264826145184E-2</v>
      </c>
      <c r="GR70" s="137">
        <f t="shared" ca="1" si="406"/>
        <v>0.12172737280641767</v>
      </c>
      <c r="GS70" s="140">
        <f t="shared" si="407"/>
        <v>8.2154117072362517E-2</v>
      </c>
      <c r="GT70" s="140">
        <f t="shared" si="408"/>
        <v>6.9833178884802935E-2</v>
      </c>
      <c r="GU70" s="140">
        <f t="shared" si="287"/>
        <v>295.75482146050507</v>
      </c>
      <c r="GV70" s="140">
        <f t="shared" si="324"/>
        <v>251.39944398529056</v>
      </c>
      <c r="GW70" s="141">
        <f t="shared" ca="1" si="409"/>
        <v>7.1687459630646443E-3</v>
      </c>
      <c r="GX70" s="141">
        <f t="shared" ca="1" si="410"/>
        <v>4.7217642019785266E-3</v>
      </c>
      <c r="GY70" s="141">
        <f t="shared" ca="1" si="325"/>
        <v>25.80748546703272</v>
      </c>
      <c r="GZ70" s="141">
        <f t="shared" ca="1" si="326"/>
        <v>16.998351127122696</v>
      </c>
      <c r="HA70" s="141">
        <f t="shared" ca="1" si="411"/>
        <v>1.5289209714206244E-2</v>
      </c>
      <c r="HB70" s="141">
        <f t="shared" ca="1" si="412"/>
        <v>1.5009530682232073E-2</v>
      </c>
      <c r="HC70" s="141">
        <f t="shared" ca="1" si="327"/>
        <v>55.041154971142483</v>
      </c>
      <c r="HD70" s="141">
        <f t="shared" ca="1" si="328"/>
        <v>54.034310456035463</v>
      </c>
      <c r="HE70" s="137">
        <f t="shared" si="367"/>
        <v>8.8048704824303829</v>
      </c>
      <c r="HF70" s="250">
        <f t="shared" si="368"/>
        <v>8.7087771347641638</v>
      </c>
      <c r="HG70" s="137">
        <v>3.102495451378636</v>
      </c>
      <c r="HH70" s="251">
        <v>4.0378825620151257</v>
      </c>
      <c r="HI70" s="137">
        <f t="shared" ca="1" si="369"/>
        <v>1.3596315434444179</v>
      </c>
      <c r="HJ70" s="251">
        <f t="shared" ca="1" si="370"/>
        <v>1.4236297129901205</v>
      </c>
      <c r="HK70" s="137">
        <f t="shared" ca="1" si="371"/>
        <v>0.66849346863828463</v>
      </c>
      <c r="HL70" s="251">
        <f t="shared" ca="1" si="372"/>
        <v>0.93152614951356083</v>
      </c>
      <c r="HM70" s="137">
        <f t="shared" ca="1" si="373"/>
        <v>0.74814263294703898</v>
      </c>
      <c r="HN70" s="251">
        <f t="shared" ca="1" si="374"/>
        <v>1.0111753138223152</v>
      </c>
      <c r="HO70" s="137">
        <f t="shared" ca="1" si="375"/>
        <v>0.29932659951695623</v>
      </c>
      <c r="HP70" s="251">
        <f t="shared" ca="1" si="376"/>
        <v>0.56581140022562049</v>
      </c>
      <c r="JN70" s="143">
        <f t="shared" si="413"/>
        <v>19.2154963709527</v>
      </c>
      <c r="JO70" s="143">
        <f t="shared" si="347"/>
        <v>3102.4954513786361</v>
      </c>
      <c r="JP70" s="143">
        <f t="shared" si="414"/>
        <v>3861.607086537404</v>
      </c>
      <c r="JQ70" s="143">
        <f t="shared" si="415"/>
        <v>0.87219092581007218</v>
      </c>
      <c r="JR70" s="143">
        <f t="shared" ca="1" si="348"/>
        <v>1.1788366205584326</v>
      </c>
      <c r="JS70" s="143">
        <f t="shared" si="416"/>
        <v>97.071560058593761</v>
      </c>
      <c r="JT70" s="143">
        <f t="shared" ca="1" si="349"/>
        <v>183.49253092599614</v>
      </c>
      <c r="JU70" s="143">
        <f t="shared" si="256"/>
        <v>0.28784735044182019</v>
      </c>
      <c r="JV70" s="143">
        <f t="shared" si="417"/>
        <v>0.35827719515695483</v>
      </c>
      <c r="JW70" s="143">
        <f t="shared" ca="1" si="418"/>
        <v>0.21734866487655141</v>
      </c>
      <c r="JX70" s="143">
        <f t="shared" ca="1" si="419"/>
        <v>0.29376431008840287</v>
      </c>
      <c r="JY70" s="143">
        <f t="shared" si="420"/>
        <v>0.73233399587820058</v>
      </c>
      <c r="JZ70" s="143">
        <f t="shared" si="421"/>
        <v>0.70010997158948385</v>
      </c>
      <c r="KA70" s="143">
        <f t="shared" si="350"/>
        <v>0.27155410419039638</v>
      </c>
      <c r="KB70" s="143">
        <f t="shared" si="351"/>
        <v>0.33799735392165553</v>
      </c>
      <c r="KC70" s="143">
        <f t="shared" ca="1" si="352"/>
        <v>0.47222591948201864</v>
      </c>
      <c r="KD70" s="143">
        <f t="shared" ca="1" si="353"/>
        <v>0.65433176971069951</v>
      </c>
      <c r="KE70" s="143">
        <f t="shared" ca="1" si="354"/>
        <v>0.55955816216162635</v>
      </c>
      <c r="KF70" s="143">
        <f t="shared" ca="1" si="355"/>
        <v>0.40009295866199562</v>
      </c>
      <c r="KG70" s="142">
        <f t="shared" si="356"/>
        <v>0.14843826230434157</v>
      </c>
      <c r="KH70" s="142">
        <f t="shared" ca="1" si="357"/>
        <v>0.12172737280641767</v>
      </c>
      <c r="KI70" s="142">
        <f t="shared" ca="1" si="358"/>
        <v>376.60346189868028</v>
      </c>
      <c r="KJ70" s="142">
        <f t="shared" ca="1" si="359"/>
        <v>322.43210556844872</v>
      </c>
    </row>
    <row r="71" spans="1:296" x14ac:dyDescent="0.3">
      <c r="A71" s="201">
        <v>41378</v>
      </c>
      <c r="B71" s="196">
        <v>72</v>
      </c>
      <c r="C71" s="179">
        <v>24</v>
      </c>
      <c r="D71" s="179">
        <v>4.2</v>
      </c>
      <c r="E71" s="179">
        <v>50016</v>
      </c>
      <c r="F71" s="179">
        <v>300</v>
      </c>
      <c r="G71" s="179">
        <v>11.7</v>
      </c>
      <c r="H71" s="179">
        <v>0.85</v>
      </c>
      <c r="I71" s="179">
        <v>1.4</v>
      </c>
      <c r="J71" s="179">
        <v>1.33</v>
      </c>
      <c r="K71" s="179">
        <v>0.91</v>
      </c>
      <c r="L71" s="152">
        <v>25633.74625685811</v>
      </c>
      <c r="M71" s="155">
        <v>19</v>
      </c>
      <c r="N71" s="153">
        <v>71496.718891367316</v>
      </c>
      <c r="O71" s="178">
        <v>17</v>
      </c>
      <c r="P71" s="179">
        <v>2</v>
      </c>
      <c r="Q71" s="179">
        <v>5</v>
      </c>
      <c r="R71" s="154">
        <v>394.17208862304687</v>
      </c>
      <c r="S71" s="155">
        <v>82.711547447834164</v>
      </c>
      <c r="T71" s="152">
        <v>180</v>
      </c>
      <c r="U71" s="156">
        <v>3.2946338653564453</v>
      </c>
      <c r="V71" s="178">
        <v>17</v>
      </c>
      <c r="W71" s="179">
        <v>1250</v>
      </c>
      <c r="X71" s="155">
        <v>76708.833098560572</v>
      </c>
      <c r="Y71" s="155">
        <v>10976.178390737623</v>
      </c>
      <c r="Z71" s="155">
        <v>359.25765991210937</v>
      </c>
      <c r="AA71" s="155">
        <v>9.6731472015380859</v>
      </c>
      <c r="AB71" s="155">
        <v>12.713762283325195</v>
      </c>
      <c r="AC71" s="215">
        <v>37</v>
      </c>
      <c r="AD71" s="215">
        <v>28.612981796264648</v>
      </c>
      <c r="AE71" s="254">
        <v>20</v>
      </c>
      <c r="AF71" s="254">
        <v>10</v>
      </c>
      <c r="AG71" s="217">
        <v>5000000</v>
      </c>
      <c r="AH71" s="218">
        <v>300000</v>
      </c>
      <c r="AI71" s="219">
        <v>5000000</v>
      </c>
      <c r="AJ71" s="225">
        <f t="shared" si="330"/>
        <v>300000</v>
      </c>
      <c r="AK71" s="220">
        <v>2750000</v>
      </c>
      <c r="AL71" s="226">
        <f t="shared" si="331"/>
        <v>300000</v>
      </c>
      <c r="AM71" s="221">
        <v>14.407</v>
      </c>
      <c r="BK71" s="283"/>
      <c r="BM71" s="197">
        <f t="shared" si="332"/>
        <v>8.3870182037353516</v>
      </c>
      <c r="BN71" s="196">
        <f t="shared" si="333"/>
        <v>180</v>
      </c>
      <c r="BO71" s="197">
        <f t="shared" si="334"/>
        <v>3.0406150817871094</v>
      </c>
      <c r="BP71" s="196">
        <f t="shared" si="294"/>
        <v>12.679280942054955</v>
      </c>
      <c r="BQ71" s="115">
        <f t="shared" si="335"/>
        <v>659.74492511188635</v>
      </c>
      <c r="BR71" s="184">
        <f t="shared" si="336"/>
        <v>1.0041987768</v>
      </c>
      <c r="BS71" s="115">
        <f t="shared" si="337"/>
        <v>6863.8528613899143</v>
      </c>
      <c r="BT71" s="196">
        <v>900</v>
      </c>
      <c r="BU71" s="115">
        <f t="shared" si="288"/>
        <v>1.1850729520000001</v>
      </c>
      <c r="BV71" s="115">
        <f t="shared" si="269"/>
        <v>1.0709779703257445</v>
      </c>
      <c r="BW71" s="115">
        <f t="shared" si="270"/>
        <v>466.96667815231035</v>
      </c>
      <c r="BX71" s="115">
        <f t="shared" si="377"/>
        <v>1123.3636211031335</v>
      </c>
      <c r="BY71" s="115"/>
      <c r="BZ71" s="115">
        <f t="shared" si="378"/>
        <v>656.39694295082313</v>
      </c>
      <c r="CA71" s="115">
        <f t="shared" si="379"/>
        <v>10631.184776103511</v>
      </c>
      <c r="CB71" s="115">
        <f t="shared" si="380"/>
        <v>2979.0299538069717</v>
      </c>
      <c r="CC71" s="115">
        <f t="shared" si="381"/>
        <v>1068.0727607024212</v>
      </c>
      <c r="CD71" s="129">
        <f t="shared" si="271"/>
        <v>0.2110317303862963</v>
      </c>
      <c r="CE71" s="115">
        <f t="shared" si="382"/>
        <v>21.132803524241726</v>
      </c>
      <c r="CF71" s="115">
        <f t="shared" si="383"/>
        <v>22.975429846620603</v>
      </c>
      <c r="CG71" s="115">
        <f t="shared" si="384"/>
        <v>0.02</v>
      </c>
      <c r="CH71" s="115">
        <f t="shared" si="385"/>
        <v>0.05</v>
      </c>
      <c r="CI71" s="136">
        <v>30</v>
      </c>
      <c r="CJ71" s="115">
        <f t="shared" si="257"/>
        <v>165</v>
      </c>
      <c r="CK71" s="115">
        <f t="shared" si="386"/>
        <v>453</v>
      </c>
      <c r="CL71" s="115">
        <f t="shared" si="387"/>
        <v>667.17208862304687</v>
      </c>
      <c r="CM71" s="115">
        <f t="shared" ca="1" si="388"/>
        <v>2816.5993052117487</v>
      </c>
      <c r="CN71" s="115">
        <f t="shared" ca="1" si="258"/>
        <v>125.80344444444444</v>
      </c>
      <c r="CO71" s="115">
        <f t="shared" ca="1" si="259"/>
        <v>690.58718083896258</v>
      </c>
      <c r="CP71" s="115">
        <f t="shared" ca="1" si="260"/>
        <v>2790.6388281929471</v>
      </c>
      <c r="CQ71" s="115">
        <f t="shared" si="272"/>
        <v>1.072449112508886</v>
      </c>
      <c r="CR71" s="115">
        <f t="shared" ca="1" si="338"/>
        <v>542.7203904873121</v>
      </c>
      <c r="CS71" s="115">
        <f t="shared" ca="1" si="339"/>
        <v>26.87959244458213</v>
      </c>
      <c r="CT71" s="115">
        <f t="shared" si="273"/>
        <v>1.1226917682075943</v>
      </c>
      <c r="CU71" s="115">
        <f t="shared" ca="1" si="274"/>
        <v>1.0190157758073546</v>
      </c>
      <c r="CV71" s="115">
        <f t="shared" si="360"/>
        <v>183.39694295082313</v>
      </c>
      <c r="CW71" s="115">
        <f t="shared" si="261"/>
        <v>473</v>
      </c>
      <c r="CX71" s="115">
        <f t="shared" si="262"/>
        <v>438</v>
      </c>
      <c r="CY71" s="115">
        <f t="shared" ca="1" si="275"/>
        <v>446.12040755541784</v>
      </c>
      <c r="CZ71" s="115">
        <f t="shared" ca="1" si="263"/>
        <v>221.05168106762903</v>
      </c>
      <c r="DA71" s="115">
        <v>0.21890000000000001</v>
      </c>
      <c r="DB71" s="115">
        <v>2.7E-2</v>
      </c>
      <c r="DC71" s="115">
        <v>1.06</v>
      </c>
      <c r="DD71" s="138">
        <f t="shared" si="389"/>
        <v>11.188260808621054</v>
      </c>
      <c r="DE71" s="138">
        <f t="shared" si="276"/>
        <v>11.188260808621054</v>
      </c>
      <c r="DF71" s="115">
        <f t="shared" si="264"/>
        <v>667.17208862304687</v>
      </c>
      <c r="DG71" s="115">
        <v>656.39694295082313</v>
      </c>
      <c r="DH71" s="115">
        <f t="shared" si="277"/>
        <v>1.1226917682075943</v>
      </c>
      <c r="DI71" s="115">
        <f t="shared" si="299"/>
        <v>1.1198022603788707</v>
      </c>
      <c r="DJ71" s="138">
        <f t="shared" si="340"/>
        <v>2.7796231189525598</v>
      </c>
      <c r="DK71" s="138">
        <f t="shared" si="341"/>
        <v>2.6451024390931979</v>
      </c>
      <c r="DL71" s="115">
        <f t="shared" si="278"/>
        <v>667.17208862304687</v>
      </c>
      <c r="DM71" s="115">
        <f t="shared" si="293"/>
        <v>656.39694295082313</v>
      </c>
      <c r="DN71" s="115">
        <f t="shared" si="300"/>
        <v>12.794547132437273</v>
      </c>
      <c r="DO71" s="115">
        <f t="shared" si="301"/>
        <v>1.1226917682075943</v>
      </c>
      <c r="DP71" s="115">
        <f t="shared" si="292"/>
        <v>1.1198022603788707</v>
      </c>
      <c r="DQ71" s="115">
        <v>298.14999999999998</v>
      </c>
      <c r="DR71" s="138">
        <f t="shared" si="302"/>
        <v>1.8512289972224047</v>
      </c>
      <c r="DS71" s="138">
        <f t="shared" si="303"/>
        <v>1.7616382244360698</v>
      </c>
      <c r="DT71" s="115">
        <f t="shared" si="289"/>
        <v>667.17208862304687</v>
      </c>
      <c r="DU71" s="139">
        <f t="shared" si="422"/>
        <v>6.4164845979490224</v>
      </c>
      <c r="DV71" s="115">
        <f t="shared" si="279"/>
        <v>1.1226917682075943</v>
      </c>
      <c r="DW71" s="115">
        <v>298.14999999999998</v>
      </c>
      <c r="DX71" s="138">
        <f t="shared" si="342"/>
        <v>0.92839412173015479</v>
      </c>
      <c r="DY71" s="138">
        <f t="shared" si="343"/>
        <v>0.88346421465712799</v>
      </c>
      <c r="DZ71" s="138">
        <f t="shared" si="290"/>
        <v>2.9790299538069718</v>
      </c>
      <c r="EA71" s="138">
        <f t="shared" si="280"/>
        <v>3.7673319147135973</v>
      </c>
      <c r="EB71" s="115">
        <f t="shared" si="291"/>
        <v>22.975429846620603</v>
      </c>
      <c r="EC71" s="115">
        <v>30</v>
      </c>
      <c r="ED71" s="198">
        <f t="shared" ca="1" si="265"/>
        <v>125.80344444444444</v>
      </c>
      <c r="EE71" s="198">
        <v>104.83</v>
      </c>
      <c r="EF71" s="198">
        <f t="shared" ca="1" si="295"/>
        <v>0.42491111111111107</v>
      </c>
      <c r="EG71" s="199">
        <v>0.36720000000000003</v>
      </c>
      <c r="EH71" s="138">
        <f t="shared" ca="1" si="304"/>
        <v>8.654561059587243E-2</v>
      </c>
      <c r="EI71" s="138">
        <f t="shared" ca="1" si="281"/>
        <v>8.654561059587243E-2</v>
      </c>
      <c r="EJ71" s="115">
        <f t="shared" si="296"/>
        <v>12.794547132437273</v>
      </c>
      <c r="EK71" s="115">
        <v>435</v>
      </c>
      <c r="EL71" s="115">
        <f t="shared" ca="1" si="297"/>
        <v>446.12040755541784</v>
      </c>
      <c r="EM71" s="115">
        <f t="shared" ca="1" si="305"/>
        <v>1.0625155004526148</v>
      </c>
      <c r="EN71" s="115">
        <f t="shared" ca="1" si="306"/>
        <v>1.0659518115347593</v>
      </c>
      <c r="EO71" s="115">
        <v>298.14999999999998</v>
      </c>
      <c r="EP71" s="138">
        <f t="shared" ca="1" si="307"/>
        <v>0.32931142345514047</v>
      </c>
      <c r="EQ71" s="138">
        <f t="shared" ca="1" si="308"/>
        <v>0.3793961707224815</v>
      </c>
      <c r="ER71" s="115">
        <f t="shared" si="282"/>
        <v>0.91517607371012377</v>
      </c>
      <c r="ES71" s="115">
        <f t="shared" si="298"/>
        <v>453</v>
      </c>
      <c r="ET71" s="115">
        <f t="shared" ca="1" si="390"/>
        <v>2816.5993052117487</v>
      </c>
      <c r="EU71" s="115">
        <f t="shared" ca="1" si="391"/>
        <v>6.5855309782608691</v>
      </c>
      <c r="EV71" s="138">
        <f t="shared" ca="1" si="309"/>
        <v>0.78501417193684653</v>
      </c>
      <c r="EW71" s="138">
        <f t="shared" ca="1" si="344"/>
        <v>0.98365711490444707</v>
      </c>
      <c r="EX71" s="115">
        <v>21.47</v>
      </c>
      <c r="EY71" s="115">
        <f t="shared" ca="1" si="392"/>
        <v>119.83295248201158</v>
      </c>
      <c r="EZ71" s="115">
        <f t="shared" ca="1" si="393"/>
        <v>0.40556991282569038</v>
      </c>
      <c r="FA71" s="138">
        <f t="shared" ca="1" si="310"/>
        <v>7.6496815030997048E-2</v>
      </c>
      <c r="FB71" s="138">
        <f t="shared" ca="1" si="283"/>
        <v>7.6496815030997048E-2</v>
      </c>
      <c r="FC71" s="115">
        <f t="shared" si="266"/>
        <v>21.47</v>
      </c>
      <c r="FD71" s="115">
        <v>37</v>
      </c>
      <c r="FE71" s="115">
        <f t="shared" ca="1" si="267"/>
        <v>154.93355555555553</v>
      </c>
      <c r="FF71" s="115">
        <f t="shared" ca="1" si="268"/>
        <v>0.52252222222222222</v>
      </c>
      <c r="FG71" s="138">
        <f t="shared" ca="1" si="311"/>
        <v>8.1462225449999703E-2</v>
      </c>
      <c r="FH71" s="138">
        <f t="shared" ca="1" si="312"/>
        <v>8.1462225449999703E-2</v>
      </c>
      <c r="FI71" s="115">
        <f t="shared" si="284"/>
        <v>100.59214477539064</v>
      </c>
      <c r="FJ71" s="115">
        <f t="shared" ca="1" si="394"/>
        <v>40.567640277014846</v>
      </c>
      <c r="FK71" s="115">
        <f t="shared" ca="1" si="395"/>
        <v>0.14146444153255888</v>
      </c>
      <c r="FL71" s="138">
        <f t="shared" ca="1" si="313"/>
        <v>0.30587023627051901</v>
      </c>
      <c r="FM71" s="138">
        <f t="shared" ca="1" si="345"/>
        <v>0.5917185867284751</v>
      </c>
      <c r="FN71" s="115">
        <f t="shared" si="285"/>
        <v>100.59214477539064</v>
      </c>
      <c r="FO71" s="115">
        <f t="shared" ca="1" si="396"/>
        <v>53.292952240414095</v>
      </c>
      <c r="FP71" s="115">
        <f t="shared" ca="1" si="397"/>
        <v>0.18386412961747911</v>
      </c>
      <c r="FQ71" s="138">
        <f t="shared" ca="1" si="314"/>
        <v>0.31430438071407629</v>
      </c>
      <c r="FR71" s="138">
        <f t="shared" ca="1" si="346"/>
        <v>0.60803478699449809</v>
      </c>
      <c r="FS71" s="139">
        <f t="shared" si="315"/>
        <v>5.4296077358615236</v>
      </c>
      <c r="FT71" s="249">
        <f t="shared" si="316"/>
        <v>4.7758264548142577</v>
      </c>
      <c r="FU71" s="139">
        <f t="shared" ca="1" si="317"/>
        <v>0.82344901242629009</v>
      </c>
      <c r="FV71" s="249">
        <f t="shared" ca="1" si="318"/>
        <v>0.48513054940501354</v>
      </c>
      <c r="FW71" s="139">
        <f t="shared" ca="1" si="286"/>
        <v>0.78848290596140114</v>
      </c>
      <c r="FX71" s="249">
        <f t="shared" ca="1" si="319"/>
        <v>0.9950079047514675</v>
      </c>
      <c r="FY71" s="249">
        <f t="shared" si="398"/>
        <v>0.15000000000000002</v>
      </c>
      <c r="FZ71" s="139">
        <f t="shared" si="399"/>
        <v>1050000</v>
      </c>
      <c r="GA71" s="139">
        <f t="shared" si="320"/>
        <v>3.3757716049382713E-2</v>
      </c>
      <c r="GB71" s="139">
        <f t="shared" si="361"/>
        <v>121.52777777777777</v>
      </c>
      <c r="GC71" s="139">
        <f t="shared" si="400"/>
        <v>1050000</v>
      </c>
      <c r="GD71" s="139">
        <f t="shared" si="362"/>
        <v>6.7515432098765427E-2</v>
      </c>
      <c r="GE71" s="139">
        <f t="shared" si="363"/>
        <v>243.05555555555554</v>
      </c>
      <c r="GF71" s="139">
        <f t="shared" si="364"/>
        <v>4.5814043209876545E-2</v>
      </c>
      <c r="GG71" s="139">
        <f t="shared" si="401"/>
        <v>712500</v>
      </c>
      <c r="GH71" s="139">
        <f t="shared" si="365"/>
        <v>164.93055555555554</v>
      </c>
      <c r="GI71" s="137">
        <f t="shared" si="402"/>
        <v>51.997113706925028</v>
      </c>
      <c r="GJ71" s="137">
        <f t="shared" si="321"/>
        <v>0.18718960934492862</v>
      </c>
      <c r="GK71" s="251">
        <f t="shared" si="403"/>
        <v>41.631319519956293</v>
      </c>
      <c r="GL71" s="137">
        <f t="shared" si="329"/>
        <v>0.14987275027184147</v>
      </c>
      <c r="GM71" s="137">
        <f t="shared" ca="1" si="404"/>
        <v>8.8889194095629378</v>
      </c>
      <c r="GN71" s="137">
        <f t="shared" ca="1" si="322"/>
        <v>3.2000109874426322E-2</v>
      </c>
      <c r="GO71" s="137">
        <f t="shared" ca="1" si="366"/>
        <v>0.11251796720965655</v>
      </c>
      <c r="GP71" s="137">
        <f t="shared" ca="1" si="405"/>
        <v>9.4872165769266257</v>
      </c>
      <c r="GQ71" s="137">
        <f t="shared" ca="1" si="323"/>
        <v>3.4153979676935578E-2</v>
      </c>
      <c r="GR71" s="137">
        <f t="shared" ca="1" si="406"/>
        <v>0.12009134907501962</v>
      </c>
      <c r="GS71" s="140">
        <f t="shared" si="407"/>
        <v>7.8224358650556977E-2</v>
      </c>
      <c r="GT71" s="140">
        <f t="shared" si="408"/>
        <v>6.8805331734509007E-2</v>
      </c>
      <c r="GU71" s="140">
        <f t="shared" si="287"/>
        <v>281.60769114200514</v>
      </c>
      <c r="GV71" s="140">
        <f t="shared" si="324"/>
        <v>247.69919424423242</v>
      </c>
      <c r="GW71" s="141">
        <f t="shared" ca="1" si="409"/>
        <v>7.9010443280690228E-3</v>
      </c>
      <c r="GX71" s="141">
        <f t="shared" ca="1" si="410"/>
        <v>4.6548576996351676E-3</v>
      </c>
      <c r="GY71" s="141">
        <f t="shared" ca="1" si="325"/>
        <v>28.443759581048482</v>
      </c>
      <c r="GZ71" s="141">
        <f t="shared" ca="1" si="326"/>
        <v>16.757487718686605</v>
      </c>
      <c r="HA71" s="141">
        <f t="shared" ca="1" si="411"/>
        <v>1.6484824834217336E-2</v>
      </c>
      <c r="HB71" s="141">
        <f t="shared" ca="1" si="412"/>
        <v>1.4709976951941116E-2</v>
      </c>
      <c r="HC71" s="141">
        <f t="shared" ca="1" si="327"/>
        <v>59.34536940318241</v>
      </c>
      <c r="HD71" s="141">
        <f t="shared" ca="1" si="328"/>
        <v>52.955917026988018</v>
      </c>
      <c r="HE71" s="137">
        <f t="shared" si="367"/>
        <v>8.4086376896684953</v>
      </c>
      <c r="HF71" s="250">
        <f t="shared" si="368"/>
        <v>8.5431583695278555</v>
      </c>
      <c r="HG71" s="137">
        <v>2.9790299538069718</v>
      </c>
      <c r="HH71" s="251">
        <v>3.5220198400188822</v>
      </c>
      <c r="HI71" s="137">
        <f t="shared" ca="1" si="369"/>
        <v>1.4718328264999232</v>
      </c>
      <c r="HJ71" s="251">
        <f t="shared" ca="1" si="370"/>
        <v>1.3822420537135882</v>
      </c>
      <c r="HK71" s="137">
        <f t="shared" ca="1" si="371"/>
        <v>0.69846856134097413</v>
      </c>
      <c r="HL71" s="251">
        <f t="shared" ca="1" si="372"/>
        <v>0.89711150430857467</v>
      </c>
      <c r="HM71" s="137">
        <f t="shared" ca="1" si="373"/>
        <v>0.78501417193684653</v>
      </c>
      <c r="HN71" s="251">
        <f t="shared" ca="1" si="374"/>
        <v>0.98365711490444707</v>
      </c>
      <c r="HO71" s="137">
        <f t="shared" ca="1" si="375"/>
        <v>0.30587023627051901</v>
      </c>
      <c r="HP71" s="251">
        <f t="shared" ca="1" si="376"/>
        <v>0.5917185867284751</v>
      </c>
      <c r="JN71" s="143">
        <f t="shared" si="413"/>
        <v>19.211031730386296</v>
      </c>
      <c r="JO71" s="143">
        <f t="shared" si="347"/>
        <v>2979.0299538069717</v>
      </c>
      <c r="JP71" s="143">
        <f t="shared" si="414"/>
        <v>3767.3319147135971</v>
      </c>
      <c r="JQ71" s="143">
        <f t="shared" si="415"/>
        <v>0.91517607371012377</v>
      </c>
      <c r="JR71" s="143">
        <f t="shared" ca="1" si="348"/>
        <v>1.1467556745812502</v>
      </c>
      <c r="JS71" s="143">
        <f t="shared" si="416"/>
        <v>100.59214477539064</v>
      </c>
      <c r="JT71" s="143">
        <f t="shared" ca="1" si="349"/>
        <v>194.59965267701759</v>
      </c>
      <c r="JU71" s="143">
        <f t="shared" si="256"/>
        <v>0.28223973368606003</v>
      </c>
      <c r="JV71" s="143">
        <f t="shared" si="417"/>
        <v>0.35692516450093309</v>
      </c>
      <c r="JW71" s="143">
        <f t="shared" ca="1" si="418"/>
        <v>0.23287558015735721</v>
      </c>
      <c r="JX71" s="143">
        <f t="shared" ca="1" si="419"/>
        <v>0.2918032941292093</v>
      </c>
      <c r="JY71" s="143">
        <f t="shared" si="420"/>
        <v>0.74564276081290659</v>
      </c>
      <c r="JZ71" s="143">
        <f t="shared" si="421"/>
        <v>0.54222230117252956</v>
      </c>
      <c r="KA71" s="143">
        <f t="shared" si="350"/>
        <v>0.2662638997038303</v>
      </c>
      <c r="KB71" s="143">
        <f t="shared" si="351"/>
        <v>0.3367218533027671</v>
      </c>
      <c r="KC71" s="143">
        <f t="shared" ca="1" si="352"/>
        <v>0.45893980947471852</v>
      </c>
      <c r="KD71" s="143">
        <f t="shared" ca="1" si="353"/>
        <v>0.64902634230984224</v>
      </c>
      <c r="KE71" s="143">
        <f t="shared" ca="1" si="354"/>
        <v>0.6015496434303278</v>
      </c>
      <c r="KF71" s="143">
        <f t="shared" ca="1" si="355"/>
        <v>0.38963657880959368</v>
      </c>
      <c r="KG71" s="142">
        <f t="shared" si="356"/>
        <v>0.14987275027184147</v>
      </c>
      <c r="KH71" s="142">
        <f t="shared" ca="1" si="357"/>
        <v>0.12009134907501962</v>
      </c>
      <c r="KI71" s="142">
        <f t="shared" ca="1" si="358"/>
        <v>369.39682012623604</v>
      </c>
      <c r="KJ71" s="142">
        <f t="shared" ca="1" si="359"/>
        <v>317.412598989907</v>
      </c>
    </row>
    <row r="72" spans="1:296" x14ac:dyDescent="0.3">
      <c r="A72" s="201">
        <v>41379</v>
      </c>
      <c r="B72" s="196">
        <v>73</v>
      </c>
      <c r="C72" s="179">
        <v>24</v>
      </c>
      <c r="D72" s="179">
        <v>4.2</v>
      </c>
      <c r="E72" s="179">
        <v>50016</v>
      </c>
      <c r="F72" s="179">
        <v>300</v>
      </c>
      <c r="G72" s="179">
        <v>11.7</v>
      </c>
      <c r="H72" s="179">
        <v>0.85</v>
      </c>
      <c r="I72" s="179">
        <v>1.4</v>
      </c>
      <c r="J72" s="179">
        <v>1.33</v>
      </c>
      <c r="K72" s="179">
        <v>0.91</v>
      </c>
      <c r="L72" s="152">
        <v>27518.575148820877</v>
      </c>
      <c r="M72" s="155">
        <v>19</v>
      </c>
      <c r="N72" s="153">
        <v>79887.303332693875</v>
      </c>
      <c r="O72" s="178">
        <v>17</v>
      </c>
      <c r="P72" s="179">
        <v>2</v>
      </c>
      <c r="Q72" s="179">
        <v>5</v>
      </c>
      <c r="R72" s="154">
        <v>387.47531127929687</v>
      </c>
      <c r="S72" s="155">
        <v>88.457361658336595</v>
      </c>
      <c r="T72" s="152">
        <v>180</v>
      </c>
      <c r="U72" s="156">
        <v>3.4679100513458252</v>
      </c>
      <c r="V72" s="178">
        <v>17</v>
      </c>
      <c r="W72" s="179">
        <v>1250</v>
      </c>
      <c r="X72" s="155">
        <v>76495.686468616128</v>
      </c>
      <c r="Y72" s="155">
        <v>10501.75310879387</v>
      </c>
      <c r="Z72" s="155">
        <v>338.41159057617187</v>
      </c>
      <c r="AA72" s="155">
        <v>9.5656423568725586</v>
      </c>
      <c r="AB72" s="155">
        <v>13.021049499511719</v>
      </c>
      <c r="AC72" s="215">
        <v>37</v>
      </c>
      <c r="AD72" s="215">
        <v>28.961767196655273</v>
      </c>
      <c r="AE72" s="254">
        <v>20</v>
      </c>
      <c r="AF72" s="254">
        <v>10</v>
      </c>
      <c r="AG72" s="217">
        <v>5000000</v>
      </c>
      <c r="AH72" s="218">
        <v>300000</v>
      </c>
      <c r="AI72" s="219">
        <v>5000000</v>
      </c>
      <c r="AJ72" s="225">
        <f t="shared" si="330"/>
        <v>300000</v>
      </c>
      <c r="AK72" s="220">
        <v>2750000</v>
      </c>
      <c r="AL72" s="226">
        <f t="shared" si="331"/>
        <v>300000</v>
      </c>
      <c r="AM72" s="221">
        <v>14.407</v>
      </c>
      <c r="BM72" s="197">
        <f t="shared" si="332"/>
        <v>8.0382328033447266</v>
      </c>
      <c r="BN72" s="196">
        <f t="shared" si="333"/>
        <v>180</v>
      </c>
      <c r="BO72" s="197">
        <f t="shared" si="334"/>
        <v>3.4554071426391602</v>
      </c>
      <c r="BP72" s="196">
        <f t="shared" si="294"/>
        <v>12.689522158498875</v>
      </c>
      <c r="BQ72" s="115">
        <f t="shared" si="335"/>
        <v>659.74492511188635</v>
      </c>
      <c r="BR72" s="184">
        <f t="shared" si="336"/>
        <v>1.0041987768</v>
      </c>
      <c r="BS72" s="115">
        <f t="shared" si="337"/>
        <v>6863.8528613899143</v>
      </c>
      <c r="BT72" s="196">
        <v>900</v>
      </c>
      <c r="BU72" s="115">
        <f t="shared" si="288"/>
        <v>1.1850729520000001</v>
      </c>
      <c r="BV72" s="115">
        <f t="shared" si="269"/>
        <v>1.0744034067379558</v>
      </c>
      <c r="BW72" s="115">
        <f t="shared" si="270"/>
        <v>480.97024258836655</v>
      </c>
      <c r="BX72" s="115">
        <f t="shared" si="377"/>
        <v>1157.0514527820101</v>
      </c>
      <c r="BY72" s="115"/>
      <c r="BZ72" s="115">
        <f t="shared" si="378"/>
        <v>676.08121019364353</v>
      </c>
      <c r="CA72" s="115">
        <f t="shared" si="379"/>
        <v>10958.841014378011</v>
      </c>
      <c r="CB72" s="115">
        <f t="shared" si="380"/>
        <v>3328.6376388622448</v>
      </c>
      <c r="CC72" s="115">
        <f t="shared" si="381"/>
        <v>1146.6072978675365</v>
      </c>
      <c r="CD72" s="129">
        <f t="shared" si="271"/>
        <v>0.2265487249982942</v>
      </c>
      <c r="CE72" s="115">
        <f t="shared" si="382"/>
        <v>19.906564151539524</v>
      </c>
      <c r="CF72" s="115">
        <f t="shared" si="383"/>
        <v>24.571489349537945</v>
      </c>
      <c r="CG72" s="115">
        <f t="shared" si="384"/>
        <v>0.02</v>
      </c>
      <c r="CH72" s="115">
        <f t="shared" si="385"/>
        <v>0.05</v>
      </c>
      <c r="CI72" s="136">
        <v>30</v>
      </c>
      <c r="CJ72" s="115">
        <f t="shared" si="257"/>
        <v>165</v>
      </c>
      <c r="CK72" s="115">
        <f t="shared" si="386"/>
        <v>453</v>
      </c>
      <c r="CL72" s="115">
        <f t="shared" si="387"/>
        <v>660.47531127929687</v>
      </c>
      <c r="CM72" s="115">
        <f t="shared" ca="1" si="388"/>
        <v>2816.5993052117487</v>
      </c>
      <c r="CN72" s="115">
        <f t="shared" ca="1" si="258"/>
        <v>125.80344444444444</v>
      </c>
      <c r="CO72" s="115">
        <f t="shared" ca="1" si="259"/>
        <v>690.58718083896258</v>
      </c>
      <c r="CP72" s="115">
        <f t="shared" ca="1" si="260"/>
        <v>2790.6388281929471</v>
      </c>
      <c r="CQ72" s="115">
        <f t="shared" si="272"/>
        <v>1.072449112508886</v>
      </c>
      <c r="CR72" s="115">
        <f t="shared" ca="1" si="338"/>
        <v>571.2639322481001</v>
      </c>
      <c r="CS72" s="115">
        <f t="shared" ca="1" si="339"/>
        <v>28.270448744981294</v>
      </c>
      <c r="CT72" s="115">
        <f t="shared" si="273"/>
        <v>1.1208951580169637</v>
      </c>
      <c r="CU72" s="115">
        <f t="shared" ca="1" si="274"/>
        <v>1.0181087418694927</v>
      </c>
      <c r="CV72" s="115">
        <f t="shared" si="360"/>
        <v>203.08121019364353</v>
      </c>
      <c r="CW72" s="115">
        <f t="shared" si="261"/>
        <v>473</v>
      </c>
      <c r="CX72" s="115">
        <f t="shared" si="262"/>
        <v>438</v>
      </c>
      <c r="CY72" s="115">
        <f t="shared" ca="1" si="275"/>
        <v>444.72955125501869</v>
      </c>
      <c r="CZ72" s="115">
        <f t="shared" ca="1" si="263"/>
        <v>215.74576002427818</v>
      </c>
      <c r="DA72" s="115">
        <v>0.21890000000000001</v>
      </c>
      <c r="DB72" s="115">
        <v>2.7E-2</v>
      </c>
      <c r="DC72" s="115">
        <v>1.06</v>
      </c>
      <c r="DD72" s="138">
        <f t="shared" si="389"/>
        <v>12.010924691285563</v>
      </c>
      <c r="DE72" s="138">
        <f t="shared" si="276"/>
        <v>12.010924691285563</v>
      </c>
      <c r="DF72" s="115">
        <f t="shared" si="264"/>
        <v>660.47531127929687</v>
      </c>
      <c r="DG72" s="115">
        <v>676.08121019364353</v>
      </c>
      <c r="DH72" s="115">
        <f t="shared" si="277"/>
        <v>1.1208951580169637</v>
      </c>
      <c r="DI72" s="115">
        <f t="shared" si="299"/>
        <v>1.1250855135788664</v>
      </c>
      <c r="DJ72" s="138">
        <f t="shared" si="340"/>
        <v>2.6979159610131149</v>
      </c>
      <c r="DK72" s="138">
        <f t="shared" si="341"/>
        <v>2.8949644222336057</v>
      </c>
      <c r="DL72" s="115">
        <f t="shared" si="278"/>
        <v>660.47531127929687</v>
      </c>
      <c r="DM72" s="115">
        <f t="shared" si="293"/>
        <v>676.08121019364353</v>
      </c>
      <c r="DN72" s="115">
        <f t="shared" si="300"/>
        <v>12.804881450848866</v>
      </c>
      <c r="DO72" s="115">
        <f t="shared" si="301"/>
        <v>1.1208951580169637</v>
      </c>
      <c r="DP72" s="115">
        <f t="shared" si="292"/>
        <v>1.1250855135788664</v>
      </c>
      <c r="DQ72" s="115">
        <v>298.14999999999998</v>
      </c>
      <c r="DR72" s="138">
        <f t="shared" si="302"/>
        <v>1.7968120300347348</v>
      </c>
      <c r="DS72" s="138">
        <f t="shared" si="303"/>
        <v>1.9280463052075814</v>
      </c>
      <c r="DT72" s="115">
        <f t="shared" si="289"/>
        <v>660.47531127929687</v>
      </c>
      <c r="DU72" s="139">
        <f t="shared" si="422"/>
        <v>6.4216672741494296</v>
      </c>
      <c r="DV72" s="115">
        <f t="shared" si="279"/>
        <v>1.1208951580169637</v>
      </c>
      <c r="DW72" s="115">
        <v>298.14999999999998</v>
      </c>
      <c r="DX72" s="138">
        <f t="shared" si="342"/>
        <v>0.90110393097838015</v>
      </c>
      <c r="DY72" s="138">
        <f t="shared" si="343"/>
        <v>0.96691811702602393</v>
      </c>
      <c r="DZ72" s="138">
        <f t="shared" si="290"/>
        <v>3.328637638862245</v>
      </c>
      <c r="EA72" s="138">
        <f t="shared" si="280"/>
        <v>4.0949881529880967</v>
      </c>
      <c r="EB72" s="115">
        <f t="shared" si="291"/>
        <v>24.571489349537945</v>
      </c>
      <c r="EC72" s="115">
        <v>30</v>
      </c>
      <c r="ED72" s="198">
        <f t="shared" ca="1" si="265"/>
        <v>125.80344444444444</v>
      </c>
      <c r="EE72" s="198">
        <v>104.83</v>
      </c>
      <c r="EF72" s="198">
        <f t="shared" ca="1" si="295"/>
        <v>0.42491111111111107</v>
      </c>
      <c r="EG72" s="199">
        <v>0.36720000000000003</v>
      </c>
      <c r="EH72" s="138">
        <f t="shared" ca="1" si="304"/>
        <v>9.2557769896023392E-2</v>
      </c>
      <c r="EI72" s="138">
        <f t="shared" ca="1" si="281"/>
        <v>9.2557769896023392E-2</v>
      </c>
      <c r="EJ72" s="115">
        <f t="shared" si="296"/>
        <v>12.804881450848866</v>
      </c>
      <c r="EK72" s="115">
        <v>435</v>
      </c>
      <c r="EL72" s="115">
        <f t="shared" ca="1" si="297"/>
        <v>444.72955125501869</v>
      </c>
      <c r="EM72" s="115">
        <f t="shared" ca="1" si="305"/>
        <v>1.0626168643782898</v>
      </c>
      <c r="EN72" s="115">
        <f t="shared" ca="1" si="306"/>
        <v>1.0656197165056811</v>
      </c>
      <c r="EO72" s="115">
        <v>298.14999999999998</v>
      </c>
      <c r="EP72" s="138">
        <f t="shared" ca="1" si="307"/>
        <v>0.32960885414800828</v>
      </c>
      <c r="EQ72" s="138">
        <f t="shared" ca="1" si="308"/>
        <v>0.37330931786736488</v>
      </c>
      <c r="ER72" s="115">
        <f t="shared" si="282"/>
        <v>0.96330834759606254</v>
      </c>
      <c r="ES72" s="115">
        <f t="shared" si="298"/>
        <v>453</v>
      </c>
      <c r="ET72" s="115">
        <f t="shared" ca="1" si="390"/>
        <v>2816.5993052117487</v>
      </c>
      <c r="EU72" s="115">
        <f t="shared" ca="1" si="391"/>
        <v>6.5855309782608691</v>
      </c>
      <c r="EV72" s="138">
        <f t="shared" ca="1" si="309"/>
        <v>0.82630078138111385</v>
      </c>
      <c r="EW72" s="138">
        <f t="shared" ca="1" si="344"/>
        <v>1.0883698103391997</v>
      </c>
      <c r="EX72" s="115">
        <v>21.47</v>
      </c>
      <c r="EY72" s="115">
        <f t="shared" ca="1" si="392"/>
        <v>121.29265813657972</v>
      </c>
      <c r="EZ72" s="115">
        <f t="shared" ca="1" si="393"/>
        <v>0.41043353146447076</v>
      </c>
      <c r="FA72" s="138">
        <f t="shared" ca="1" si="310"/>
        <v>7.670330828271367E-2</v>
      </c>
      <c r="FB72" s="138">
        <f t="shared" ca="1" si="283"/>
        <v>7.670330828271367E-2</v>
      </c>
      <c r="FC72" s="115">
        <f t="shared" si="266"/>
        <v>21.47</v>
      </c>
      <c r="FD72" s="115">
        <v>37</v>
      </c>
      <c r="FE72" s="115">
        <f t="shared" ca="1" si="267"/>
        <v>154.93355555555553</v>
      </c>
      <c r="FF72" s="115">
        <f t="shared" ca="1" si="268"/>
        <v>0.52252222222222222</v>
      </c>
      <c r="FG72" s="138">
        <f t="shared" ca="1" si="311"/>
        <v>8.1462225449999703E-2</v>
      </c>
      <c r="FH72" s="138">
        <f t="shared" ca="1" si="312"/>
        <v>8.1462225449999703E-2</v>
      </c>
      <c r="FI72" s="115">
        <f t="shared" si="284"/>
        <v>94.755245361328136</v>
      </c>
      <c r="FJ72" s="115">
        <f t="shared" ca="1" si="394"/>
        <v>40.117720557106871</v>
      </c>
      <c r="FK72" s="115">
        <f t="shared" ca="1" si="395"/>
        <v>0.13996534619861178</v>
      </c>
      <c r="FL72" s="138">
        <f t="shared" ca="1" si="313"/>
        <v>0.28784109671716679</v>
      </c>
      <c r="FM72" s="138">
        <f t="shared" ca="1" si="345"/>
        <v>0.59898967779340362</v>
      </c>
      <c r="FN72" s="115">
        <f t="shared" si="285"/>
        <v>94.755245361328136</v>
      </c>
      <c r="FO72" s="115">
        <f t="shared" ca="1" si="396"/>
        <v>54.578983383178716</v>
      </c>
      <c r="FP72" s="115">
        <f t="shared" ca="1" si="397"/>
        <v>0.18814907913208007</v>
      </c>
      <c r="FQ72" s="138">
        <f t="shared" ca="1" si="314"/>
        <v>0.29686964673320149</v>
      </c>
      <c r="FR72" s="138">
        <f t="shared" ca="1" si="346"/>
        <v>0.61777785059681734</v>
      </c>
      <c r="FS72" s="139">
        <f t="shared" si="315"/>
        <v>5.9843710914102033</v>
      </c>
      <c r="FT72" s="249">
        <f t="shared" si="316"/>
        <v>5.0209721160638603</v>
      </c>
      <c r="FU72" s="139">
        <f t="shared" ca="1" si="317"/>
        <v>0.73346016440163608</v>
      </c>
      <c r="FV72" s="249">
        <f t="shared" ca="1" si="318"/>
        <v>0.55892494689704009</v>
      </c>
      <c r="FW72" s="139">
        <f t="shared" ca="1" si="286"/>
        <v>0.83057041422986244</v>
      </c>
      <c r="FX72" s="249">
        <f t="shared" ca="1" si="319"/>
        <v>1.1023990659753276</v>
      </c>
      <c r="FY72" s="249">
        <f t="shared" si="398"/>
        <v>0.15000000000000002</v>
      </c>
      <c r="FZ72" s="139">
        <f t="shared" si="399"/>
        <v>1050000</v>
      </c>
      <c r="GA72" s="139">
        <f t="shared" si="320"/>
        <v>3.3757716049382713E-2</v>
      </c>
      <c r="GB72" s="139">
        <f t="shared" si="361"/>
        <v>121.52777777777777</v>
      </c>
      <c r="GC72" s="139">
        <f t="shared" si="400"/>
        <v>1050000</v>
      </c>
      <c r="GD72" s="139">
        <f t="shared" si="362"/>
        <v>6.7515432098765427E-2</v>
      </c>
      <c r="GE72" s="139">
        <f t="shared" si="363"/>
        <v>243.05555555555554</v>
      </c>
      <c r="GF72" s="139">
        <f t="shared" si="364"/>
        <v>4.5814043209876545E-2</v>
      </c>
      <c r="GG72" s="139">
        <f t="shared" si="401"/>
        <v>712500</v>
      </c>
      <c r="GH72" s="139">
        <f t="shared" si="365"/>
        <v>164.93055555555554</v>
      </c>
      <c r="GI72" s="137">
        <f t="shared" si="402"/>
        <v>50.45013938009118</v>
      </c>
      <c r="GJ72" s="137">
        <f t="shared" si="321"/>
        <v>0.18162050176832681</v>
      </c>
      <c r="GK72" s="251">
        <f t="shared" si="403"/>
        <v>40.315465998393115</v>
      </c>
      <c r="GL72" s="137">
        <f t="shared" si="329"/>
        <v>0.14513567759421406</v>
      </c>
      <c r="GM72" s="137">
        <f t="shared" ca="1" si="404"/>
        <v>9.2881725800632182</v>
      </c>
      <c r="GN72" s="137">
        <f t="shared" ca="1" si="322"/>
        <v>3.3437421288227319E-2</v>
      </c>
      <c r="GO72" s="137">
        <f t="shared" ca="1" si="366"/>
        <v>0.11757180481092588</v>
      </c>
      <c r="GP72" s="137">
        <f t="shared" ca="1" si="405"/>
        <v>10.051124124923073</v>
      </c>
      <c r="GQ72" s="137">
        <f t="shared" ca="1" si="323"/>
        <v>3.6184046849722776E-2</v>
      </c>
      <c r="GR72" s="137">
        <f t="shared" ca="1" si="406"/>
        <v>0.12722941930282269</v>
      </c>
      <c r="GS72" s="140">
        <f t="shared" si="407"/>
        <v>8.6216834313946805E-2</v>
      </c>
      <c r="GT72" s="140">
        <f t="shared" si="408"/>
        <v>7.2337145276132039E-2</v>
      </c>
      <c r="GU72" s="140">
        <f t="shared" si="287"/>
        <v>310.38060353020848</v>
      </c>
      <c r="GV72" s="140">
        <f t="shared" si="324"/>
        <v>260.41372299407533</v>
      </c>
      <c r="GW72" s="141">
        <f t="shared" ca="1" si="409"/>
        <v>7.0375957519638902E-3</v>
      </c>
      <c r="GX72" s="141">
        <f t="shared" ca="1" si="410"/>
        <v>5.3629195188238067E-3</v>
      </c>
      <c r="GY72" s="141">
        <f t="shared" ca="1" si="325"/>
        <v>25.335344707070004</v>
      </c>
      <c r="GZ72" s="141">
        <f t="shared" ca="1" si="326"/>
        <v>19.306510267765702</v>
      </c>
      <c r="HA72" s="141">
        <f t="shared" ca="1" si="411"/>
        <v>1.5935677163703692E-2</v>
      </c>
      <c r="HB72" s="141">
        <f t="shared" ca="1" si="412"/>
        <v>1.6514528524604045E-2</v>
      </c>
      <c r="HC72" s="141">
        <f t="shared" ca="1" si="327"/>
        <v>57.368437789333292</v>
      </c>
      <c r="HD72" s="141">
        <f t="shared" ca="1" si="328"/>
        <v>59.452302688574562</v>
      </c>
      <c r="HE72" s="137">
        <f t="shared" si="367"/>
        <v>9.3130087302724487</v>
      </c>
      <c r="HF72" s="250">
        <f t="shared" si="368"/>
        <v>9.115960269051957</v>
      </c>
      <c r="HG72" s="137">
        <v>3.328637638862245</v>
      </c>
      <c r="HH72" s="251">
        <v>4.4505664194696424</v>
      </c>
      <c r="HI72" s="137">
        <f t="shared" ca="1" si="369"/>
        <v>1.42350271216737</v>
      </c>
      <c r="HJ72" s="251">
        <f t="shared" ca="1" si="370"/>
        <v>1.5547369873402164</v>
      </c>
      <c r="HK72" s="137">
        <f t="shared" ca="1" si="371"/>
        <v>0.73374301148509047</v>
      </c>
      <c r="HL72" s="251">
        <f t="shared" ca="1" si="372"/>
        <v>0.99581204044317628</v>
      </c>
      <c r="HM72" s="137">
        <f t="shared" ca="1" si="373"/>
        <v>0.82630078138111385</v>
      </c>
      <c r="HN72" s="251">
        <f t="shared" ca="1" si="374"/>
        <v>1.0883698103391997</v>
      </c>
      <c r="HO72" s="137">
        <f t="shared" ca="1" si="375"/>
        <v>0.28784109671716679</v>
      </c>
      <c r="HP72" s="251">
        <f t="shared" ca="1" si="376"/>
        <v>0.59898967779340362</v>
      </c>
      <c r="JN72" s="143">
        <f t="shared" si="413"/>
        <v>19.226548724998295</v>
      </c>
      <c r="JO72" s="143">
        <f t="shared" si="347"/>
        <v>3328.6376388622448</v>
      </c>
      <c r="JP72" s="143">
        <f t="shared" si="414"/>
        <v>4094.9881529880968</v>
      </c>
      <c r="JQ72" s="143">
        <f t="shared" si="415"/>
        <v>0.96330834759606254</v>
      </c>
      <c r="JR72" s="143">
        <f t="shared" ca="1" si="348"/>
        <v>1.2688306088963088</v>
      </c>
      <c r="JS72" s="143">
        <f t="shared" si="416"/>
        <v>94.755245361328136</v>
      </c>
      <c r="JT72" s="143">
        <f t="shared" ca="1" si="349"/>
        <v>197.18314909002305</v>
      </c>
      <c r="JU72" s="143">
        <f t="shared" si="256"/>
        <v>0.29376221963609106</v>
      </c>
      <c r="JV72" s="143">
        <f t="shared" si="417"/>
        <v>0.36139494283206486</v>
      </c>
      <c r="JW72" s="143">
        <f t="shared" ca="1" si="418"/>
        <v>0.22836307781914086</v>
      </c>
      <c r="JX72" s="143">
        <f t="shared" ca="1" si="419"/>
        <v>0.30079056597171339</v>
      </c>
      <c r="JY72" s="143">
        <f t="shared" si="420"/>
        <v>0.71540156020550649</v>
      </c>
      <c r="JZ72" s="143">
        <f t="shared" si="421"/>
        <v>0.72031968753711983</v>
      </c>
      <c r="KA72" s="143">
        <f t="shared" si="350"/>
        <v>0.2771341694680105</v>
      </c>
      <c r="KB72" s="143">
        <f t="shared" si="351"/>
        <v>0.34093862531326874</v>
      </c>
      <c r="KC72" s="143">
        <f t="shared" ca="1" si="352"/>
        <v>0.50009638988249994</v>
      </c>
      <c r="KD72" s="143">
        <f t="shared" ca="1" si="353"/>
        <v>0.64050192962011721</v>
      </c>
      <c r="KE72" s="143">
        <f t="shared" ca="1" si="354"/>
        <v>0.55035491806477377</v>
      </c>
      <c r="KF72" s="143">
        <f t="shared" ca="1" si="355"/>
        <v>0.34834905545660633</v>
      </c>
      <c r="KG72" s="142">
        <f t="shared" si="356"/>
        <v>0.14513567759421406</v>
      </c>
      <c r="KH72" s="142">
        <f t="shared" ca="1" si="357"/>
        <v>0.12722941930282269</v>
      </c>
      <c r="KI72" s="142">
        <f t="shared" ca="1" si="358"/>
        <v>393.08438602661181</v>
      </c>
      <c r="KJ72" s="142">
        <f t="shared" ca="1" si="359"/>
        <v>339.17253595041558</v>
      </c>
    </row>
    <row r="73" spans="1:296" x14ac:dyDescent="0.3">
      <c r="A73" s="201">
        <v>41380</v>
      </c>
      <c r="B73" s="196">
        <v>74</v>
      </c>
      <c r="C73" s="179">
        <v>24</v>
      </c>
      <c r="D73" s="179">
        <v>4.2</v>
      </c>
      <c r="E73" s="179">
        <v>50016</v>
      </c>
      <c r="F73" s="179">
        <v>300</v>
      </c>
      <c r="G73" s="179">
        <v>11.7</v>
      </c>
      <c r="H73" s="179">
        <v>0.85</v>
      </c>
      <c r="I73" s="179">
        <v>1.4</v>
      </c>
      <c r="J73" s="179">
        <v>1.33</v>
      </c>
      <c r="K73" s="179">
        <v>0.91</v>
      </c>
      <c r="L73" s="152">
        <v>27672.073230661452</v>
      </c>
      <c r="M73" s="155">
        <v>19</v>
      </c>
      <c r="N73" s="153">
        <v>80763.154166847467</v>
      </c>
      <c r="O73" s="178">
        <v>17</v>
      </c>
      <c r="P73" s="179">
        <v>2</v>
      </c>
      <c r="Q73" s="179">
        <v>5</v>
      </c>
      <c r="R73" s="154">
        <v>389.51913452148437</v>
      </c>
      <c r="S73" s="155">
        <v>96.258139720564941</v>
      </c>
      <c r="T73" s="152">
        <v>180</v>
      </c>
      <c r="U73" s="156">
        <v>3.9750566482543945</v>
      </c>
      <c r="V73" s="178">
        <v>17</v>
      </c>
      <c r="W73" s="179">
        <v>1250</v>
      </c>
      <c r="X73" s="155">
        <v>78599.965394824743</v>
      </c>
      <c r="Y73" s="155">
        <v>11208.439618322998</v>
      </c>
      <c r="Z73" s="155">
        <v>331.0648193359375</v>
      </c>
      <c r="AA73" s="155">
        <v>11.670889854431152</v>
      </c>
      <c r="AB73" s="155">
        <v>15.109618186950684</v>
      </c>
      <c r="AC73" s="215">
        <v>37</v>
      </c>
      <c r="AD73" s="215">
        <v>29.114221572875977</v>
      </c>
      <c r="AE73" s="254">
        <v>20</v>
      </c>
      <c r="AF73" s="254">
        <v>10</v>
      </c>
      <c r="AG73" s="217">
        <v>5000000</v>
      </c>
      <c r="AH73" s="218">
        <v>300000</v>
      </c>
      <c r="AI73" s="219">
        <v>5000000</v>
      </c>
      <c r="AJ73" s="225">
        <f t="shared" si="330"/>
        <v>300000</v>
      </c>
      <c r="AK73" s="220">
        <v>2750000</v>
      </c>
      <c r="AL73" s="226">
        <f t="shared" si="331"/>
        <v>300000</v>
      </c>
      <c r="AM73" s="221">
        <v>14.407</v>
      </c>
      <c r="BM73" s="197">
        <f t="shared" si="332"/>
        <v>7.8857784271240234</v>
      </c>
      <c r="BN73" s="196">
        <f t="shared" si="333"/>
        <v>180</v>
      </c>
      <c r="BO73" s="197">
        <f t="shared" si="334"/>
        <v>3.4387283325195313</v>
      </c>
      <c r="BP73" s="196">
        <f t="shared" si="294"/>
        <v>12.690356190217381</v>
      </c>
      <c r="BQ73" s="115">
        <f t="shared" si="335"/>
        <v>659.74492511188635</v>
      </c>
      <c r="BR73" s="184">
        <f t="shared" si="336"/>
        <v>1.0041987768</v>
      </c>
      <c r="BS73" s="115">
        <f t="shared" si="337"/>
        <v>6863.8528613899143</v>
      </c>
      <c r="BT73" s="196">
        <v>900</v>
      </c>
      <c r="BU73" s="115">
        <f t="shared" si="288"/>
        <v>1.1850729520000001</v>
      </c>
      <c r="BV73" s="115">
        <f t="shared" si="269"/>
        <v>1.0746837862379153</v>
      </c>
      <c r="BW73" s="115">
        <f t="shared" si="270"/>
        <v>482.10967988120137</v>
      </c>
      <c r="BX73" s="115">
        <f t="shared" si="377"/>
        <v>1159.7925528715573</v>
      </c>
      <c r="BY73" s="115"/>
      <c r="BZ73" s="115">
        <f t="shared" si="378"/>
        <v>677.68287299035592</v>
      </c>
      <c r="CA73" s="115">
        <f t="shared" si="379"/>
        <v>10985.524924144405</v>
      </c>
      <c r="CB73" s="115">
        <f t="shared" si="380"/>
        <v>3365.1314236186445</v>
      </c>
      <c r="CC73" s="115">
        <f t="shared" si="381"/>
        <v>1153.0030512775604</v>
      </c>
      <c r="CD73" s="129">
        <f t="shared" si="271"/>
        <v>0.22781240942027475</v>
      </c>
      <c r="CE73" s="115">
        <f t="shared" si="382"/>
        <v>19.474401137408087</v>
      </c>
      <c r="CF73" s="115">
        <f t="shared" si="383"/>
        <v>26.738372144601374</v>
      </c>
      <c r="CG73" s="115">
        <f t="shared" si="384"/>
        <v>0.02</v>
      </c>
      <c r="CH73" s="115">
        <f t="shared" si="385"/>
        <v>0.05</v>
      </c>
      <c r="CI73" s="136">
        <v>30</v>
      </c>
      <c r="CJ73" s="115">
        <f t="shared" si="257"/>
        <v>165</v>
      </c>
      <c r="CK73" s="115">
        <f t="shared" si="386"/>
        <v>453</v>
      </c>
      <c r="CL73" s="115">
        <f t="shared" si="387"/>
        <v>662.51913452148437</v>
      </c>
      <c r="CM73" s="115">
        <f t="shared" ca="1" si="388"/>
        <v>2816.5993052117487</v>
      </c>
      <c r="CN73" s="115">
        <f t="shared" ca="1" si="258"/>
        <v>125.80344444444444</v>
      </c>
      <c r="CO73" s="115">
        <f t="shared" ca="1" si="259"/>
        <v>690.58718083896258</v>
      </c>
      <c r="CP73" s="115">
        <f t="shared" ca="1" si="260"/>
        <v>2790.6388281929471</v>
      </c>
      <c r="CQ73" s="115">
        <f t="shared" si="272"/>
        <v>1.072449112508886</v>
      </c>
      <c r="CR73" s="115">
        <f t="shared" ca="1" si="338"/>
        <v>654.80547596945462</v>
      </c>
      <c r="CS73" s="115">
        <f t="shared" ca="1" si="339"/>
        <v>32.402584838186058</v>
      </c>
      <c r="CT73" s="115">
        <f t="shared" si="273"/>
        <v>1.1214432119731259</v>
      </c>
      <c r="CU73" s="115">
        <f t="shared" ca="1" si="274"/>
        <v>1.0191655310219867</v>
      </c>
      <c r="CV73" s="115">
        <f t="shared" si="360"/>
        <v>204.68287299035592</v>
      </c>
      <c r="CW73" s="115">
        <f t="shared" si="261"/>
        <v>473</v>
      </c>
      <c r="CX73" s="115">
        <f t="shared" si="262"/>
        <v>438</v>
      </c>
      <c r="CY73" s="115">
        <f t="shared" ca="1" si="275"/>
        <v>440.59741516181396</v>
      </c>
      <c r="CZ73" s="115">
        <f t="shared" ca="1" si="263"/>
        <v>221.92171935967042</v>
      </c>
      <c r="DA73" s="115">
        <v>0.21890000000000001</v>
      </c>
      <c r="DB73" s="115">
        <v>2.7E-2</v>
      </c>
      <c r="DC73" s="115">
        <v>1.06</v>
      </c>
      <c r="DD73" s="138">
        <f t="shared" si="389"/>
        <v>12.077921397738329</v>
      </c>
      <c r="DE73" s="138">
        <f t="shared" si="276"/>
        <v>12.077921397738329</v>
      </c>
      <c r="DF73" s="115">
        <f t="shared" si="264"/>
        <v>662.51913452148437</v>
      </c>
      <c r="DG73" s="115">
        <v>677.68287299035592</v>
      </c>
      <c r="DH73" s="115">
        <f t="shared" si="277"/>
        <v>1.1214432119731259</v>
      </c>
      <c r="DI73" s="115">
        <f t="shared" si="299"/>
        <v>1.1255162573780741</v>
      </c>
      <c r="DJ73" s="138">
        <f t="shared" si="340"/>
        <v>2.7236196690934675</v>
      </c>
      <c r="DK73" s="138">
        <f t="shared" si="341"/>
        <v>2.9156573085423108</v>
      </c>
      <c r="DL73" s="115">
        <f t="shared" si="278"/>
        <v>662.51913452148437</v>
      </c>
      <c r="DM73" s="115">
        <f t="shared" si="293"/>
        <v>677.68287299035592</v>
      </c>
      <c r="DN73" s="115">
        <f t="shared" si="300"/>
        <v>12.805723064673902</v>
      </c>
      <c r="DO73" s="115">
        <f t="shared" si="301"/>
        <v>1.1214432119731259</v>
      </c>
      <c r="DP73" s="115">
        <f t="shared" si="292"/>
        <v>1.1255162573780741</v>
      </c>
      <c r="DQ73" s="115">
        <v>298.14999999999998</v>
      </c>
      <c r="DR73" s="138">
        <f t="shared" si="302"/>
        <v>1.813930699616249</v>
      </c>
      <c r="DS73" s="138">
        <f t="shared" si="303"/>
        <v>1.9418277674891788</v>
      </c>
      <c r="DT73" s="115">
        <f t="shared" si="289"/>
        <v>662.51913452148437</v>
      </c>
      <c r="DU73" s="139">
        <f t="shared" si="422"/>
        <v>6.4220893447463716</v>
      </c>
      <c r="DV73" s="115">
        <f t="shared" si="279"/>
        <v>1.1214432119731259</v>
      </c>
      <c r="DW73" s="115">
        <v>298.14999999999998</v>
      </c>
      <c r="DX73" s="138">
        <f t="shared" si="342"/>
        <v>0.90968896947721811</v>
      </c>
      <c r="DY73" s="138">
        <f t="shared" si="343"/>
        <v>0.97382954105313158</v>
      </c>
      <c r="DZ73" s="138">
        <f t="shared" si="290"/>
        <v>3.3651314236186445</v>
      </c>
      <c r="EA73" s="138">
        <f t="shared" si="280"/>
        <v>4.1216720627544907</v>
      </c>
      <c r="EB73" s="115">
        <f t="shared" si="291"/>
        <v>26.738372144601374</v>
      </c>
      <c r="EC73" s="115">
        <v>30</v>
      </c>
      <c r="ED73" s="198">
        <f t="shared" ca="1" si="265"/>
        <v>125.80344444444444</v>
      </c>
      <c r="EE73" s="198">
        <v>104.83</v>
      </c>
      <c r="EF73" s="198">
        <f t="shared" ca="1" si="295"/>
        <v>0.42491111111111107</v>
      </c>
      <c r="EG73" s="199">
        <v>0.36720000000000003</v>
      </c>
      <c r="EH73" s="138">
        <f t="shared" ca="1" si="304"/>
        <v>0.10072015013614931</v>
      </c>
      <c r="EI73" s="138">
        <f t="shared" ca="1" si="281"/>
        <v>0.10072015013614931</v>
      </c>
      <c r="EJ73" s="115">
        <f t="shared" si="296"/>
        <v>12.805723064673902</v>
      </c>
      <c r="EK73" s="115">
        <v>435</v>
      </c>
      <c r="EL73" s="115">
        <f t="shared" ca="1" si="297"/>
        <v>440.59741516181396</v>
      </c>
      <c r="EM73" s="115">
        <f t="shared" ca="1" si="305"/>
        <v>1.0629142889425325</v>
      </c>
      <c r="EN73" s="115">
        <f t="shared" ca="1" si="306"/>
        <v>1.0646355563634917</v>
      </c>
      <c r="EO73" s="115">
        <v>298.14999999999998</v>
      </c>
      <c r="EP73" s="138">
        <f t="shared" ca="1" si="307"/>
        <v>0.32972278101817815</v>
      </c>
      <c r="EQ73" s="138">
        <f t="shared" ca="1" si="308"/>
        <v>0.35459795276164502</v>
      </c>
      <c r="ER73" s="115">
        <f t="shared" si="282"/>
        <v>1.1041824022928874</v>
      </c>
      <c r="ES73" s="115">
        <f t="shared" si="298"/>
        <v>453</v>
      </c>
      <c r="ET73" s="115">
        <f t="shared" ca="1" si="390"/>
        <v>2816.5993052117487</v>
      </c>
      <c r="EU73" s="115">
        <f t="shared" ca="1" si="391"/>
        <v>6.5855309782608691</v>
      </c>
      <c r="EV73" s="138">
        <f t="shared" ca="1" si="309"/>
        <v>0.94713887207429559</v>
      </c>
      <c r="EW73" s="138">
        <f t="shared" ca="1" si="344"/>
        <v>1.0975620571090277</v>
      </c>
      <c r="EX73" s="115">
        <v>21.47</v>
      </c>
      <c r="EY73" s="115">
        <f t="shared" ca="1" si="392"/>
        <v>121.9306966404385</v>
      </c>
      <c r="EZ73" s="115">
        <f t="shared" ca="1" si="393"/>
        <v>0.41255942304399279</v>
      </c>
      <c r="FA73" s="138">
        <f t="shared" ca="1" si="310"/>
        <v>7.6793566647453057E-2</v>
      </c>
      <c r="FB73" s="138">
        <f t="shared" ca="1" si="283"/>
        <v>7.6793566647453057E-2</v>
      </c>
      <c r="FC73" s="115">
        <f t="shared" si="266"/>
        <v>21.47</v>
      </c>
      <c r="FD73" s="115">
        <v>37</v>
      </c>
      <c r="FE73" s="115">
        <f t="shared" ca="1" si="267"/>
        <v>154.93355555555553</v>
      </c>
      <c r="FF73" s="115">
        <f t="shared" ca="1" si="268"/>
        <v>0.52252222222222222</v>
      </c>
      <c r="FG73" s="138">
        <f t="shared" ca="1" si="311"/>
        <v>8.1462225449999703E-2</v>
      </c>
      <c r="FH73" s="138">
        <f t="shared" ca="1" si="312"/>
        <v>8.1462225449999703E-2</v>
      </c>
      <c r="FI73" s="115">
        <f t="shared" si="284"/>
        <v>92.698149414062513</v>
      </c>
      <c r="FJ73" s="115">
        <f t="shared" ca="1" si="394"/>
        <v>48.928415250778208</v>
      </c>
      <c r="FK73" s="115">
        <f t="shared" ca="1" si="395"/>
        <v>0.16932185297012328</v>
      </c>
      <c r="FL73" s="138">
        <f t="shared" ca="1" si="313"/>
        <v>0.28697352080732969</v>
      </c>
      <c r="FM73" s="138">
        <f t="shared" ca="1" si="345"/>
        <v>0.62283706116469195</v>
      </c>
      <c r="FN73" s="115">
        <f t="shared" si="285"/>
        <v>92.698149414062513</v>
      </c>
      <c r="FO73" s="115">
        <f t="shared" ca="1" si="396"/>
        <v>63.319875403298276</v>
      </c>
      <c r="FP73" s="115">
        <f t="shared" ca="1" si="397"/>
        <v>0.21727300916247896</v>
      </c>
      <c r="FQ73" s="138">
        <f t="shared" ca="1" si="314"/>
        <v>0.29576343128974886</v>
      </c>
      <c r="FR73" s="138">
        <f t="shared" ca="1" si="346"/>
        <v>0.64191436835794435</v>
      </c>
      <c r="FS73" s="139">
        <f t="shared" si="315"/>
        <v>5.9891703050262173</v>
      </c>
      <c r="FT73" s="249">
        <f t="shared" si="316"/>
        <v>5.0405920264415274</v>
      </c>
      <c r="FU73" s="139">
        <f t="shared" ca="1" si="317"/>
        <v>0.63778919665992451</v>
      </c>
      <c r="FV73" s="249">
        <f t="shared" ca="1" si="318"/>
        <v>0.59038790775465544</v>
      </c>
      <c r="FW73" s="139">
        <f t="shared" ca="1" si="286"/>
        <v>0.95126012375416802</v>
      </c>
      <c r="FX73" s="249">
        <f t="shared" ca="1" si="319"/>
        <v>1.1119707054997332</v>
      </c>
      <c r="FY73" s="249">
        <f t="shared" si="398"/>
        <v>0.15000000000000002</v>
      </c>
      <c r="FZ73" s="139">
        <f t="shared" si="399"/>
        <v>1050000</v>
      </c>
      <c r="GA73" s="139">
        <f t="shared" si="320"/>
        <v>3.3757716049382713E-2</v>
      </c>
      <c r="GB73" s="139">
        <f t="shared" si="361"/>
        <v>121.52777777777777</v>
      </c>
      <c r="GC73" s="139">
        <f t="shared" si="400"/>
        <v>1050000</v>
      </c>
      <c r="GD73" s="139">
        <f t="shared" si="362"/>
        <v>6.7515432098765427E-2</v>
      </c>
      <c r="GE73" s="139">
        <f t="shared" si="363"/>
        <v>243.05555555555554</v>
      </c>
      <c r="GF73" s="139">
        <f t="shared" si="364"/>
        <v>4.5814043209876545E-2</v>
      </c>
      <c r="GG73" s="139">
        <f t="shared" si="401"/>
        <v>712500</v>
      </c>
      <c r="GH73" s="139">
        <f t="shared" si="365"/>
        <v>164.93055555555554</v>
      </c>
      <c r="GI73" s="137">
        <f t="shared" si="402"/>
        <v>50.079809623823905</v>
      </c>
      <c r="GJ73" s="137">
        <f t="shared" si="321"/>
        <v>0.18028731464576461</v>
      </c>
      <c r="GK73" s="251">
        <f t="shared" si="403"/>
        <v>40.21631324828261</v>
      </c>
      <c r="GL73" s="137">
        <f t="shared" si="329"/>
        <v>0.14477872769381625</v>
      </c>
      <c r="GM73" s="137">
        <f t="shared" ca="1" si="404"/>
        <v>9.3267176267400362</v>
      </c>
      <c r="GN73" s="137">
        <f t="shared" ca="1" si="322"/>
        <v>3.3576183456263863E-2</v>
      </c>
      <c r="GO73" s="137">
        <f t="shared" ca="1" si="366"/>
        <v>0.11805971679417673</v>
      </c>
      <c r="GP73" s="137">
        <f t="shared" ca="1" si="405"/>
        <v>10.122682762155945</v>
      </c>
      <c r="GQ73" s="137">
        <f t="shared" ca="1" si="323"/>
        <v>3.6441657943761113E-2</v>
      </c>
      <c r="GR73" s="137">
        <f t="shared" ca="1" si="406"/>
        <v>0.12813522483741602</v>
      </c>
      <c r="GS73" s="140">
        <f t="shared" si="407"/>
        <v>8.6285976584512716E-2</v>
      </c>
      <c r="GT73" s="140">
        <f t="shared" si="408"/>
        <v>7.2619809324943094E-2</v>
      </c>
      <c r="GU73" s="140">
        <f t="shared" si="287"/>
        <v>310.62951570424576</v>
      </c>
      <c r="GV73" s="140">
        <f t="shared" si="324"/>
        <v>261.43131356979512</v>
      </c>
      <c r="GW73" s="141">
        <f t="shared" ca="1" si="409"/>
        <v>6.1196268848821679E-3</v>
      </c>
      <c r="GX73" s="141">
        <f t="shared" ca="1" si="410"/>
        <v>5.6648085789561993E-3</v>
      </c>
      <c r="GY73" s="141">
        <f t="shared" ca="1" si="325"/>
        <v>22.030656785575804</v>
      </c>
      <c r="GZ73" s="141">
        <f t="shared" ca="1" si="326"/>
        <v>20.393310884242318</v>
      </c>
      <c r="HA73" s="141">
        <f t="shared" ca="1" si="411"/>
        <v>1.6005032504052569E-2</v>
      </c>
      <c r="HB73" s="141">
        <f t="shared" ca="1" si="412"/>
        <v>1.6988485224512802E-2</v>
      </c>
      <c r="HC73" s="141">
        <f t="shared" ca="1" si="327"/>
        <v>57.618117014589252</v>
      </c>
      <c r="HD73" s="141">
        <f t="shared" ca="1" si="328"/>
        <v>61.158546808246086</v>
      </c>
      <c r="HE73" s="137">
        <f t="shared" si="367"/>
        <v>9.3543017286448613</v>
      </c>
      <c r="HF73" s="250">
        <f t="shared" si="368"/>
        <v>9.1622640891960181</v>
      </c>
      <c r="HG73" s="137">
        <v>3.3651314236186445</v>
      </c>
      <c r="HH73" s="251">
        <v>4.4671984727076035</v>
      </c>
      <c r="HI73" s="137">
        <f t="shared" ca="1" si="369"/>
        <v>1.459332746854604</v>
      </c>
      <c r="HJ73" s="251">
        <f t="shared" ca="1" si="370"/>
        <v>1.5872298147275339</v>
      </c>
      <c r="HK73" s="137">
        <f t="shared" ca="1" si="371"/>
        <v>0.84641872193814627</v>
      </c>
      <c r="HL73" s="251">
        <f t="shared" ca="1" si="372"/>
        <v>0.99684190697287833</v>
      </c>
      <c r="HM73" s="137">
        <f t="shared" ca="1" si="373"/>
        <v>0.94713887207429559</v>
      </c>
      <c r="HN73" s="251">
        <f t="shared" ca="1" si="374"/>
        <v>1.0975620571090277</v>
      </c>
      <c r="HO73" s="137">
        <f t="shared" ca="1" si="375"/>
        <v>0.28697352080732969</v>
      </c>
      <c r="HP73" s="251">
        <f t="shared" ca="1" si="376"/>
        <v>0.62283706116469195</v>
      </c>
      <c r="JN73" s="143">
        <f t="shared" si="413"/>
        <v>19.227812409420274</v>
      </c>
      <c r="JO73" s="143">
        <f t="shared" si="347"/>
        <v>3365.1314236186445</v>
      </c>
      <c r="JP73" s="143">
        <f t="shared" si="414"/>
        <v>4121.672062754491</v>
      </c>
      <c r="JQ73" s="143">
        <f t="shared" si="415"/>
        <v>1.1041824022928874</v>
      </c>
      <c r="JR73" s="143">
        <f t="shared" ca="1" si="348"/>
        <v>1.2795470069030221</v>
      </c>
      <c r="JS73" s="143">
        <f t="shared" si="416"/>
        <v>92.698149414062513</v>
      </c>
      <c r="JT73" s="143">
        <f t="shared" ca="1" si="349"/>
        <v>201.18874659248894</v>
      </c>
      <c r="JU73" s="143">
        <f t="shared" ref="JU73:JU104" si="423">CB73/(CD73*E73)</f>
        <v>0.2953355293158072</v>
      </c>
      <c r="JV73" s="143">
        <f t="shared" si="417"/>
        <v>0.36173214269616621</v>
      </c>
      <c r="JW73" s="143">
        <f t="shared" ca="1" si="418"/>
        <v>0.26030886753767524</v>
      </c>
      <c r="JX73" s="143">
        <f t="shared" ca="1" si="419"/>
        <v>0.30165073418712024</v>
      </c>
      <c r="JY73" s="143">
        <f t="shared" si="420"/>
        <v>0.74310096789293456</v>
      </c>
      <c r="JZ73" s="143">
        <f t="shared" si="421"/>
        <v>0.73938408303302561</v>
      </c>
      <c r="KA73" s="143">
        <f t="shared" si="350"/>
        <v>0.27861842388283697</v>
      </c>
      <c r="KB73" s="143">
        <f t="shared" si="351"/>
        <v>0.34125673839260962</v>
      </c>
      <c r="KC73" s="143">
        <f t="shared" ca="1" si="352"/>
        <v>0.57028311958990408</v>
      </c>
      <c r="KD73" s="143">
        <f t="shared" ca="1" si="353"/>
        <v>0.62803879924848671</v>
      </c>
      <c r="KE73" s="143">
        <f t="shared" ca="1" si="354"/>
        <v>0.56747320767013509</v>
      </c>
      <c r="KF73" s="143">
        <f t="shared" ca="1" si="355"/>
        <v>0.30298990915539031</v>
      </c>
      <c r="KG73" s="142">
        <f t="shared" si="356"/>
        <v>0.14477872769381625</v>
      </c>
      <c r="KH73" s="142">
        <f t="shared" ca="1" si="357"/>
        <v>0.12813522483741602</v>
      </c>
      <c r="KI73" s="142">
        <f t="shared" ca="1" si="358"/>
        <v>390.27828950441079</v>
      </c>
      <c r="KJ73" s="142">
        <f t="shared" ca="1" si="359"/>
        <v>342.98317126228358</v>
      </c>
    </row>
    <row r="74" spans="1:296" x14ac:dyDescent="0.3">
      <c r="A74" s="201">
        <v>41381</v>
      </c>
      <c r="B74" s="196">
        <v>75</v>
      </c>
      <c r="C74" s="179">
        <v>24</v>
      </c>
      <c r="D74" s="179">
        <v>4.2</v>
      </c>
      <c r="E74" s="179">
        <v>50016</v>
      </c>
      <c r="F74" s="179">
        <v>300</v>
      </c>
      <c r="G74" s="179">
        <v>11.7</v>
      </c>
      <c r="H74" s="179">
        <v>0.85</v>
      </c>
      <c r="I74" s="179">
        <v>1.4</v>
      </c>
      <c r="J74" s="179">
        <v>1.33</v>
      </c>
      <c r="K74" s="179">
        <v>0.91</v>
      </c>
      <c r="L74" s="152">
        <v>26585.754029691219</v>
      </c>
      <c r="M74" s="155">
        <v>19</v>
      </c>
      <c r="N74" s="153">
        <v>75907.598053529859</v>
      </c>
      <c r="O74" s="178">
        <v>17</v>
      </c>
      <c r="P74" s="179">
        <v>2</v>
      </c>
      <c r="Q74" s="179">
        <v>5</v>
      </c>
      <c r="R74" s="154">
        <v>398.09002685546875</v>
      </c>
      <c r="S74" s="155">
        <v>90.371589908812894</v>
      </c>
      <c r="T74" s="152">
        <v>180</v>
      </c>
      <c r="U74" s="156">
        <v>3.6458296775817871</v>
      </c>
      <c r="V74" s="178">
        <v>17</v>
      </c>
      <c r="W74" s="179">
        <v>1250</v>
      </c>
      <c r="X74" s="155">
        <v>84003.096898019314</v>
      </c>
      <c r="Y74" s="155">
        <v>12641.12354401499</v>
      </c>
      <c r="Z74" s="155">
        <v>359.4278564453125</v>
      </c>
      <c r="AA74" s="155">
        <v>10.997447967529297</v>
      </c>
      <c r="AB74" s="155">
        <v>15.094286918640137</v>
      </c>
      <c r="AC74" s="215">
        <v>37</v>
      </c>
      <c r="AD74" s="215">
        <v>28.800115585327148</v>
      </c>
      <c r="AE74" s="254">
        <v>20</v>
      </c>
      <c r="AF74" s="254">
        <v>10</v>
      </c>
      <c r="AG74" s="217">
        <v>5000000</v>
      </c>
      <c r="AH74" s="218">
        <v>300000</v>
      </c>
      <c r="AI74" s="219">
        <v>5000000</v>
      </c>
      <c r="AJ74" s="225">
        <f t="shared" si="330"/>
        <v>300000</v>
      </c>
      <c r="AK74" s="220">
        <v>2750000</v>
      </c>
      <c r="AL74" s="226">
        <f t="shared" si="331"/>
        <v>300000</v>
      </c>
      <c r="AM74" s="221">
        <v>14.407</v>
      </c>
      <c r="BM74" s="197">
        <f t="shared" si="332"/>
        <v>8.1998844146728516</v>
      </c>
      <c r="BN74" s="196">
        <f t="shared" si="333"/>
        <v>180</v>
      </c>
      <c r="BO74" s="197">
        <f t="shared" si="334"/>
        <v>4.0968389511108398</v>
      </c>
      <c r="BP74" s="196">
        <f t="shared" si="294"/>
        <v>12.684453675611541</v>
      </c>
      <c r="BQ74" s="115">
        <f t="shared" si="335"/>
        <v>659.74492511188635</v>
      </c>
      <c r="BR74" s="184">
        <f t="shared" si="336"/>
        <v>1.0041987768</v>
      </c>
      <c r="BS74" s="115">
        <f t="shared" si="337"/>
        <v>6863.8528613899143</v>
      </c>
      <c r="BT74" s="196">
        <v>900</v>
      </c>
      <c r="BU74" s="115">
        <f t="shared" si="288"/>
        <v>1.1850729520000001</v>
      </c>
      <c r="BV74" s="115">
        <f t="shared" si="269"/>
        <v>1.0727040508089118</v>
      </c>
      <c r="BW74" s="115">
        <f t="shared" si="270"/>
        <v>474.04256142180611</v>
      </c>
      <c r="BX74" s="115">
        <f t="shared" si="377"/>
        <v>1140.3857989672488</v>
      </c>
      <c r="BY74" s="115"/>
      <c r="BZ74" s="115">
        <f t="shared" si="378"/>
        <v>666.34323754544266</v>
      </c>
      <c r="CA74" s="115">
        <f t="shared" si="379"/>
        <v>10796.680586882259</v>
      </c>
      <c r="CB74" s="115">
        <f t="shared" si="380"/>
        <v>3162.816585563744</v>
      </c>
      <c r="CC74" s="115">
        <f t="shared" si="381"/>
        <v>1107.7397512371342</v>
      </c>
      <c r="CD74" s="129">
        <f t="shared" si="271"/>
        <v>0.2188692054720312</v>
      </c>
      <c r="CE74" s="115">
        <f t="shared" si="382"/>
        <v>21.142815085018384</v>
      </c>
      <c r="CF74" s="115">
        <f t="shared" si="383"/>
        <v>25.103219419114694</v>
      </c>
      <c r="CG74" s="115">
        <f t="shared" si="384"/>
        <v>0.02</v>
      </c>
      <c r="CH74" s="115">
        <f t="shared" si="385"/>
        <v>0.05</v>
      </c>
      <c r="CI74" s="136">
        <v>30</v>
      </c>
      <c r="CJ74" s="115">
        <f t="shared" si="257"/>
        <v>165</v>
      </c>
      <c r="CK74" s="115">
        <f t="shared" si="386"/>
        <v>453</v>
      </c>
      <c r="CL74" s="115">
        <f t="shared" si="387"/>
        <v>671.09002685546875</v>
      </c>
      <c r="CM74" s="115">
        <f t="shared" ca="1" si="388"/>
        <v>2816.5993052117487</v>
      </c>
      <c r="CN74" s="115">
        <f t="shared" ca="1" si="258"/>
        <v>125.80344444444444</v>
      </c>
      <c r="CO74" s="115">
        <f t="shared" ca="1" si="259"/>
        <v>690.58718083896258</v>
      </c>
      <c r="CP74" s="115">
        <f t="shared" ca="1" si="260"/>
        <v>2790.6388281929471</v>
      </c>
      <c r="CQ74" s="115">
        <f t="shared" si="272"/>
        <v>1.072449112508886</v>
      </c>
      <c r="CR74" s="115">
        <f t="shared" ca="1" si="338"/>
        <v>600.57238137244349</v>
      </c>
      <c r="CS74" s="115">
        <f t="shared" ca="1" si="339"/>
        <v>29.73272782408381</v>
      </c>
      <c r="CT74" s="115">
        <f t="shared" si="273"/>
        <v>1.123743976550553</v>
      </c>
      <c r="CU74" s="115">
        <f t="shared" ca="1" si="274"/>
        <v>1.0201888038665889</v>
      </c>
      <c r="CV74" s="115">
        <f t="shared" si="360"/>
        <v>193.34323754544266</v>
      </c>
      <c r="CW74" s="115">
        <f t="shared" si="261"/>
        <v>473</v>
      </c>
      <c r="CX74" s="115">
        <f t="shared" si="262"/>
        <v>438</v>
      </c>
      <c r="CY74" s="115">
        <f t="shared" ca="1" si="275"/>
        <v>443.26727217591622</v>
      </c>
      <c r="CZ74" s="115">
        <f t="shared" ca="1" si="263"/>
        <v>227.82275467955253</v>
      </c>
      <c r="DA74" s="115">
        <v>0.21890000000000001</v>
      </c>
      <c r="DB74" s="115">
        <v>2.7E-2</v>
      </c>
      <c r="DC74" s="115">
        <v>1.06</v>
      </c>
      <c r="DD74" s="138">
        <f t="shared" si="389"/>
        <v>11.603779911742459</v>
      </c>
      <c r="DE74" s="138">
        <f t="shared" si="276"/>
        <v>11.603779911742459</v>
      </c>
      <c r="DF74" s="115">
        <f t="shared" si="264"/>
        <v>671.09002685546875</v>
      </c>
      <c r="DG74" s="115">
        <v>666.34323754544266</v>
      </c>
      <c r="DH74" s="115">
        <f t="shared" si="277"/>
        <v>1.123743976550553</v>
      </c>
      <c r="DI74" s="115">
        <f t="shared" si="299"/>
        <v>1.1224692721855125</v>
      </c>
      <c r="DJ74" s="138">
        <f t="shared" si="340"/>
        <v>2.8302762004767388</v>
      </c>
      <c r="DK74" s="138">
        <f t="shared" si="341"/>
        <v>2.7703210576700825</v>
      </c>
      <c r="DL74" s="115">
        <f t="shared" si="278"/>
        <v>671.09002685546875</v>
      </c>
      <c r="DM74" s="115">
        <f t="shared" si="293"/>
        <v>666.34323754544266</v>
      </c>
      <c r="DN74" s="115">
        <f t="shared" si="300"/>
        <v>12.799766890844374</v>
      </c>
      <c r="DO74" s="115">
        <f t="shared" si="301"/>
        <v>1.123743976550553</v>
      </c>
      <c r="DP74" s="115">
        <f t="shared" si="292"/>
        <v>1.1224692721855125</v>
      </c>
      <c r="DQ74" s="115">
        <v>298.14999999999998</v>
      </c>
      <c r="DR74" s="138">
        <f t="shared" si="302"/>
        <v>1.8849639495175081</v>
      </c>
      <c r="DS74" s="138">
        <f t="shared" si="303"/>
        <v>1.8450338244082751</v>
      </c>
      <c r="DT74" s="115">
        <f t="shared" si="289"/>
        <v>671.09002685546875</v>
      </c>
      <c r="DU74" s="139">
        <f t="shared" si="422"/>
        <v>6.4191023146276578</v>
      </c>
      <c r="DV74" s="115">
        <f t="shared" si="279"/>
        <v>1.123743976550553</v>
      </c>
      <c r="DW74" s="115">
        <v>298.14999999999998</v>
      </c>
      <c r="DX74" s="138">
        <f t="shared" si="342"/>
        <v>0.94531225095923077</v>
      </c>
      <c r="DY74" s="138">
        <f t="shared" si="343"/>
        <v>0.92528723326180728</v>
      </c>
      <c r="DZ74" s="138">
        <f t="shared" si="290"/>
        <v>3.162816585563744</v>
      </c>
      <c r="EA74" s="138">
        <f t="shared" si="280"/>
        <v>3.9328277254923449</v>
      </c>
      <c r="EB74" s="115">
        <f t="shared" si="291"/>
        <v>25.103219419114694</v>
      </c>
      <c r="EC74" s="115">
        <v>30</v>
      </c>
      <c r="ED74" s="198">
        <f t="shared" ca="1" si="265"/>
        <v>125.80344444444444</v>
      </c>
      <c r="EE74" s="198">
        <v>104.83</v>
      </c>
      <c r="EF74" s="198">
        <f t="shared" ca="1" si="295"/>
        <v>0.42491111111111107</v>
      </c>
      <c r="EG74" s="199">
        <v>0.36720000000000003</v>
      </c>
      <c r="EH74" s="138">
        <f t="shared" ca="1" si="304"/>
        <v>9.4560731488077102E-2</v>
      </c>
      <c r="EI74" s="138">
        <f t="shared" ca="1" si="281"/>
        <v>9.4560731488077102E-2</v>
      </c>
      <c r="EJ74" s="115">
        <f t="shared" si="296"/>
        <v>12.799766890844374</v>
      </c>
      <c r="EK74" s="115">
        <v>435</v>
      </c>
      <c r="EL74" s="115">
        <f t="shared" ca="1" si="297"/>
        <v>443.26727217591622</v>
      </c>
      <c r="EM74" s="115">
        <f t="shared" ca="1" si="305"/>
        <v>1.0627227519921632</v>
      </c>
      <c r="EN74" s="115">
        <f t="shared" ca="1" si="306"/>
        <v>1.06527101817192</v>
      </c>
      <c r="EO74" s="115">
        <v>298.14999999999998</v>
      </c>
      <c r="EP74" s="138">
        <f t="shared" ca="1" si="307"/>
        <v>0.32951003263209105</v>
      </c>
      <c r="EQ74" s="138">
        <f t="shared" ca="1" si="308"/>
        <v>0.36648854502525285</v>
      </c>
      <c r="ER74" s="115">
        <f t="shared" si="282"/>
        <v>1.012730465994941</v>
      </c>
      <c r="ES74" s="115">
        <f t="shared" si="298"/>
        <v>453</v>
      </c>
      <c r="ET74" s="115">
        <f t="shared" ca="1" si="390"/>
        <v>2816.5993052117487</v>
      </c>
      <c r="EU74" s="115">
        <f t="shared" ca="1" si="391"/>
        <v>6.5855309782608691</v>
      </c>
      <c r="EV74" s="138">
        <f t="shared" ca="1" si="309"/>
        <v>0.86869378581465084</v>
      </c>
      <c r="EW74" s="138">
        <f t="shared" ca="1" si="344"/>
        <v>1.0383998398691392</v>
      </c>
      <c r="EX74" s="115">
        <v>21.47</v>
      </c>
      <c r="EY74" s="115">
        <f t="shared" ca="1" si="392"/>
        <v>120.61612818188138</v>
      </c>
      <c r="EZ74" s="115">
        <f t="shared" ca="1" si="393"/>
        <v>0.40817938955095079</v>
      </c>
      <c r="FA74" s="138">
        <f t="shared" ca="1" si="310"/>
        <v>7.6607604830588386E-2</v>
      </c>
      <c r="FB74" s="138">
        <f t="shared" ca="1" si="283"/>
        <v>7.6607604830588386E-2</v>
      </c>
      <c r="FC74" s="115">
        <f t="shared" si="266"/>
        <v>21.47</v>
      </c>
      <c r="FD74" s="115">
        <v>37</v>
      </c>
      <c r="FE74" s="115">
        <f t="shared" ca="1" si="267"/>
        <v>154.93355555555553</v>
      </c>
      <c r="FF74" s="115">
        <f t="shared" ca="1" si="268"/>
        <v>0.52252222222222222</v>
      </c>
      <c r="FG74" s="138">
        <f t="shared" ca="1" si="311"/>
        <v>8.1462225449999703E-2</v>
      </c>
      <c r="FH74" s="138">
        <f t="shared" ca="1" si="312"/>
        <v>8.1462225449999703E-2</v>
      </c>
      <c r="FI74" s="115">
        <f t="shared" si="284"/>
        <v>100.63979980468751</v>
      </c>
      <c r="FJ74" s="115">
        <f t="shared" ca="1" si="394"/>
        <v>46.109986127217617</v>
      </c>
      <c r="FK74" s="115">
        <f t="shared" ca="1" si="395"/>
        <v>0.15993107999165854</v>
      </c>
      <c r="FL74" s="138">
        <f t="shared" ca="1" si="313"/>
        <v>0.30969026408824973</v>
      </c>
      <c r="FM74" s="138">
        <f t="shared" ca="1" si="345"/>
        <v>0.47971826693652841</v>
      </c>
      <c r="FN74" s="115">
        <f t="shared" si="285"/>
        <v>100.63979980468751</v>
      </c>
      <c r="FO74" s="115">
        <f t="shared" ca="1" si="396"/>
        <v>63.255712341944381</v>
      </c>
      <c r="FP74" s="115">
        <f t="shared" ca="1" si="397"/>
        <v>0.21705922314325968</v>
      </c>
      <c r="FQ74" s="138">
        <f t="shared" ca="1" si="314"/>
        <v>0.321059575893616</v>
      </c>
      <c r="FR74" s="138">
        <f t="shared" ca="1" si="346"/>
        <v>0.49732962637525174</v>
      </c>
      <c r="FS74" s="139">
        <f t="shared" si="315"/>
        <v>5.6106871257019755</v>
      </c>
      <c r="FT74" s="249">
        <f t="shared" si="316"/>
        <v>4.9006311285800308</v>
      </c>
      <c r="FU74" s="139">
        <f t="shared" ca="1" si="317"/>
        <v>0.78132086255884348</v>
      </c>
      <c r="FV74" s="249">
        <f t="shared" ca="1" si="318"/>
        <v>0.53470617100196027</v>
      </c>
      <c r="FW74" s="139">
        <f t="shared" ca="1" si="286"/>
        <v>0.87520847700060589</v>
      </c>
      <c r="FX74" s="249">
        <f t="shared" ca="1" si="319"/>
        <v>1.0511565786884511</v>
      </c>
      <c r="FY74" s="249">
        <f t="shared" si="398"/>
        <v>0.15000000000000002</v>
      </c>
      <c r="FZ74" s="139">
        <f t="shared" si="399"/>
        <v>1050000</v>
      </c>
      <c r="GA74" s="139">
        <f t="shared" si="320"/>
        <v>3.3757716049382713E-2</v>
      </c>
      <c r="GB74" s="139">
        <f t="shared" si="361"/>
        <v>121.52777777777777</v>
      </c>
      <c r="GC74" s="139">
        <f t="shared" si="400"/>
        <v>1050000</v>
      </c>
      <c r="GD74" s="139">
        <f t="shared" si="362"/>
        <v>6.7515432098765427E-2</v>
      </c>
      <c r="GE74" s="139">
        <f t="shared" si="363"/>
        <v>243.05555555555554</v>
      </c>
      <c r="GF74" s="139">
        <f t="shared" si="364"/>
        <v>4.5814043209876545E-2</v>
      </c>
      <c r="GG74" s="139">
        <f t="shared" si="401"/>
        <v>712500</v>
      </c>
      <c r="GH74" s="139">
        <f t="shared" si="365"/>
        <v>164.93055555555554</v>
      </c>
      <c r="GI74" s="137">
        <f t="shared" si="402"/>
        <v>50.637645176329848</v>
      </c>
      <c r="GJ74" s="137">
        <f t="shared" si="321"/>
        <v>0.18229552263478599</v>
      </c>
      <c r="GK74" s="251">
        <f t="shared" si="403"/>
        <v>40.942896307476929</v>
      </c>
      <c r="GL74" s="137">
        <f t="shared" si="329"/>
        <v>0.14739442670691577</v>
      </c>
      <c r="GM74" s="137">
        <f t="shared" ca="1" si="404"/>
        <v>9.1603742350420951</v>
      </c>
      <c r="GN74" s="137">
        <f t="shared" ca="1" si="322"/>
        <v>3.2977347246151277E-2</v>
      </c>
      <c r="GO74" s="137">
        <f t="shared" ca="1" si="366"/>
        <v>0.11595410424103825</v>
      </c>
      <c r="GP74" s="137">
        <f t="shared" ca="1" si="405"/>
        <v>9.6102576090925602</v>
      </c>
      <c r="GQ74" s="137">
        <f t="shared" ca="1" si="323"/>
        <v>3.4596927392732943E-2</v>
      </c>
      <c r="GR74" s="137">
        <f t="shared" ca="1" si="406"/>
        <v>0.12164883049484158</v>
      </c>
      <c r="GS74" s="140">
        <f t="shared" si="407"/>
        <v>8.083316941998836E-2</v>
      </c>
      <c r="GT74" s="140">
        <f t="shared" si="408"/>
        <v>7.0603392669452508E-2</v>
      </c>
      <c r="GU74" s="140">
        <f t="shared" si="287"/>
        <v>290.99940991195808</v>
      </c>
      <c r="GV74" s="140">
        <f t="shared" si="324"/>
        <v>254.17221361002902</v>
      </c>
      <c r="GW74" s="141">
        <f t="shared" ca="1" si="409"/>
        <v>7.4968221181455812E-3</v>
      </c>
      <c r="GX74" s="141">
        <f t="shared" ca="1" si="410"/>
        <v>5.1305388625464098E-3</v>
      </c>
      <c r="GY74" s="141">
        <f t="shared" ca="1" si="325"/>
        <v>26.988559625324093</v>
      </c>
      <c r="GZ74" s="141">
        <f t="shared" ca="1" si="326"/>
        <v>18.469939905167074</v>
      </c>
      <c r="HA74" s="141">
        <f t="shared" ca="1" si="411"/>
        <v>1.6873331468241236E-2</v>
      </c>
      <c r="HB74" s="141">
        <f t="shared" ca="1" si="412"/>
        <v>1.5799809785494771E-2</v>
      </c>
      <c r="HC74" s="141">
        <f t="shared" ca="1" si="327"/>
        <v>60.743993285668452</v>
      </c>
      <c r="HD74" s="141">
        <f t="shared" ca="1" si="328"/>
        <v>56.879315227781177</v>
      </c>
      <c r="HE74" s="137">
        <f t="shared" si="367"/>
        <v>8.7735037112657199</v>
      </c>
      <c r="HF74" s="250">
        <f t="shared" si="368"/>
        <v>8.8334588540723757</v>
      </c>
      <c r="HG74" s="137">
        <v>3.162816585563744</v>
      </c>
      <c r="HH74" s="251">
        <v>3.8247159816019538</v>
      </c>
      <c r="HI74" s="137">
        <f t="shared" ca="1" si="369"/>
        <v>1.5184754044922553</v>
      </c>
      <c r="HJ74" s="251">
        <f t="shared" ca="1" si="370"/>
        <v>1.4785452793830223</v>
      </c>
      <c r="HK74" s="137">
        <f t="shared" ca="1" si="371"/>
        <v>0.77413305432657376</v>
      </c>
      <c r="HL74" s="251">
        <f t="shared" ca="1" si="372"/>
        <v>0.94383910838106211</v>
      </c>
      <c r="HM74" s="137">
        <f t="shared" ca="1" si="373"/>
        <v>0.86869378581465084</v>
      </c>
      <c r="HN74" s="251">
        <f t="shared" ca="1" si="374"/>
        <v>1.0383998398691392</v>
      </c>
      <c r="HO74" s="137">
        <f t="shared" ca="1" si="375"/>
        <v>0.30969026408824973</v>
      </c>
      <c r="HP74" s="251">
        <f t="shared" ca="1" si="376"/>
        <v>0.47971826693652841</v>
      </c>
      <c r="JN74" s="143">
        <f t="shared" si="413"/>
        <v>19.218869205472032</v>
      </c>
      <c r="JO74" s="143">
        <f t="shared" si="347"/>
        <v>3162.816585563744</v>
      </c>
      <c r="JP74" s="143">
        <f t="shared" si="414"/>
        <v>3932.8277254923451</v>
      </c>
      <c r="JQ74" s="143">
        <f t="shared" si="415"/>
        <v>1.012730465994941</v>
      </c>
      <c r="JR74" s="143">
        <f t="shared" ca="1" si="348"/>
        <v>1.2105752002514321</v>
      </c>
      <c r="JS74" s="143">
        <f t="shared" si="416"/>
        <v>100.63979980468751</v>
      </c>
      <c r="JT74" s="143">
        <f t="shared" ca="1" si="349"/>
        <v>155.89366520539465</v>
      </c>
      <c r="JU74" s="143">
        <f t="shared" si="423"/>
        <v>0.28892185186181574</v>
      </c>
      <c r="JV74" s="143">
        <f t="shared" si="417"/>
        <v>0.35926201812939124</v>
      </c>
      <c r="JW74" s="143">
        <f t="shared" ca="1" si="418"/>
        <v>0.24848710039011193</v>
      </c>
      <c r="JX74" s="143">
        <f t="shared" ca="1" si="419"/>
        <v>0.2970309785428733</v>
      </c>
      <c r="JY74" s="143">
        <f t="shared" si="420"/>
        <v>0.78417935372824188</v>
      </c>
      <c r="JZ74" s="143">
        <f t="shared" si="421"/>
        <v>0.95300133575020207</v>
      </c>
      <c r="KA74" s="143">
        <f t="shared" si="350"/>
        <v>0.27256778477529792</v>
      </c>
      <c r="KB74" s="143">
        <f t="shared" si="351"/>
        <v>0.33892643219753893</v>
      </c>
      <c r="KC74" s="143">
        <f t="shared" ca="1" si="352"/>
        <v>0.49768948210093483</v>
      </c>
      <c r="KD74" s="143">
        <f t="shared" ca="1" si="353"/>
        <v>0.63835658031042097</v>
      </c>
      <c r="KE74" s="143">
        <f t="shared" ca="1" si="354"/>
        <v>0.46197837144984855</v>
      </c>
      <c r="KF74" s="143">
        <f t="shared" ca="1" si="355"/>
        <v>0.35650106993435648</v>
      </c>
      <c r="KG74" s="142">
        <f t="shared" si="356"/>
        <v>0.14739442670691577</v>
      </c>
      <c r="KH74" s="142">
        <f t="shared" ca="1" si="357"/>
        <v>0.12164883049484158</v>
      </c>
      <c r="KI74" s="142">
        <f t="shared" ca="1" si="358"/>
        <v>378.73196282295066</v>
      </c>
      <c r="KJ74" s="142">
        <f t="shared" ca="1" si="359"/>
        <v>329.52146874297728</v>
      </c>
    </row>
    <row r="75" spans="1:296" x14ac:dyDescent="0.3">
      <c r="A75" s="201">
        <v>41382</v>
      </c>
      <c r="B75" s="196">
        <v>76</v>
      </c>
      <c r="C75" s="179">
        <v>24</v>
      </c>
      <c r="D75" s="179">
        <v>4.2</v>
      </c>
      <c r="E75" s="179">
        <v>50016</v>
      </c>
      <c r="F75" s="179">
        <v>300</v>
      </c>
      <c r="G75" s="179">
        <v>11.7</v>
      </c>
      <c r="H75" s="179">
        <v>0.85</v>
      </c>
      <c r="I75" s="179">
        <v>1.4</v>
      </c>
      <c r="J75" s="179">
        <v>1.33</v>
      </c>
      <c r="K75" s="179">
        <v>0.91</v>
      </c>
      <c r="L75" s="152">
        <v>26844.769826978445</v>
      </c>
      <c r="M75" s="155">
        <v>19</v>
      </c>
      <c r="N75" s="153">
        <v>76169.862222515047</v>
      </c>
      <c r="O75" s="178">
        <v>17</v>
      </c>
      <c r="P75" s="179">
        <v>2</v>
      </c>
      <c r="Q75" s="179">
        <v>5</v>
      </c>
      <c r="R75" s="154">
        <v>303.82461547851562</v>
      </c>
      <c r="S75" s="155">
        <v>32.299932479771087</v>
      </c>
      <c r="T75" s="152">
        <v>180</v>
      </c>
      <c r="U75" s="156">
        <v>1.4945690631866455</v>
      </c>
      <c r="V75" s="178">
        <v>17</v>
      </c>
      <c r="W75" s="179">
        <v>1250</v>
      </c>
      <c r="X75" s="155">
        <v>79631.928970754147</v>
      </c>
      <c r="Y75" s="155">
        <v>11787.776471612975</v>
      </c>
      <c r="Z75" s="155">
        <v>324.73892211914062</v>
      </c>
      <c r="AA75" s="155">
        <v>10.831699371337891</v>
      </c>
      <c r="AB75" s="155">
        <v>14.902823448181152</v>
      </c>
      <c r="AC75" s="215">
        <v>37</v>
      </c>
      <c r="AD75" s="215">
        <v>28.501371383666992</v>
      </c>
      <c r="AE75" s="254">
        <v>20</v>
      </c>
      <c r="AF75" s="254">
        <v>10</v>
      </c>
      <c r="AG75" s="217">
        <v>5000000</v>
      </c>
      <c r="AH75" s="218">
        <v>300000</v>
      </c>
      <c r="AI75" s="219">
        <v>5000000</v>
      </c>
      <c r="AJ75" s="225">
        <f t="shared" si="330"/>
        <v>300000</v>
      </c>
      <c r="AK75" s="220">
        <v>2750000</v>
      </c>
      <c r="AL75" s="226">
        <f t="shared" si="331"/>
        <v>300000</v>
      </c>
      <c r="AM75" s="221">
        <v>14.407</v>
      </c>
      <c r="BM75" s="197">
        <f t="shared" si="332"/>
        <v>8.4986286163330078</v>
      </c>
      <c r="BN75" s="196">
        <f t="shared" si="333"/>
        <v>180</v>
      </c>
      <c r="BO75" s="197">
        <f t="shared" si="334"/>
        <v>4.0711240768432617</v>
      </c>
      <c r="BP75" s="196">
        <f t="shared" si="294"/>
        <v>12.685861037761878</v>
      </c>
      <c r="BQ75" s="115">
        <f t="shared" si="335"/>
        <v>659.74492511188635</v>
      </c>
      <c r="BR75" s="184">
        <f t="shared" si="336"/>
        <v>1.0041987768</v>
      </c>
      <c r="BS75" s="115">
        <f t="shared" si="337"/>
        <v>6863.8528613899143</v>
      </c>
      <c r="BT75" s="196">
        <v>900</v>
      </c>
      <c r="BU75" s="115">
        <f t="shared" si="288"/>
        <v>1.1850729520000001</v>
      </c>
      <c r="BV75" s="115">
        <f t="shared" si="269"/>
        <v>1.0731751209783014</v>
      </c>
      <c r="BW75" s="115">
        <f t="shared" si="270"/>
        <v>475.96672102645664</v>
      </c>
      <c r="BX75" s="115">
        <f t="shared" si="377"/>
        <v>1145.0146750780955</v>
      </c>
      <c r="BY75" s="115"/>
      <c r="BZ75" s="115">
        <f t="shared" si="378"/>
        <v>669.04795405163884</v>
      </c>
      <c r="CA75" s="115">
        <f t="shared" si="379"/>
        <v>10841.707561030784</v>
      </c>
      <c r="CB75" s="115">
        <f t="shared" si="380"/>
        <v>3173.7442592714601</v>
      </c>
      <c r="CC75" s="115">
        <f t="shared" si="381"/>
        <v>1118.5320761241019</v>
      </c>
      <c r="CD75" s="129">
        <f t="shared" si="271"/>
        <v>0.2210015723664833</v>
      </c>
      <c r="CE75" s="115">
        <f t="shared" si="382"/>
        <v>19.102289536420038</v>
      </c>
      <c r="CF75" s="115">
        <f t="shared" si="383"/>
        <v>8.9722034666030801</v>
      </c>
      <c r="CG75" s="115">
        <f t="shared" si="384"/>
        <v>0.02</v>
      </c>
      <c r="CH75" s="115">
        <f t="shared" si="385"/>
        <v>0.05</v>
      </c>
      <c r="CI75" s="136">
        <v>30</v>
      </c>
      <c r="CJ75" s="115">
        <f t="shared" si="257"/>
        <v>165</v>
      </c>
      <c r="CK75" s="115">
        <f t="shared" si="386"/>
        <v>453</v>
      </c>
      <c r="CL75" s="115">
        <f t="shared" si="387"/>
        <v>576.82461547851562</v>
      </c>
      <c r="CM75" s="115">
        <f t="shared" ca="1" si="388"/>
        <v>2816.5993052117487</v>
      </c>
      <c r="CN75" s="115">
        <f t="shared" ca="1" si="258"/>
        <v>125.80344444444444</v>
      </c>
      <c r="CO75" s="115">
        <f t="shared" ca="1" si="259"/>
        <v>690.58718083896258</v>
      </c>
      <c r="CP75" s="115">
        <f t="shared" ca="1" si="260"/>
        <v>2790.6388281929471</v>
      </c>
      <c r="CQ75" s="115">
        <f t="shared" si="272"/>
        <v>1.072449112508886</v>
      </c>
      <c r="CR75" s="115">
        <f t="shared" ca="1" si="338"/>
        <v>246.19825411014415</v>
      </c>
      <c r="CS75" s="115">
        <f t="shared" ca="1" si="339"/>
        <v>12.187263041850692</v>
      </c>
      <c r="CT75" s="115">
        <f t="shared" si="273"/>
        <v>1.0987413303738307</v>
      </c>
      <c r="CU75" s="115">
        <f t="shared" ca="1" si="274"/>
        <v>1.0031924339009655</v>
      </c>
      <c r="CV75" s="115">
        <f t="shared" si="360"/>
        <v>196.04795405163884</v>
      </c>
      <c r="CW75" s="115">
        <f t="shared" si="261"/>
        <v>473</v>
      </c>
      <c r="CX75" s="115">
        <f t="shared" si="262"/>
        <v>438</v>
      </c>
      <c r="CY75" s="115">
        <f t="shared" ca="1" si="275"/>
        <v>460.81273695814929</v>
      </c>
      <c r="CZ75" s="115">
        <f t="shared" ca="1" si="263"/>
        <v>116.01187852036634</v>
      </c>
      <c r="DA75" s="115">
        <v>0.21890000000000001</v>
      </c>
      <c r="DB75" s="115">
        <v>2.7E-2</v>
      </c>
      <c r="DC75" s="115">
        <v>1.06</v>
      </c>
      <c r="DD75" s="138">
        <f t="shared" si="389"/>
        <v>11.716831522090951</v>
      </c>
      <c r="DE75" s="138">
        <f t="shared" si="276"/>
        <v>11.716831522090951</v>
      </c>
      <c r="DF75" s="115">
        <f t="shared" si="264"/>
        <v>576.82461547851562</v>
      </c>
      <c r="DG75" s="115">
        <v>669.04795405163884</v>
      </c>
      <c r="DH75" s="115">
        <f t="shared" si="277"/>
        <v>1.0987413303738307</v>
      </c>
      <c r="DI75" s="115">
        <f t="shared" si="299"/>
        <v>1.1231954561838233</v>
      </c>
      <c r="DJ75" s="138">
        <f t="shared" si="340"/>
        <v>1.7299141028184124</v>
      </c>
      <c r="DK75" s="138">
        <f t="shared" si="341"/>
        <v>2.8047387202286105</v>
      </c>
      <c r="DL75" s="115">
        <f t="shared" si="278"/>
        <v>576.82461547851562</v>
      </c>
      <c r="DM75" s="115">
        <f t="shared" si="293"/>
        <v>669.04795405163884</v>
      </c>
      <c r="DN75" s="115">
        <f t="shared" si="300"/>
        <v>12.801187047196079</v>
      </c>
      <c r="DO75" s="115">
        <f t="shared" si="301"/>
        <v>1.0987413303738307</v>
      </c>
      <c r="DP75" s="115">
        <f t="shared" si="292"/>
        <v>1.1231954561838233</v>
      </c>
      <c r="DQ75" s="115">
        <v>298.14999999999998</v>
      </c>
      <c r="DR75" s="138">
        <f t="shared" si="302"/>
        <v>1.1521227924770627</v>
      </c>
      <c r="DS75" s="138">
        <f t="shared" si="303"/>
        <v>1.8679559876722547</v>
      </c>
      <c r="DT75" s="115">
        <f t="shared" si="289"/>
        <v>576.82461547851562</v>
      </c>
      <c r="DU75" s="139">
        <f t="shared" si="422"/>
        <v>6.4198145251704037</v>
      </c>
      <c r="DV75" s="115">
        <f t="shared" si="279"/>
        <v>1.0987413303738307</v>
      </c>
      <c r="DW75" s="115">
        <v>298.14999999999998</v>
      </c>
      <c r="DX75" s="138">
        <f t="shared" si="342"/>
        <v>0.57779131034134956</v>
      </c>
      <c r="DY75" s="138">
        <f t="shared" si="343"/>
        <v>0.93678273255635569</v>
      </c>
      <c r="DZ75" s="138">
        <f t="shared" si="290"/>
        <v>3.17374425927146</v>
      </c>
      <c r="EA75" s="138">
        <f t="shared" si="280"/>
        <v>3.9778546996408695</v>
      </c>
      <c r="EB75" s="115">
        <f t="shared" si="291"/>
        <v>8.9722034666030801</v>
      </c>
      <c r="EC75" s="115">
        <v>30</v>
      </c>
      <c r="ED75" s="198">
        <f t="shared" ca="1" si="265"/>
        <v>125.80344444444444</v>
      </c>
      <c r="EE75" s="198">
        <v>104.83</v>
      </c>
      <c r="EF75" s="198">
        <f t="shared" ca="1" si="295"/>
        <v>0.42491111111111107</v>
      </c>
      <c r="EG75" s="199">
        <v>0.36720000000000003</v>
      </c>
      <c r="EH75" s="138">
        <f t="shared" ca="1" si="304"/>
        <v>3.3797183886933063E-2</v>
      </c>
      <c r="EI75" s="138">
        <f t="shared" ca="1" si="281"/>
        <v>3.3797183886933063E-2</v>
      </c>
      <c r="EJ75" s="115">
        <f t="shared" si="296"/>
        <v>12.801187047196079</v>
      </c>
      <c r="EK75" s="115">
        <v>435</v>
      </c>
      <c r="EL75" s="115">
        <f t="shared" ca="1" si="297"/>
        <v>460.81273695814929</v>
      </c>
      <c r="EM75" s="115">
        <f t="shared" ca="1" si="305"/>
        <v>1.0614056336202176</v>
      </c>
      <c r="EN75" s="115">
        <f t="shared" ca="1" si="306"/>
        <v>1.0694848999338931</v>
      </c>
      <c r="EO75" s="115">
        <v>298.14999999999998</v>
      </c>
      <c r="EP75" s="138">
        <f t="shared" ca="1" si="307"/>
        <v>0.32913815856163808</v>
      </c>
      <c r="EQ75" s="138">
        <f t="shared" ca="1" si="308"/>
        <v>0.44973470957574163</v>
      </c>
      <c r="ER75" s="115">
        <f t="shared" si="282"/>
        <v>0.41515807310740155</v>
      </c>
      <c r="ES75" s="115">
        <f t="shared" si="298"/>
        <v>453</v>
      </c>
      <c r="ET75" s="115">
        <f t="shared" ca="1" si="390"/>
        <v>2816.5993052117487</v>
      </c>
      <c r="EU75" s="115">
        <f t="shared" ca="1" si="391"/>
        <v>6.5855309782608691</v>
      </c>
      <c r="EV75" s="138">
        <f t="shared" ca="1" si="309"/>
        <v>0.35611176946757894</v>
      </c>
      <c r="EW75" s="138">
        <f t="shared" ca="1" si="344"/>
        <v>1.0296134513126309</v>
      </c>
      <c r="EX75" s="115">
        <v>21.47</v>
      </c>
      <c r="EY75" s="115">
        <f t="shared" ca="1" si="392"/>
        <v>119.36585050413343</v>
      </c>
      <c r="EZ75" s="115">
        <f t="shared" ca="1" si="393"/>
        <v>0.40401356762780083</v>
      </c>
      <c r="FA75" s="138">
        <f t="shared" ca="1" si="310"/>
        <v>7.6430737732472331E-2</v>
      </c>
      <c r="FB75" s="138">
        <f t="shared" ca="1" si="283"/>
        <v>7.6430737732472331E-2</v>
      </c>
      <c r="FC75" s="115">
        <f t="shared" si="266"/>
        <v>21.47</v>
      </c>
      <c r="FD75" s="115">
        <v>37</v>
      </c>
      <c r="FE75" s="115">
        <f t="shared" ca="1" si="267"/>
        <v>154.93355555555553</v>
      </c>
      <c r="FF75" s="115">
        <f t="shared" ca="1" si="268"/>
        <v>0.52252222222222222</v>
      </c>
      <c r="FG75" s="138">
        <f t="shared" ca="1" si="311"/>
        <v>8.1462225449999703E-2</v>
      </c>
      <c r="FH75" s="138">
        <f t="shared" ca="1" si="312"/>
        <v>8.1462225449999703E-2</v>
      </c>
      <c r="FI75" s="115">
        <f t="shared" si="284"/>
        <v>90.926898193359378</v>
      </c>
      <c r="FJ75" s="115">
        <f t="shared" ca="1" si="394"/>
        <v>45.416309835645897</v>
      </c>
      <c r="FK75" s="115">
        <f t="shared" ca="1" si="395"/>
        <v>0.15761980790032282</v>
      </c>
      <c r="FL75" s="138">
        <f t="shared" ca="1" si="313"/>
        <v>0.27938599818936671</v>
      </c>
      <c r="FM75" s="138">
        <f t="shared" ca="1" si="345"/>
        <v>0.47198741313920389</v>
      </c>
      <c r="FN75" s="115">
        <f t="shared" si="285"/>
        <v>90.926898193359378</v>
      </c>
      <c r="FO75" s="115">
        <f t="shared" ca="1" si="396"/>
        <v>62.454416444354592</v>
      </c>
      <c r="FP75" s="115">
        <f t="shared" ca="1" si="397"/>
        <v>0.21438937141630385</v>
      </c>
      <c r="FQ75" s="138">
        <f t="shared" ca="1" si="314"/>
        <v>0.28959356511356249</v>
      </c>
      <c r="FR75" s="138">
        <f t="shared" ca="1" si="346"/>
        <v>0.48923181027513674</v>
      </c>
      <c r="FS75" s="139">
        <f t="shared" si="315"/>
        <v>6.8131731600010781</v>
      </c>
      <c r="FT75" s="249">
        <f t="shared" si="316"/>
        <v>4.9342381022214701</v>
      </c>
      <c r="FU75" s="139">
        <f t="shared" ca="1" si="317"/>
        <v>0.50067004833477879</v>
      </c>
      <c r="FV75" s="249">
        <f t="shared" ca="1" si="318"/>
        <v>0.42240501067081526</v>
      </c>
      <c r="FW75" s="139">
        <f t="shared" ca="1" si="286"/>
        <v>0.36128784867424735</v>
      </c>
      <c r="FX75" s="249">
        <f t="shared" ca="1" si="319"/>
        <v>1.0418263607310365</v>
      </c>
      <c r="FY75" s="249">
        <f t="shared" si="398"/>
        <v>0.15000000000000002</v>
      </c>
      <c r="FZ75" s="139">
        <f t="shared" si="399"/>
        <v>1050000</v>
      </c>
      <c r="GA75" s="139">
        <f t="shared" si="320"/>
        <v>3.3757716049382713E-2</v>
      </c>
      <c r="GB75" s="139">
        <f t="shared" si="361"/>
        <v>121.52777777777777</v>
      </c>
      <c r="GC75" s="139">
        <f t="shared" si="400"/>
        <v>1050000</v>
      </c>
      <c r="GD75" s="139">
        <f t="shared" si="362"/>
        <v>6.7515432098765427E-2</v>
      </c>
      <c r="GE75" s="139">
        <f t="shared" si="363"/>
        <v>243.05555555555554</v>
      </c>
      <c r="GF75" s="139">
        <f t="shared" si="364"/>
        <v>4.5814043209876545E-2</v>
      </c>
      <c r="GG75" s="139">
        <f t="shared" si="401"/>
        <v>712500</v>
      </c>
      <c r="GH75" s="139">
        <f t="shared" si="365"/>
        <v>164.93055555555554</v>
      </c>
      <c r="GI75" s="137">
        <f t="shared" si="402"/>
        <v>55.971502678549044</v>
      </c>
      <c r="GJ75" s="137">
        <f t="shared" si="321"/>
        <v>0.20149740964277496</v>
      </c>
      <c r="GK75" s="251">
        <f t="shared" si="403"/>
        <v>40.764243364759679</v>
      </c>
      <c r="GL75" s="137">
        <f t="shared" si="329"/>
        <v>0.14675127611313368</v>
      </c>
      <c r="GM75" s="137">
        <f t="shared" ca="1" si="404"/>
        <v>8.9473204835879798</v>
      </c>
      <c r="GN75" s="137">
        <f t="shared" ca="1" si="322"/>
        <v>3.2210353740916471E-2</v>
      </c>
      <c r="GO75" s="137">
        <f t="shared" ca="1" si="366"/>
        <v>0.11325722131123936</v>
      </c>
      <c r="GP75" s="137">
        <f t="shared" ca="1" si="405"/>
        <v>9.6717700961364503</v>
      </c>
      <c r="GQ75" s="137">
        <f t="shared" ca="1" si="323"/>
        <v>3.4818372346090941E-2</v>
      </c>
      <c r="GR75" s="137">
        <f t="shared" ca="1" si="406"/>
        <v>0.12242746957134649</v>
      </c>
      <c r="GS75" s="140">
        <f t="shared" si="407"/>
        <v>9.8157385716135526E-2</v>
      </c>
      <c r="GT75" s="140">
        <f t="shared" si="408"/>
        <v>7.1087568338704721E-2</v>
      </c>
      <c r="GU75" s="140">
        <f t="shared" si="287"/>
        <v>353.36658857808789</v>
      </c>
      <c r="GV75" s="140">
        <f t="shared" si="324"/>
        <v>255.91524601933699</v>
      </c>
      <c r="GW75" s="141">
        <f t="shared" ca="1" si="409"/>
        <v>4.8039601553151986E-3</v>
      </c>
      <c r="GX75" s="141">
        <f t="shared" ca="1" si="410"/>
        <v>4.0530022664971334E-3</v>
      </c>
      <c r="GY75" s="141">
        <f t="shared" ca="1" si="325"/>
        <v>17.294256559134716</v>
      </c>
      <c r="GZ75" s="141">
        <f t="shared" ca="1" si="326"/>
        <v>14.590808159389681</v>
      </c>
      <c r="HA75" s="141">
        <f t="shared" ca="1" si="411"/>
        <v>8.8514191732638886E-3</v>
      </c>
      <c r="HB75" s="141">
        <f t="shared" ca="1" si="412"/>
        <v>1.423665325948364E-2</v>
      </c>
      <c r="HC75" s="141">
        <f t="shared" ca="1" si="327"/>
        <v>31.865109023749998</v>
      </c>
      <c r="HD75" s="141">
        <f t="shared" ca="1" si="328"/>
        <v>51.251951734141102</v>
      </c>
      <c r="HE75" s="137">
        <f t="shared" si="367"/>
        <v>9.9869174192725385</v>
      </c>
      <c r="HF75" s="250">
        <f t="shared" si="368"/>
        <v>8.9120928018623395</v>
      </c>
      <c r="HG75" s="137">
        <v>3.17374425927146</v>
      </c>
      <c r="HH75" s="251">
        <v>6.0785445650068013</v>
      </c>
      <c r="HI75" s="137">
        <f t="shared" ca="1" si="369"/>
        <v>0.70238808290132115</v>
      </c>
      <c r="HJ75" s="251">
        <f t="shared" ca="1" si="370"/>
        <v>1.4182212780965131</v>
      </c>
      <c r="HK75" s="137">
        <f t="shared" ca="1" si="371"/>
        <v>0.32231458558064585</v>
      </c>
      <c r="HL75" s="251">
        <f t="shared" ca="1" si="372"/>
        <v>0.99581626742569784</v>
      </c>
      <c r="HM75" s="137">
        <f t="shared" ca="1" si="373"/>
        <v>0.35611176946757894</v>
      </c>
      <c r="HN75" s="251">
        <f t="shared" ca="1" si="374"/>
        <v>1.0296134513126309</v>
      </c>
      <c r="HO75" s="137">
        <f t="shared" ca="1" si="375"/>
        <v>0.27938599818936671</v>
      </c>
      <c r="HP75" s="251">
        <f t="shared" ca="1" si="376"/>
        <v>0.47198741313920389</v>
      </c>
      <c r="JN75" s="143">
        <f t="shared" si="413"/>
        <v>19.221001572366482</v>
      </c>
      <c r="JO75" s="143">
        <f t="shared" si="347"/>
        <v>3173.7442592714601</v>
      </c>
      <c r="JP75" s="143">
        <f t="shared" si="414"/>
        <v>3977.8546996408695</v>
      </c>
      <c r="JQ75" s="143">
        <f t="shared" si="415"/>
        <v>0.41515807310740155</v>
      </c>
      <c r="JR75" s="143">
        <f t="shared" ca="1" si="348"/>
        <v>1.2003319551372742</v>
      </c>
      <c r="JS75" s="143">
        <f t="shared" si="416"/>
        <v>90.926898193359378</v>
      </c>
      <c r="JT75" s="143">
        <f t="shared" ca="1" si="349"/>
        <v>153.60952854182375</v>
      </c>
      <c r="JU75" s="143">
        <f t="shared" si="423"/>
        <v>0.28712275229740508</v>
      </c>
      <c r="JV75" s="143">
        <f t="shared" si="417"/>
        <v>0.35986913131502063</v>
      </c>
      <c r="JW75" s="143">
        <f t="shared" ca="1" si="418"/>
        <v>0.10088648201029302</v>
      </c>
      <c r="JX75" s="143">
        <f t="shared" ca="1" si="419"/>
        <v>0.29168954199045177</v>
      </c>
      <c r="JY75" s="143">
        <f t="shared" si="420"/>
        <v>0.77138232076182345</v>
      </c>
      <c r="JZ75" s="143">
        <f t="shared" si="421"/>
        <v>0.87609341412712471</v>
      </c>
      <c r="KA75" s="143">
        <f t="shared" si="350"/>
        <v>0.2708705210352878</v>
      </c>
      <c r="KB75" s="143">
        <f t="shared" si="351"/>
        <v>0.33949918048586852</v>
      </c>
      <c r="KC75" s="143">
        <f t="shared" ca="1" si="352"/>
        <v>0.39164107359721256</v>
      </c>
      <c r="KD75" s="143">
        <f t="shared" ca="1" si="353"/>
        <v>0.70215860021663723</v>
      </c>
      <c r="KE75" s="143">
        <f t="shared" ca="1" si="354"/>
        <v>0.45841224445686662</v>
      </c>
      <c r="KF75" s="143">
        <f t="shared" ca="1" si="355"/>
        <v>0.78454581438595927</v>
      </c>
      <c r="KG75" s="142">
        <f t="shared" si="356"/>
        <v>0.14675127611313368</v>
      </c>
      <c r="KH75" s="142">
        <f t="shared" ca="1" si="357"/>
        <v>0.12242746957134649</v>
      </c>
      <c r="KI75" s="142">
        <f t="shared" ca="1" si="358"/>
        <v>402.52595416097262</v>
      </c>
      <c r="KJ75" s="142">
        <f t="shared" ca="1" si="359"/>
        <v>321.75800591286782</v>
      </c>
    </row>
    <row r="76" spans="1:296" x14ac:dyDescent="0.3">
      <c r="A76" s="201">
        <v>41383</v>
      </c>
      <c r="B76" s="196">
        <v>77</v>
      </c>
      <c r="C76" s="179">
        <v>24</v>
      </c>
      <c r="D76" s="179">
        <v>4.2</v>
      </c>
      <c r="E76" s="179">
        <v>50016</v>
      </c>
      <c r="F76" s="179">
        <v>300</v>
      </c>
      <c r="G76" s="179">
        <v>11.7</v>
      </c>
      <c r="H76" s="179">
        <v>0.85</v>
      </c>
      <c r="I76" s="179">
        <v>1.4</v>
      </c>
      <c r="J76" s="179">
        <v>1.33</v>
      </c>
      <c r="K76" s="179">
        <v>0.91</v>
      </c>
      <c r="L76" s="152">
        <v>24082.343440145254</v>
      </c>
      <c r="M76" s="155">
        <v>19</v>
      </c>
      <c r="N76" s="153">
        <v>64358.094999834895</v>
      </c>
      <c r="O76" s="178">
        <v>17</v>
      </c>
      <c r="P76" s="179">
        <v>2</v>
      </c>
      <c r="Q76" s="179">
        <v>5</v>
      </c>
      <c r="R76" s="154">
        <v>365.87469482421875</v>
      </c>
      <c r="S76" s="155">
        <v>72.649987779761432</v>
      </c>
      <c r="T76" s="152">
        <v>180</v>
      </c>
      <c r="U76" s="156">
        <v>2.9727864265441895</v>
      </c>
      <c r="V76" s="178">
        <v>17</v>
      </c>
      <c r="W76" s="179">
        <v>1250</v>
      </c>
      <c r="X76" s="155">
        <v>76542.468172505498</v>
      </c>
      <c r="Y76" s="155">
        <v>9924.3374444823712</v>
      </c>
      <c r="Z76" s="155">
        <v>279.24322509765625</v>
      </c>
      <c r="AA76" s="155">
        <v>9.5785713195800781</v>
      </c>
      <c r="AB76" s="155">
        <v>13.700267791748047</v>
      </c>
      <c r="AC76" s="215">
        <v>37</v>
      </c>
      <c r="AD76" s="215">
        <v>28.932901382446289</v>
      </c>
      <c r="AE76" s="254">
        <v>20</v>
      </c>
      <c r="AF76" s="254">
        <v>10</v>
      </c>
      <c r="AG76" s="217">
        <v>5000000</v>
      </c>
      <c r="AH76" s="218">
        <v>300000</v>
      </c>
      <c r="AI76" s="219">
        <v>5000000</v>
      </c>
      <c r="AJ76" s="225">
        <f t="shared" si="330"/>
        <v>300000</v>
      </c>
      <c r="AK76" s="220">
        <v>2750000</v>
      </c>
      <c r="AL76" s="226">
        <f t="shared" si="331"/>
        <v>300000</v>
      </c>
      <c r="AM76" s="221">
        <v>14.407</v>
      </c>
      <c r="BM76" s="197">
        <f t="shared" si="332"/>
        <v>8.0670986175537109</v>
      </c>
      <c r="BN76" s="196">
        <f t="shared" si="333"/>
        <v>180</v>
      </c>
      <c r="BO76" s="197">
        <f t="shared" si="334"/>
        <v>4.1216964721679687</v>
      </c>
      <c r="BP76" s="196">
        <f t="shared" si="294"/>
        <v>12.670851395953763</v>
      </c>
      <c r="BQ76" s="115">
        <f t="shared" si="335"/>
        <v>659.74492511188635</v>
      </c>
      <c r="BR76" s="184">
        <f t="shared" si="336"/>
        <v>1.0041987768</v>
      </c>
      <c r="BS76" s="115">
        <f t="shared" si="337"/>
        <v>6863.8528613899143</v>
      </c>
      <c r="BT76" s="196">
        <v>900</v>
      </c>
      <c r="BU76" s="115">
        <f t="shared" si="288"/>
        <v>1.1850729520000001</v>
      </c>
      <c r="BV76" s="115">
        <f t="shared" si="269"/>
        <v>1.068183669043359</v>
      </c>
      <c r="BW76" s="115">
        <f t="shared" si="270"/>
        <v>455.42335881397207</v>
      </c>
      <c r="BX76" s="115">
        <f t="shared" si="377"/>
        <v>1095.594305607701</v>
      </c>
      <c r="BY76" s="115"/>
      <c r="BZ76" s="115">
        <f t="shared" si="378"/>
        <v>640.17094679372894</v>
      </c>
      <c r="CA76" s="115">
        <f t="shared" si="379"/>
        <v>10361.490899306427</v>
      </c>
      <c r="CB76" s="115">
        <f t="shared" si="380"/>
        <v>2681.5872916597873</v>
      </c>
      <c r="CC76" s="115">
        <f t="shared" si="381"/>
        <v>1003.4309766727189</v>
      </c>
      <c r="CD76" s="129">
        <f t="shared" si="271"/>
        <v>0.19825969083903364</v>
      </c>
      <c r="CE76" s="115">
        <f t="shared" si="382"/>
        <v>16.426072064568014</v>
      </c>
      <c r="CF76" s="115">
        <f t="shared" si="383"/>
        <v>20.180552161044844</v>
      </c>
      <c r="CG76" s="115">
        <f t="shared" si="384"/>
        <v>0.02</v>
      </c>
      <c r="CH76" s="115">
        <f t="shared" si="385"/>
        <v>0.05</v>
      </c>
      <c r="CI76" s="136">
        <v>30</v>
      </c>
      <c r="CJ76" s="115">
        <f t="shared" si="257"/>
        <v>165</v>
      </c>
      <c r="CK76" s="115">
        <f t="shared" si="386"/>
        <v>453</v>
      </c>
      <c r="CL76" s="115">
        <f t="shared" si="387"/>
        <v>638.87469482421875</v>
      </c>
      <c r="CM76" s="115">
        <f t="shared" ca="1" si="388"/>
        <v>2816.5993052117487</v>
      </c>
      <c r="CN76" s="115">
        <f t="shared" ca="1" si="258"/>
        <v>125.80344444444444</v>
      </c>
      <c r="CO76" s="115">
        <f t="shared" ca="1" si="259"/>
        <v>690.58718083896258</v>
      </c>
      <c r="CP76" s="115">
        <f t="shared" ca="1" si="260"/>
        <v>2790.6388281929471</v>
      </c>
      <c r="CQ76" s="115">
        <f t="shared" si="272"/>
        <v>1.072449112508886</v>
      </c>
      <c r="CR76" s="115">
        <f t="shared" ca="1" si="338"/>
        <v>489.70291576690619</v>
      </c>
      <c r="CS76" s="115">
        <f t="shared" ca="1" si="339"/>
        <v>24.26990397559597</v>
      </c>
      <c r="CT76" s="115">
        <f t="shared" si="273"/>
        <v>1.1151187945918384</v>
      </c>
      <c r="CU76" s="115">
        <f t="shared" ca="1" si="274"/>
        <v>1.0138862074274659</v>
      </c>
      <c r="CV76" s="115">
        <f t="shared" si="360"/>
        <v>167.17094679372894</v>
      </c>
      <c r="CW76" s="115">
        <f t="shared" si="261"/>
        <v>473</v>
      </c>
      <c r="CX76" s="115">
        <f t="shared" si="262"/>
        <v>438</v>
      </c>
      <c r="CY76" s="115">
        <f t="shared" ca="1" si="275"/>
        <v>448.73009602440402</v>
      </c>
      <c r="CZ76" s="115">
        <f t="shared" ca="1" si="263"/>
        <v>190.14459879981473</v>
      </c>
      <c r="DA76" s="115">
        <v>0.21890000000000001</v>
      </c>
      <c r="DB76" s="115">
        <v>2.7E-2</v>
      </c>
      <c r="DC76" s="115">
        <v>1.06</v>
      </c>
      <c r="DD76" s="138">
        <f t="shared" si="389"/>
        <v>10.511126098825413</v>
      </c>
      <c r="DE76" s="138">
        <f t="shared" si="276"/>
        <v>10.511126098825413</v>
      </c>
      <c r="DF76" s="115">
        <f t="shared" si="264"/>
        <v>638.87469482421875</v>
      </c>
      <c r="DG76" s="115">
        <v>640.17094679372894</v>
      </c>
      <c r="DH76" s="115">
        <f t="shared" si="277"/>
        <v>1.1151187945918384</v>
      </c>
      <c r="DI76" s="115">
        <f t="shared" si="299"/>
        <v>1.1154645439914737</v>
      </c>
      <c r="DJ76" s="138">
        <f t="shared" si="340"/>
        <v>2.4298704658850374</v>
      </c>
      <c r="DK76" s="138">
        <f t="shared" si="341"/>
        <v>2.4454415289247402</v>
      </c>
      <c r="DL76" s="115">
        <f t="shared" si="278"/>
        <v>638.87469482421875</v>
      </c>
      <c r="DM76" s="115">
        <f t="shared" si="293"/>
        <v>640.17094679372894</v>
      </c>
      <c r="DN76" s="115">
        <f t="shared" si="300"/>
        <v>12.786040954098798</v>
      </c>
      <c r="DO76" s="115">
        <f t="shared" si="301"/>
        <v>1.1151187945918384</v>
      </c>
      <c r="DP76" s="115">
        <f t="shared" si="292"/>
        <v>1.1154645439914737</v>
      </c>
      <c r="DQ76" s="115">
        <v>298.14999999999998</v>
      </c>
      <c r="DR76" s="138">
        <f t="shared" si="302"/>
        <v>1.6182937302794351</v>
      </c>
      <c r="DS76" s="138">
        <f t="shared" si="303"/>
        <v>1.6286640582638769</v>
      </c>
      <c r="DT76" s="115">
        <f t="shared" si="289"/>
        <v>638.87469482421875</v>
      </c>
      <c r="DU76" s="139">
        <f t="shared" si="422"/>
        <v>6.4122187367402361</v>
      </c>
      <c r="DV76" s="115">
        <f t="shared" si="279"/>
        <v>1.1151187945918384</v>
      </c>
      <c r="DW76" s="115">
        <v>298.14999999999998</v>
      </c>
      <c r="DX76" s="138">
        <f t="shared" si="342"/>
        <v>0.81157673560560228</v>
      </c>
      <c r="DY76" s="138">
        <f t="shared" si="343"/>
        <v>0.81677747066086304</v>
      </c>
      <c r="DZ76" s="138">
        <f t="shared" si="290"/>
        <v>2.6815872916597874</v>
      </c>
      <c r="EA76" s="138">
        <f t="shared" si="280"/>
        <v>3.4976380379165128</v>
      </c>
      <c r="EB76" s="115">
        <f t="shared" si="291"/>
        <v>20.180552161044844</v>
      </c>
      <c r="EC76" s="115">
        <v>30</v>
      </c>
      <c r="ED76" s="198">
        <f t="shared" ca="1" si="265"/>
        <v>125.80344444444444</v>
      </c>
      <c r="EE76" s="198">
        <v>104.83</v>
      </c>
      <c r="EF76" s="198">
        <f t="shared" ca="1" si="295"/>
        <v>0.42491111111111107</v>
      </c>
      <c r="EG76" s="199">
        <v>0.36720000000000003</v>
      </c>
      <c r="EH76" s="138">
        <f t="shared" ca="1" si="304"/>
        <v>7.6017651055889715E-2</v>
      </c>
      <c r="EI76" s="138">
        <f t="shared" ca="1" si="281"/>
        <v>7.6017651055889715E-2</v>
      </c>
      <c r="EJ76" s="115">
        <f t="shared" si="296"/>
        <v>12.786040954098798</v>
      </c>
      <c r="EK76" s="115">
        <v>435</v>
      </c>
      <c r="EL76" s="115">
        <f t="shared" ca="1" si="297"/>
        <v>448.73009602440402</v>
      </c>
      <c r="EM76" s="115">
        <f t="shared" ca="1" si="305"/>
        <v>1.0623235971054357</v>
      </c>
      <c r="EN76" s="115">
        <f t="shared" ca="1" si="306"/>
        <v>1.0665760472661818</v>
      </c>
      <c r="EO76" s="115">
        <v>298.14999999999998</v>
      </c>
      <c r="EP76" s="138">
        <f t="shared" ca="1" si="307"/>
        <v>0.32903304972276376</v>
      </c>
      <c r="EQ76" s="138">
        <f t="shared" ca="1" si="308"/>
        <v>0.3912395426966242</v>
      </c>
      <c r="ER76" s="115">
        <f t="shared" si="282"/>
        <v>0.82577400737338602</v>
      </c>
      <c r="ES76" s="115">
        <f t="shared" si="298"/>
        <v>453</v>
      </c>
      <c r="ET76" s="115">
        <f t="shared" ca="1" si="390"/>
        <v>2816.5993052117487</v>
      </c>
      <c r="EU76" s="115">
        <f t="shared" ca="1" si="391"/>
        <v>6.5855309782608691</v>
      </c>
      <c r="EV76" s="138">
        <f t="shared" ca="1" si="309"/>
        <v>0.7083274106776063</v>
      </c>
      <c r="EW76" s="138">
        <f t="shared" ca="1" si="344"/>
        <v>0.88998813657272968</v>
      </c>
      <c r="EX76" s="115">
        <v>21.47</v>
      </c>
      <c r="EY76" s="115">
        <f t="shared" ca="1" si="392"/>
        <v>121.17185149680243</v>
      </c>
      <c r="EZ76" s="115">
        <f t="shared" ca="1" si="393"/>
        <v>0.41003101372188988</v>
      </c>
      <c r="FA76" s="138">
        <f t="shared" ca="1" si="310"/>
        <v>7.6686218703182318E-2</v>
      </c>
      <c r="FB76" s="138">
        <f t="shared" ca="1" si="283"/>
        <v>7.6686218703182318E-2</v>
      </c>
      <c r="FC76" s="115">
        <f t="shared" si="266"/>
        <v>21.47</v>
      </c>
      <c r="FD76" s="115">
        <v>37</v>
      </c>
      <c r="FE76" s="115">
        <f t="shared" ca="1" si="267"/>
        <v>154.93355555555553</v>
      </c>
      <c r="FF76" s="115">
        <f t="shared" ca="1" si="268"/>
        <v>0.52252222222222222</v>
      </c>
      <c r="FG76" s="138">
        <f t="shared" ca="1" si="311"/>
        <v>8.1462225449999703E-2</v>
      </c>
      <c r="FH76" s="138">
        <f t="shared" ca="1" si="312"/>
        <v>8.1462225449999703E-2</v>
      </c>
      <c r="FI76" s="115">
        <f t="shared" si="284"/>
        <v>78.188103027343757</v>
      </c>
      <c r="FJ76" s="115">
        <f t="shared" ca="1" si="394"/>
        <v>40.171829702589257</v>
      </c>
      <c r="FK76" s="115">
        <f t="shared" ca="1" si="395"/>
        <v>0.1401456334008111</v>
      </c>
      <c r="FL76" s="138">
        <f t="shared" ca="1" si="313"/>
        <v>0.23754242388054764</v>
      </c>
      <c r="FM76" s="138">
        <f t="shared" ca="1" si="345"/>
        <v>0.38703413965817623</v>
      </c>
      <c r="FN76" s="115">
        <f t="shared" si="285"/>
        <v>78.188103027343757</v>
      </c>
      <c r="FO76" s="115">
        <f t="shared" ca="1" si="396"/>
        <v>57.421587404886886</v>
      </c>
      <c r="FP76" s="115">
        <f t="shared" ca="1" si="397"/>
        <v>0.19762040087381999</v>
      </c>
      <c r="FQ76" s="138">
        <f t="shared" ca="1" si="314"/>
        <v>0.24642895373404494</v>
      </c>
      <c r="FR76" s="138">
        <f t="shared" ca="1" si="346"/>
        <v>0.40151319725221923</v>
      </c>
      <c r="FS76" s="139">
        <f t="shared" si="315"/>
        <v>5.3996683412805888</v>
      </c>
      <c r="FT76" s="249">
        <f t="shared" si="316"/>
        <v>4.5680465319841588</v>
      </c>
      <c r="FU76" s="139">
        <f t="shared" ca="1" si="317"/>
        <v>0.65695092093495466</v>
      </c>
      <c r="FV76" s="249">
        <f t="shared" ca="1" si="318"/>
        <v>0.4234540300504126</v>
      </c>
      <c r="FW76" s="139">
        <f t="shared" ca="1" si="286"/>
        <v>0.7124379337842861</v>
      </c>
      <c r="FX76" s="249">
        <f t="shared" ca="1" si="319"/>
        <v>0.89969118741995535</v>
      </c>
      <c r="FY76" s="249">
        <f t="shared" si="398"/>
        <v>0.15000000000000002</v>
      </c>
      <c r="FZ76" s="139">
        <f t="shared" si="399"/>
        <v>1050000</v>
      </c>
      <c r="GA76" s="139">
        <f t="shared" si="320"/>
        <v>3.3757716049382713E-2</v>
      </c>
      <c r="GB76" s="139">
        <f t="shared" si="361"/>
        <v>121.52777777777777</v>
      </c>
      <c r="GC76" s="139">
        <f t="shared" si="400"/>
        <v>1050000</v>
      </c>
      <c r="GD76" s="139">
        <f t="shared" si="362"/>
        <v>6.7515432098765427E-2</v>
      </c>
      <c r="GE76" s="139">
        <f t="shared" si="363"/>
        <v>243.05555555555554</v>
      </c>
      <c r="GF76" s="139">
        <f t="shared" si="364"/>
        <v>4.5814043209876545E-2</v>
      </c>
      <c r="GG76" s="139">
        <f t="shared" si="401"/>
        <v>712500</v>
      </c>
      <c r="GH76" s="139">
        <f t="shared" si="365"/>
        <v>164.93055555555554</v>
      </c>
      <c r="GI76" s="137">
        <f t="shared" si="402"/>
        <v>56.005771812931371</v>
      </c>
      <c r="GJ76" s="137">
        <f t="shared" si="321"/>
        <v>0.20162077852655133</v>
      </c>
      <c r="GK76" s="251">
        <f t="shared" si="403"/>
        <v>42.874657703937395</v>
      </c>
      <c r="GL76" s="137">
        <f t="shared" si="329"/>
        <v>0.15434876773417339</v>
      </c>
      <c r="GM76" s="137">
        <f t="shared" ca="1" si="404"/>
        <v>8.0913578547844907</v>
      </c>
      <c r="GN76" s="137">
        <f t="shared" ca="1" si="322"/>
        <v>2.9128888277223933E-2</v>
      </c>
      <c r="GO76" s="137">
        <f t="shared" ca="1" si="366"/>
        <v>0.10242225132638515</v>
      </c>
      <c r="GP76" s="137">
        <f t="shared" ca="1" si="405"/>
        <v>8.6981138591832323</v>
      </c>
      <c r="GQ76" s="137">
        <f t="shared" ca="1" si="323"/>
        <v>3.1313209893059385E-2</v>
      </c>
      <c r="GR76" s="137">
        <f t="shared" ca="1" si="406"/>
        <v>0.11010270707826789</v>
      </c>
      <c r="GS76" s="140">
        <f t="shared" si="407"/>
        <v>7.7793021792829445E-2</v>
      </c>
      <c r="GT76" s="140">
        <f t="shared" si="408"/>
        <v>6.581184638629578E-2</v>
      </c>
      <c r="GU76" s="140">
        <f t="shared" si="287"/>
        <v>280.054878454186</v>
      </c>
      <c r="GV76" s="140">
        <f t="shared" si="324"/>
        <v>236.92264699066482</v>
      </c>
      <c r="GW76" s="141">
        <f t="shared" ca="1" si="409"/>
        <v>6.3034848173279872E-3</v>
      </c>
      <c r="GX76" s="141">
        <f t="shared" ca="1" si="410"/>
        <v>4.0630676724835715E-3</v>
      </c>
      <c r="GY76" s="141">
        <f t="shared" ca="1" si="325"/>
        <v>22.692545342380754</v>
      </c>
      <c r="GZ76" s="141">
        <f t="shared" ca="1" si="326"/>
        <v>14.627043620940857</v>
      </c>
      <c r="HA76" s="141">
        <f t="shared" ca="1" si="411"/>
        <v>1.393816731506759E-2</v>
      </c>
      <c r="HB76" s="141">
        <f t="shared" ca="1" si="412"/>
        <v>1.312354939133397E-2</v>
      </c>
      <c r="HC76" s="141">
        <f t="shared" ca="1" si="327"/>
        <v>50.177402334243325</v>
      </c>
      <c r="HD76" s="141">
        <f t="shared" ca="1" si="328"/>
        <v>47.24477780880229</v>
      </c>
      <c r="HE76" s="137">
        <f t="shared" si="367"/>
        <v>8.0812556329403762</v>
      </c>
      <c r="HF76" s="250">
        <f t="shared" si="368"/>
        <v>8.0656845699006716</v>
      </c>
      <c r="HG76" s="137">
        <v>2.6815872916597874</v>
      </c>
      <c r="HH76" s="251">
        <v>3.5271295049775473</v>
      </c>
      <c r="HI76" s="137">
        <f t="shared" ca="1" si="369"/>
        <v>1.2270541875828109</v>
      </c>
      <c r="HJ76" s="251">
        <f t="shared" ca="1" si="370"/>
        <v>1.2374245155672527</v>
      </c>
      <c r="HK76" s="137">
        <f t="shared" ca="1" si="371"/>
        <v>0.63230975962171654</v>
      </c>
      <c r="HL76" s="251">
        <f t="shared" ca="1" si="372"/>
        <v>0.81397048551683993</v>
      </c>
      <c r="HM76" s="137">
        <f t="shared" ca="1" si="373"/>
        <v>0.7083274106776063</v>
      </c>
      <c r="HN76" s="251">
        <f t="shared" ca="1" si="374"/>
        <v>0.88998813657272968</v>
      </c>
      <c r="HO76" s="137">
        <f t="shared" ca="1" si="375"/>
        <v>0.23754242388054764</v>
      </c>
      <c r="HP76" s="251">
        <f t="shared" ca="1" si="376"/>
        <v>0.38703413965817623</v>
      </c>
      <c r="JN76" s="143">
        <f t="shared" si="413"/>
        <v>19.198259690839034</v>
      </c>
      <c r="JO76" s="143">
        <f t="shared" si="347"/>
        <v>2681.5872916597873</v>
      </c>
      <c r="JP76" s="143">
        <f t="shared" si="414"/>
        <v>3497.638037916513</v>
      </c>
      <c r="JQ76" s="143">
        <f t="shared" si="415"/>
        <v>0.82577400737338602</v>
      </c>
      <c r="JR76" s="143">
        <f t="shared" ca="1" si="348"/>
        <v>1.0375555978405258</v>
      </c>
      <c r="JS76" s="143">
        <f t="shared" si="416"/>
        <v>78.188103027343757</v>
      </c>
      <c r="JT76" s="143">
        <f t="shared" ca="1" si="349"/>
        <v>127.39393954281759</v>
      </c>
      <c r="JU76" s="143">
        <f t="shared" si="423"/>
        <v>0.27042607066401891</v>
      </c>
      <c r="JV76" s="143">
        <f t="shared" si="417"/>
        <v>0.35272113428510821</v>
      </c>
      <c r="JW76" s="143">
        <f t="shared" ca="1" si="418"/>
        <v>0.22363867930146394</v>
      </c>
      <c r="JX76" s="143">
        <f t="shared" ca="1" si="419"/>
        <v>0.28099402685361685</v>
      </c>
      <c r="JY76" s="143">
        <f t="shared" si="420"/>
        <v>0.6756535851966563</v>
      </c>
      <c r="JZ76" s="143">
        <f t="shared" si="421"/>
        <v>0.99786368335160891</v>
      </c>
      <c r="KA76" s="143">
        <f t="shared" si="350"/>
        <v>0.25511893458869711</v>
      </c>
      <c r="KB76" s="143">
        <f t="shared" si="351"/>
        <v>0.33275578706142278</v>
      </c>
      <c r="KC76" s="143">
        <f t="shared" ca="1" si="352"/>
        <v>0.49044368540635291</v>
      </c>
      <c r="KD76" s="143">
        <f t="shared" ca="1" si="353"/>
        <v>0.65779405149711656</v>
      </c>
      <c r="KE76" s="143">
        <f t="shared" ca="1" si="354"/>
        <v>0.43487561659935436</v>
      </c>
      <c r="KF76" s="143">
        <f t="shared" ca="1" si="355"/>
        <v>0.33535681423553515</v>
      </c>
      <c r="KG76" s="142">
        <f t="shared" si="356"/>
        <v>0.15434876773417339</v>
      </c>
      <c r="KH76" s="142">
        <f t="shared" ca="1" si="357"/>
        <v>0.11010270707826789</v>
      </c>
      <c r="KI76" s="142">
        <f t="shared" ca="1" si="358"/>
        <v>352.92482613081006</v>
      </c>
      <c r="KJ76" s="142">
        <f t="shared" ca="1" si="359"/>
        <v>298.79446842040795</v>
      </c>
    </row>
    <row r="77" spans="1:296" x14ac:dyDescent="0.3">
      <c r="A77" s="201">
        <v>41386</v>
      </c>
      <c r="B77" s="196">
        <v>79</v>
      </c>
      <c r="C77" s="179">
        <v>24</v>
      </c>
      <c r="D77" s="179">
        <v>4.2</v>
      </c>
      <c r="E77" s="179">
        <v>50016</v>
      </c>
      <c r="F77" s="179">
        <v>300</v>
      </c>
      <c r="G77" s="179">
        <v>11.7</v>
      </c>
      <c r="H77" s="179">
        <v>0.85</v>
      </c>
      <c r="I77" s="179">
        <v>1.4</v>
      </c>
      <c r="J77" s="179">
        <v>1.33</v>
      </c>
      <c r="K77" s="179">
        <v>0.91</v>
      </c>
      <c r="L77" s="152">
        <v>27350.953599870205</v>
      </c>
      <c r="M77" s="155">
        <v>19</v>
      </c>
      <c r="N77" s="153">
        <v>78743.320832803845</v>
      </c>
      <c r="O77" s="178">
        <v>17</v>
      </c>
      <c r="P77" s="179">
        <v>2</v>
      </c>
      <c r="Q77" s="179">
        <v>5</v>
      </c>
      <c r="R77" s="154">
        <v>383.74234008789062</v>
      </c>
      <c r="S77" s="155">
        <v>84.026194540492725</v>
      </c>
      <c r="T77" s="152">
        <v>180</v>
      </c>
      <c r="U77" s="156">
        <v>3.2558186054229736</v>
      </c>
      <c r="V77" s="178">
        <v>17</v>
      </c>
      <c r="W77" s="179">
        <v>1250</v>
      </c>
      <c r="X77" s="155">
        <v>80340.372807994485</v>
      </c>
      <c r="Y77" s="155">
        <v>11383.728243583813</v>
      </c>
      <c r="Z77" s="155">
        <v>359.7767333984375</v>
      </c>
      <c r="AA77" s="155">
        <v>10.985663414001465</v>
      </c>
      <c r="AB77" s="155">
        <v>14.431374549865723</v>
      </c>
      <c r="AC77" s="215">
        <v>37</v>
      </c>
      <c r="AD77" s="215">
        <v>28.771989822387695</v>
      </c>
      <c r="AE77" s="254">
        <v>20</v>
      </c>
      <c r="AF77" s="254">
        <v>10</v>
      </c>
      <c r="AG77" s="217">
        <v>5000000</v>
      </c>
      <c r="AH77" s="218">
        <v>300000</v>
      </c>
      <c r="AI77" s="219">
        <v>5000000</v>
      </c>
      <c r="AJ77" s="225">
        <f t="shared" si="330"/>
        <v>300000</v>
      </c>
      <c r="AK77" s="220">
        <v>2750000</v>
      </c>
      <c r="AL77" s="226">
        <f t="shared" si="331"/>
        <v>300000</v>
      </c>
      <c r="AM77" s="221">
        <v>14.407</v>
      </c>
      <c r="BK77" s="283"/>
      <c r="BM77" s="197">
        <f t="shared" si="332"/>
        <v>8.2280101776123047</v>
      </c>
      <c r="BN77" s="196">
        <f t="shared" si="333"/>
        <v>180</v>
      </c>
      <c r="BO77" s="197">
        <f t="shared" si="334"/>
        <v>3.4457111358642578</v>
      </c>
      <c r="BP77" s="196">
        <f t="shared" si="294"/>
        <v>12.68861138693187</v>
      </c>
      <c r="BQ77" s="115">
        <f t="shared" si="335"/>
        <v>659.74492511188635</v>
      </c>
      <c r="BR77" s="184">
        <f t="shared" si="336"/>
        <v>1.0041987768</v>
      </c>
      <c r="BS77" s="115">
        <f t="shared" si="337"/>
        <v>6863.8528613899143</v>
      </c>
      <c r="BT77" s="196">
        <v>900</v>
      </c>
      <c r="BU77" s="115">
        <f t="shared" si="288"/>
        <v>1.1850729520000001</v>
      </c>
      <c r="BV77" s="115">
        <f t="shared" si="269"/>
        <v>1.0740974679511679</v>
      </c>
      <c r="BW77" s="115">
        <f t="shared" si="270"/>
        <v>479.72579376418764</v>
      </c>
      <c r="BX77" s="115">
        <f t="shared" si="377"/>
        <v>1154.0577305255556</v>
      </c>
      <c r="BY77" s="115"/>
      <c r="BZ77" s="115">
        <f t="shared" si="378"/>
        <v>674.33193676136796</v>
      </c>
      <c r="CA77" s="115">
        <f t="shared" si="379"/>
        <v>10929.70189919513</v>
      </c>
      <c r="CB77" s="115">
        <f t="shared" si="380"/>
        <v>3280.9717013668269</v>
      </c>
      <c r="CC77" s="115">
        <f t="shared" si="381"/>
        <v>1139.6230666612585</v>
      </c>
      <c r="CD77" s="129">
        <f t="shared" si="271"/>
        <v>0.22516876807859004</v>
      </c>
      <c r="CE77" s="115">
        <f t="shared" si="382"/>
        <v>21.163337258731616</v>
      </c>
      <c r="CF77" s="115">
        <f t="shared" si="383"/>
        <v>23.340609594581313</v>
      </c>
      <c r="CG77" s="115">
        <f t="shared" si="384"/>
        <v>0.02</v>
      </c>
      <c r="CH77" s="115">
        <f t="shared" si="385"/>
        <v>0.05</v>
      </c>
      <c r="CI77" s="136">
        <v>30</v>
      </c>
      <c r="CJ77" s="115">
        <f t="shared" si="257"/>
        <v>165</v>
      </c>
      <c r="CK77" s="115">
        <f t="shared" si="386"/>
        <v>453</v>
      </c>
      <c r="CL77" s="115">
        <f t="shared" si="387"/>
        <v>656.74234008789062</v>
      </c>
      <c r="CM77" s="115">
        <f t="shared" ca="1" si="388"/>
        <v>2816.5993052117487</v>
      </c>
      <c r="CN77" s="115">
        <f t="shared" ca="1" si="258"/>
        <v>125.80344444444444</v>
      </c>
      <c r="CO77" s="115">
        <f t="shared" ca="1" si="259"/>
        <v>690.58718083896258</v>
      </c>
      <c r="CP77" s="115">
        <f t="shared" ca="1" si="260"/>
        <v>2790.6388281929471</v>
      </c>
      <c r="CQ77" s="115">
        <f t="shared" si="272"/>
        <v>1.072449112508886</v>
      </c>
      <c r="CR77" s="115">
        <f t="shared" ca="1" si="338"/>
        <v>536.32640745645995</v>
      </c>
      <c r="CS77" s="115">
        <f t="shared" ca="1" si="339"/>
        <v>26.543381575852752</v>
      </c>
      <c r="CT77" s="115">
        <f t="shared" si="273"/>
        <v>1.1198947797006098</v>
      </c>
      <c r="CU77" s="115">
        <f t="shared" ca="1" si="274"/>
        <v>1.0171866517291452</v>
      </c>
      <c r="CV77" s="115">
        <f t="shared" si="360"/>
        <v>201.33193676136796</v>
      </c>
      <c r="CW77" s="115">
        <f t="shared" si="261"/>
        <v>473</v>
      </c>
      <c r="CX77" s="115">
        <f t="shared" si="262"/>
        <v>438</v>
      </c>
      <c r="CY77" s="115">
        <f t="shared" ca="1" si="275"/>
        <v>446.45661842414722</v>
      </c>
      <c r="CZ77" s="115">
        <f t="shared" ca="1" si="263"/>
        <v>210.2857216637434</v>
      </c>
      <c r="DA77" s="115">
        <v>0.21890000000000001</v>
      </c>
      <c r="DB77" s="115">
        <v>2.7E-2</v>
      </c>
      <c r="DC77" s="115">
        <v>1.06</v>
      </c>
      <c r="DD77" s="138">
        <f t="shared" si="389"/>
        <v>11.937763570471885</v>
      </c>
      <c r="DE77" s="138">
        <f t="shared" si="276"/>
        <v>11.937763570471885</v>
      </c>
      <c r="DF77" s="115">
        <f t="shared" si="264"/>
        <v>656.74234008789062</v>
      </c>
      <c r="DG77" s="115">
        <v>674.33193676136796</v>
      </c>
      <c r="DH77" s="115">
        <f t="shared" si="277"/>
        <v>1.1198947797006098</v>
      </c>
      <c r="DI77" s="115">
        <f t="shared" si="299"/>
        <v>1.1246152066758159</v>
      </c>
      <c r="DJ77" s="138">
        <f t="shared" si="340"/>
        <v>2.65132716515103</v>
      </c>
      <c r="DK77" s="138">
        <f t="shared" si="341"/>
        <v>2.8724262100274385</v>
      </c>
      <c r="DL77" s="115">
        <f t="shared" si="278"/>
        <v>656.74234008789062</v>
      </c>
      <c r="DM77" s="115">
        <f t="shared" si="293"/>
        <v>674.33193676136796</v>
      </c>
      <c r="DN77" s="115">
        <f t="shared" si="300"/>
        <v>12.803962399540341</v>
      </c>
      <c r="DO77" s="115">
        <f t="shared" si="301"/>
        <v>1.1198947797006098</v>
      </c>
      <c r="DP77" s="115">
        <f t="shared" si="292"/>
        <v>1.1246152066758159</v>
      </c>
      <c r="DQ77" s="115">
        <v>298.14999999999998</v>
      </c>
      <c r="DR77" s="138">
        <f t="shared" si="302"/>
        <v>1.7657838919905859</v>
      </c>
      <c r="DS77" s="138">
        <f t="shared" si="303"/>
        <v>1.9130358558782741</v>
      </c>
      <c r="DT77" s="115">
        <f t="shared" si="289"/>
        <v>656.74234008789062</v>
      </c>
      <c r="DU77" s="139">
        <f t="shared" si="422"/>
        <v>6.4212063685382486</v>
      </c>
      <c r="DV77" s="115">
        <f t="shared" si="279"/>
        <v>1.1198947797006098</v>
      </c>
      <c r="DW77" s="115">
        <v>298.14999999999998</v>
      </c>
      <c r="DX77" s="138">
        <f t="shared" si="342"/>
        <v>0.88554327316044412</v>
      </c>
      <c r="DY77" s="138">
        <f t="shared" si="343"/>
        <v>0.95939035414916451</v>
      </c>
      <c r="DZ77" s="138">
        <f t="shared" si="290"/>
        <v>3.2809717013668269</v>
      </c>
      <c r="EA77" s="138">
        <f t="shared" si="280"/>
        <v>4.0658490378052159</v>
      </c>
      <c r="EB77" s="115">
        <f t="shared" si="291"/>
        <v>23.340609594581313</v>
      </c>
      <c r="EC77" s="115">
        <v>30</v>
      </c>
      <c r="ED77" s="198">
        <f t="shared" ca="1" si="265"/>
        <v>125.80344444444444</v>
      </c>
      <c r="EE77" s="198">
        <v>104.83</v>
      </c>
      <c r="EF77" s="198">
        <f t="shared" ca="1" si="295"/>
        <v>0.42491111111111107</v>
      </c>
      <c r="EG77" s="199">
        <v>0.36720000000000003</v>
      </c>
      <c r="EH77" s="138">
        <f t="shared" ca="1" si="304"/>
        <v>8.7921197667604839E-2</v>
      </c>
      <c r="EI77" s="138">
        <f t="shared" ca="1" si="281"/>
        <v>8.7921197667604839E-2</v>
      </c>
      <c r="EJ77" s="115">
        <f t="shared" si="296"/>
        <v>12.803962399540341</v>
      </c>
      <c r="EK77" s="115">
        <v>435</v>
      </c>
      <c r="EL77" s="115">
        <f t="shared" ca="1" si="297"/>
        <v>446.45661842414722</v>
      </c>
      <c r="EM77" s="115">
        <f t="shared" ca="1" si="305"/>
        <v>1.0624909027324581</v>
      </c>
      <c r="EN77" s="115">
        <f t="shared" ca="1" si="306"/>
        <v>1.0660321511176107</v>
      </c>
      <c r="EO77" s="115">
        <v>298.14999999999998</v>
      </c>
      <c r="EP77" s="138">
        <f t="shared" ca="1" si="307"/>
        <v>0.32954612823072432</v>
      </c>
      <c r="EQ77" s="138">
        <f t="shared" ca="1" si="308"/>
        <v>0.38122725320351525</v>
      </c>
      <c r="ER77" s="115">
        <f t="shared" si="282"/>
        <v>0.90439405706193721</v>
      </c>
      <c r="ES77" s="115">
        <f t="shared" si="298"/>
        <v>453</v>
      </c>
      <c r="ET77" s="115">
        <f t="shared" ca="1" si="390"/>
        <v>2816.5993052117487</v>
      </c>
      <c r="EU77" s="115">
        <f t="shared" ca="1" si="391"/>
        <v>6.5855309782608691</v>
      </c>
      <c r="EV77" s="138">
        <f t="shared" ca="1" si="309"/>
        <v>0.77576563920743169</v>
      </c>
      <c r="EW77" s="138">
        <f t="shared" ca="1" si="344"/>
        <v>1.077954600527522</v>
      </c>
      <c r="EX77" s="115">
        <v>21.47</v>
      </c>
      <c r="EY77" s="115">
        <f t="shared" ca="1" si="392"/>
        <v>120.49841873889498</v>
      </c>
      <c r="EZ77" s="115">
        <f t="shared" ca="1" si="393"/>
        <v>0.40778719141218395</v>
      </c>
      <c r="FA77" s="138">
        <f t="shared" ca="1" si="310"/>
        <v>7.659095338749497E-2</v>
      </c>
      <c r="FB77" s="138">
        <f t="shared" ca="1" si="283"/>
        <v>7.659095338749497E-2</v>
      </c>
      <c r="FC77" s="115">
        <f t="shared" si="266"/>
        <v>21.47</v>
      </c>
      <c r="FD77" s="115">
        <v>37</v>
      </c>
      <c r="FE77" s="115">
        <f t="shared" ca="1" si="267"/>
        <v>154.93355555555553</v>
      </c>
      <c r="FF77" s="115">
        <f t="shared" ca="1" si="268"/>
        <v>0.52252222222222222</v>
      </c>
      <c r="FG77" s="138">
        <f t="shared" ca="1" si="311"/>
        <v>8.1462225449999703E-2</v>
      </c>
      <c r="FH77" s="138">
        <f t="shared" ca="1" si="312"/>
        <v>8.1462225449999703E-2</v>
      </c>
      <c r="FI77" s="115">
        <f t="shared" si="284"/>
        <v>100.73748535156251</v>
      </c>
      <c r="FJ77" s="115">
        <f t="shared" ca="1" si="394"/>
        <v>46.060666461308806</v>
      </c>
      <c r="FK77" s="115">
        <f t="shared" ca="1" si="395"/>
        <v>0.15976675093968709</v>
      </c>
      <c r="FL77" s="138">
        <f t="shared" ca="1" si="313"/>
        <v>0.30995812792310695</v>
      </c>
      <c r="FM77" s="138">
        <f t="shared" ca="1" si="345"/>
        <v>0.59748261345160392</v>
      </c>
      <c r="FN77" s="115">
        <f t="shared" si="285"/>
        <v>100.73748535156251</v>
      </c>
      <c r="FO77" s="115">
        <f t="shared" ca="1" si="396"/>
        <v>60.481350421693598</v>
      </c>
      <c r="FP77" s="115">
        <f t="shared" ca="1" si="397"/>
        <v>0.2078152784453498</v>
      </c>
      <c r="FQ77" s="138">
        <f t="shared" ca="1" si="314"/>
        <v>0.31952974890829627</v>
      </c>
      <c r="FR77" s="138">
        <f t="shared" ca="1" si="346"/>
        <v>0.61593309629429882</v>
      </c>
      <c r="FS77" s="139">
        <f t="shared" si="315"/>
        <v>6.0054647039540292</v>
      </c>
      <c r="FT77" s="249">
        <f t="shared" si="316"/>
        <v>4.9994883226392313</v>
      </c>
      <c r="FU77" s="139">
        <f t="shared" ca="1" si="317"/>
        <v>0.74839332222003474</v>
      </c>
      <c r="FV77" s="249">
        <f t="shared" ca="1" si="318"/>
        <v>0.54177519981484168</v>
      </c>
      <c r="FW77" s="139">
        <f t="shared" ca="1" si="286"/>
        <v>0.78046598813011636</v>
      </c>
      <c r="FX77" s="249">
        <f t="shared" ca="1" si="319"/>
        <v>1.0915338113077122</v>
      </c>
      <c r="FY77" s="249">
        <f t="shared" si="398"/>
        <v>0.15000000000000002</v>
      </c>
      <c r="FZ77" s="139">
        <f t="shared" si="399"/>
        <v>1050000</v>
      </c>
      <c r="GA77" s="139">
        <f t="shared" si="320"/>
        <v>3.3757716049382713E-2</v>
      </c>
      <c r="GB77" s="139">
        <f t="shared" si="361"/>
        <v>121.52777777777777</v>
      </c>
      <c r="GC77" s="139">
        <f t="shared" si="400"/>
        <v>1050000</v>
      </c>
      <c r="GD77" s="139">
        <f t="shared" si="362"/>
        <v>6.7515432098765427E-2</v>
      </c>
      <c r="GE77" s="139">
        <f t="shared" si="363"/>
        <v>243.05555555555554</v>
      </c>
      <c r="GF77" s="139">
        <f t="shared" si="364"/>
        <v>4.5814043209876545E-2</v>
      </c>
      <c r="GG77" s="139">
        <f t="shared" si="401"/>
        <v>712500</v>
      </c>
      <c r="GH77" s="139">
        <f t="shared" si="365"/>
        <v>164.93055555555554</v>
      </c>
      <c r="GI77" s="137">
        <f t="shared" si="402"/>
        <v>51.066397576986517</v>
      </c>
      <c r="GJ77" s="137">
        <f t="shared" si="321"/>
        <v>0.18383903127715001</v>
      </c>
      <c r="GK77" s="251">
        <f t="shared" si="403"/>
        <v>40.425020671704537</v>
      </c>
      <c r="GL77" s="137">
        <f t="shared" si="329"/>
        <v>0.14553007441813517</v>
      </c>
      <c r="GM77" s="137">
        <f t="shared" ca="1" si="404"/>
        <v>9.3419457998742086</v>
      </c>
      <c r="GN77" s="137">
        <f t="shared" ca="1" si="322"/>
        <v>3.3631004879546886E-2</v>
      </c>
      <c r="GO77" s="137">
        <f t="shared" ca="1" si="366"/>
        <v>0.11825247847941943</v>
      </c>
      <c r="GP77" s="137">
        <f t="shared" ca="1" si="405"/>
        <v>9.9999494311499166</v>
      </c>
      <c r="GQ77" s="137">
        <f t="shared" ca="1" si="323"/>
        <v>3.5999817952139412E-2</v>
      </c>
      <c r="GR77" s="137">
        <f t="shared" ca="1" si="406"/>
        <v>0.12658163836898528</v>
      </c>
      <c r="GS77" s="140">
        <f t="shared" si="407"/>
        <v>8.6520729989865694E-2</v>
      </c>
      <c r="GT77" s="140">
        <f t="shared" si="408"/>
        <v>7.2027628264263399E-2</v>
      </c>
      <c r="GU77" s="140">
        <f t="shared" si="287"/>
        <v>311.47462796351653</v>
      </c>
      <c r="GV77" s="140">
        <f t="shared" si="324"/>
        <v>259.29946175134825</v>
      </c>
      <c r="GW77" s="141">
        <f t="shared" ca="1" si="409"/>
        <v>7.1808803270872103E-3</v>
      </c>
      <c r="GX77" s="141">
        <f t="shared" ca="1" si="410"/>
        <v>5.1983666322857943E-3</v>
      </c>
      <c r="GY77" s="141">
        <f t="shared" ca="1" si="325"/>
        <v>25.851169177513956</v>
      </c>
      <c r="GZ77" s="141">
        <f t="shared" ca="1" si="326"/>
        <v>18.71411987622886</v>
      </c>
      <c r="HA77" s="141">
        <f t="shared" ca="1" si="411"/>
        <v>1.5636439781182787E-2</v>
      </c>
      <c r="HB77" s="141">
        <f t="shared" ca="1" si="412"/>
        <v>1.620464924147608E-2</v>
      </c>
      <c r="HC77" s="141">
        <f t="shared" ca="1" si="327"/>
        <v>56.291183212258034</v>
      </c>
      <c r="HD77" s="141">
        <f t="shared" ca="1" si="328"/>
        <v>58.336737269313886</v>
      </c>
      <c r="HE77" s="137">
        <f t="shared" si="367"/>
        <v>9.2864364053208561</v>
      </c>
      <c r="HF77" s="250">
        <f t="shared" si="368"/>
        <v>9.0653373604444472</v>
      </c>
      <c r="HG77" s="137">
        <v>3.2809717013668269</v>
      </c>
      <c r="HH77" s="251">
        <v>4.4665968205327031</v>
      </c>
      <c r="HI77" s="137">
        <f t="shared" ca="1" si="369"/>
        <v>1.3845566387870707</v>
      </c>
      <c r="HJ77" s="251">
        <f t="shared" ca="1" si="370"/>
        <v>1.5318086026747588</v>
      </c>
      <c r="HK77" s="137">
        <f t="shared" ca="1" si="371"/>
        <v>0.68784444153982682</v>
      </c>
      <c r="HL77" s="251">
        <f t="shared" ca="1" si="372"/>
        <v>0.99003340285991714</v>
      </c>
      <c r="HM77" s="137">
        <f t="shared" ca="1" si="373"/>
        <v>0.77576563920743169</v>
      </c>
      <c r="HN77" s="251">
        <f t="shared" ca="1" si="374"/>
        <v>1.077954600527522</v>
      </c>
      <c r="HO77" s="137">
        <f t="shared" ca="1" si="375"/>
        <v>0.30995812792310695</v>
      </c>
      <c r="HP77" s="251">
        <f t="shared" ca="1" si="376"/>
        <v>0.59748261345160392</v>
      </c>
      <c r="JN77" s="143">
        <f t="shared" si="413"/>
        <v>19.225168768078589</v>
      </c>
      <c r="JO77" s="143">
        <f t="shared" si="347"/>
        <v>3280.9717013668269</v>
      </c>
      <c r="JP77" s="143">
        <f t="shared" si="414"/>
        <v>4065.8490378052156</v>
      </c>
      <c r="JQ77" s="143">
        <f t="shared" si="415"/>
        <v>0.90439405706193721</v>
      </c>
      <c r="JR77" s="143">
        <f t="shared" ca="1" si="348"/>
        <v>1.2566884703680314</v>
      </c>
      <c r="JS77" s="143">
        <f t="shared" si="416"/>
        <v>100.73748535156251</v>
      </c>
      <c r="JT77" s="143">
        <f t="shared" ca="1" si="349"/>
        <v>194.18395776130649</v>
      </c>
      <c r="JU77" s="143">
        <f t="shared" si="423"/>
        <v>0.2913301124551726</v>
      </c>
      <c r="JV77" s="143">
        <f t="shared" si="417"/>
        <v>0.36102239373661577</v>
      </c>
      <c r="JW77" s="143">
        <f t="shared" ca="1" si="418"/>
        <v>0.21570880898091641</v>
      </c>
      <c r="JX77" s="143">
        <f t="shared" ca="1" si="419"/>
        <v>0.29973524382035271</v>
      </c>
      <c r="JY77" s="143">
        <f t="shared" si="420"/>
        <v>0.73837282086717426</v>
      </c>
      <c r="JZ77" s="143">
        <f t="shared" si="421"/>
        <v>0.68757800960218818</v>
      </c>
      <c r="KA77" s="143">
        <f t="shared" si="350"/>
        <v>0.27483972873129486</v>
      </c>
      <c r="KB77" s="143">
        <f t="shared" si="351"/>
        <v>0.34058716390246768</v>
      </c>
      <c r="KC77" s="143">
        <f t="shared" ca="1" si="352"/>
        <v>0.47892101077968463</v>
      </c>
      <c r="KD77" s="143">
        <f t="shared" ca="1" si="353"/>
        <v>0.64631664891499885</v>
      </c>
      <c r="KE77" s="143">
        <f t="shared" ca="1" si="354"/>
        <v>0.55427437589599038</v>
      </c>
      <c r="KF77" s="143">
        <f t="shared" ca="1" si="355"/>
        <v>0.39955124622402532</v>
      </c>
      <c r="KG77" s="142">
        <f t="shared" si="356"/>
        <v>0.14553007441813517</v>
      </c>
      <c r="KH77" s="142">
        <f t="shared" ca="1" si="357"/>
        <v>0.12658163836898528</v>
      </c>
      <c r="KI77" s="142">
        <f t="shared" ca="1" si="358"/>
        <v>393.61698035328851</v>
      </c>
      <c r="KJ77" s="142">
        <f t="shared" ca="1" si="359"/>
        <v>336.35031889689094</v>
      </c>
    </row>
    <row r="78" spans="1:296" x14ac:dyDescent="0.3">
      <c r="A78" s="201">
        <v>41387</v>
      </c>
      <c r="B78" s="196">
        <v>80</v>
      </c>
      <c r="C78" s="179">
        <v>24</v>
      </c>
      <c r="D78" s="179">
        <v>4.2</v>
      </c>
      <c r="E78" s="179">
        <v>50016</v>
      </c>
      <c r="F78" s="179">
        <v>300</v>
      </c>
      <c r="G78" s="179">
        <v>11.7</v>
      </c>
      <c r="H78" s="179">
        <v>0.85</v>
      </c>
      <c r="I78" s="179">
        <v>1.4</v>
      </c>
      <c r="J78" s="179">
        <v>1.33</v>
      </c>
      <c r="K78" s="179">
        <v>0.91</v>
      </c>
      <c r="L78" s="152">
        <v>26529.676332831383</v>
      </c>
      <c r="M78" s="155">
        <v>19</v>
      </c>
      <c r="N78" s="153">
        <v>75903.937778584659</v>
      </c>
      <c r="O78" s="178">
        <v>17</v>
      </c>
      <c r="P78" s="179">
        <v>2</v>
      </c>
      <c r="Q78" s="179">
        <v>5</v>
      </c>
      <c r="R78" s="154">
        <v>358.99444580078125</v>
      </c>
      <c r="S78" s="155">
        <v>63.855715099052759</v>
      </c>
      <c r="T78" s="152">
        <v>180</v>
      </c>
      <c r="U78" s="156">
        <v>2.5594313144683838</v>
      </c>
      <c r="V78" s="178">
        <v>17</v>
      </c>
      <c r="W78" s="179">
        <v>1250</v>
      </c>
      <c r="X78" s="155">
        <v>78383.923180624843</v>
      </c>
      <c r="Y78" s="155">
        <v>11057.225443720818</v>
      </c>
      <c r="Z78" s="155">
        <v>312.978515625</v>
      </c>
      <c r="AA78" s="155">
        <v>9.8653488159179687</v>
      </c>
      <c r="AB78" s="155">
        <v>13.620288848876953</v>
      </c>
      <c r="AC78" s="215">
        <v>37</v>
      </c>
      <c r="AD78" s="215">
        <v>28.381401062011719</v>
      </c>
      <c r="AE78" s="254">
        <v>20</v>
      </c>
      <c r="AF78" s="254">
        <v>10</v>
      </c>
      <c r="AG78" s="217">
        <v>5000000</v>
      </c>
      <c r="AH78" s="218">
        <v>300000</v>
      </c>
      <c r="AI78" s="219">
        <v>5000000</v>
      </c>
      <c r="AJ78" s="225">
        <f t="shared" si="330"/>
        <v>300000</v>
      </c>
      <c r="AK78" s="220">
        <v>2750000</v>
      </c>
      <c r="AL78" s="226">
        <f t="shared" si="331"/>
        <v>300000</v>
      </c>
      <c r="AM78" s="221">
        <v>14.407</v>
      </c>
      <c r="BM78" s="197">
        <f t="shared" si="332"/>
        <v>8.6185989379882812</v>
      </c>
      <c r="BN78" s="196">
        <f t="shared" si="333"/>
        <v>180</v>
      </c>
      <c r="BO78" s="197">
        <f t="shared" si="334"/>
        <v>3.7549400329589844</v>
      </c>
      <c r="BP78" s="196">
        <f t="shared" si="294"/>
        <v>12.684148977485538</v>
      </c>
      <c r="BQ78" s="115">
        <f t="shared" si="335"/>
        <v>659.74492511188635</v>
      </c>
      <c r="BR78" s="184">
        <f t="shared" si="336"/>
        <v>1.0041987768</v>
      </c>
      <c r="BS78" s="115">
        <f t="shared" si="337"/>
        <v>6863.8528613899143</v>
      </c>
      <c r="BT78" s="196">
        <v>900</v>
      </c>
      <c r="BU78" s="115">
        <f t="shared" si="288"/>
        <v>1.1850729520000001</v>
      </c>
      <c r="BV78" s="115">
        <f t="shared" si="269"/>
        <v>1.0726021435183579</v>
      </c>
      <c r="BW78" s="115">
        <f t="shared" si="270"/>
        <v>473.62591886784458</v>
      </c>
      <c r="BX78" s="115">
        <f t="shared" si="377"/>
        <v>1139.383498139327</v>
      </c>
      <c r="BY78" s="115"/>
      <c r="BZ78" s="115">
        <f t="shared" si="378"/>
        <v>665.75757927148243</v>
      </c>
      <c r="CA78" s="115">
        <f t="shared" si="379"/>
        <v>10786.932111950375</v>
      </c>
      <c r="CB78" s="115">
        <f t="shared" si="380"/>
        <v>3162.664074107694</v>
      </c>
      <c r="CC78" s="115">
        <f t="shared" si="381"/>
        <v>1105.403180534641</v>
      </c>
      <c r="CD78" s="129">
        <f t="shared" si="271"/>
        <v>0.2184075416447534</v>
      </c>
      <c r="CE78" s="115">
        <f t="shared" si="382"/>
        <v>18.410500919117649</v>
      </c>
      <c r="CF78" s="115">
        <f t="shared" si="383"/>
        <v>17.737698638625766</v>
      </c>
      <c r="CG78" s="115">
        <f t="shared" si="384"/>
        <v>0.02</v>
      </c>
      <c r="CH78" s="115">
        <f t="shared" si="385"/>
        <v>0.05</v>
      </c>
      <c r="CI78" s="136">
        <v>30</v>
      </c>
      <c r="CJ78" s="115">
        <f t="shared" si="257"/>
        <v>165</v>
      </c>
      <c r="CK78" s="115">
        <f t="shared" si="386"/>
        <v>453</v>
      </c>
      <c r="CL78" s="115">
        <f t="shared" si="387"/>
        <v>631.99444580078125</v>
      </c>
      <c r="CM78" s="115">
        <f t="shared" ca="1" si="388"/>
        <v>2816.5993052117487</v>
      </c>
      <c r="CN78" s="115">
        <f t="shared" ca="1" si="258"/>
        <v>125.80344444444444</v>
      </c>
      <c r="CO78" s="115">
        <f t="shared" ca="1" si="259"/>
        <v>690.58718083896258</v>
      </c>
      <c r="CP78" s="115">
        <f t="shared" ca="1" si="260"/>
        <v>2790.6388281929471</v>
      </c>
      <c r="CQ78" s="115">
        <f t="shared" si="272"/>
        <v>1.072449112508886</v>
      </c>
      <c r="CR78" s="115">
        <f t="shared" ca="1" si="338"/>
        <v>421.61151107558788</v>
      </c>
      <c r="CS78" s="115">
        <f t="shared" ca="1" si="339"/>
        <v>20.873356528318293</v>
      </c>
      <c r="CT78" s="115">
        <f t="shared" si="273"/>
        <v>1.1132857234503581</v>
      </c>
      <c r="CU78" s="115">
        <f t="shared" ca="1" si="274"/>
        <v>1.0122647842573906</v>
      </c>
      <c r="CV78" s="115">
        <f t="shared" si="360"/>
        <v>192.75757927148243</v>
      </c>
      <c r="CW78" s="115">
        <f t="shared" si="261"/>
        <v>473</v>
      </c>
      <c r="CX78" s="115">
        <f t="shared" si="262"/>
        <v>438</v>
      </c>
      <c r="CY78" s="115">
        <f t="shared" ca="1" si="275"/>
        <v>452.12664347168169</v>
      </c>
      <c r="CZ78" s="115">
        <f t="shared" ca="1" si="263"/>
        <v>179.86780232909956</v>
      </c>
      <c r="DA78" s="115">
        <v>0.21890000000000001</v>
      </c>
      <c r="DB78" s="115">
        <v>2.7E-2</v>
      </c>
      <c r="DC78" s="115">
        <v>1.06</v>
      </c>
      <c r="DD78" s="138">
        <f t="shared" si="389"/>
        <v>11.579303899078225</v>
      </c>
      <c r="DE78" s="138">
        <f t="shared" si="276"/>
        <v>11.579303899078225</v>
      </c>
      <c r="DF78" s="115">
        <f t="shared" si="264"/>
        <v>631.99444580078125</v>
      </c>
      <c r="DG78" s="115">
        <v>665.75757927148243</v>
      </c>
      <c r="DH78" s="115">
        <f t="shared" si="277"/>
        <v>1.1132857234503581</v>
      </c>
      <c r="DI78" s="115">
        <f t="shared" si="299"/>
        <v>1.1223120805652871</v>
      </c>
      <c r="DJ78" s="138">
        <f t="shared" si="340"/>
        <v>2.3502862226728864</v>
      </c>
      <c r="DK78" s="138">
        <f t="shared" si="341"/>
        <v>2.762889083885101</v>
      </c>
      <c r="DL78" s="115">
        <f t="shared" si="278"/>
        <v>631.99444580078125</v>
      </c>
      <c r="DM78" s="115">
        <f t="shared" si="293"/>
        <v>665.75757927148243</v>
      </c>
      <c r="DN78" s="115">
        <f t="shared" si="300"/>
        <v>12.799459422735408</v>
      </c>
      <c r="DO78" s="115">
        <f t="shared" si="301"/>
        <v>1.1132857234503581</v>
      </c>
      <c r="DP78" s="115">
        <f t="shared" si="292"/>
        <v>1.1223120805652871</v>
      </c>
      <c r="DQ78" s="115">
        <v>298.14999999999998</v>
      </c>
      <c r="DR78" s="138">
        <f t="shared" si="302"/>
        <v>1.5652906243001425</v>
      </c>
      <c r="DS78" s="138">
        <f t="shared" si="303"/>
        <v>1.8400841298674775</v>
      </c>
      <c r="DT78" s="115">
        <f t="shared" si="289"/>
        <v>631.99444580078125</v>
      </c>
      <c r="DU78" s="139">
        <f t="shared" si="422"/>
        <v>6.4189481189093467</v>
      </c>
      <c r="DV78" s="115">
        <f t="shared" si="279"/>
        <v>1.1132857234503581</v>
      </c>
      <c r="DW78" s="115">
        <v>298.14999999999998</v>
      </c>
      <c r="DX78" s="138">
        <f t="shared" si="342"/>
        <v>0.78499559837274391</v>
      </c>
      <c r="DY78" s="138">
        <f t="shared" si="343"/>
        <v>0.92280495401762364</v>
      </c>
      <c r="DZ78" s="138">
        <f t="shared" si="290"/>
        <v>3.1626640741076941</v>
      </c>
      <c r="EA78" s="138">
        <f t="shared" si="280"/>
        <v>3.9230792505604604</v>
      </c>
      <c r="EB78" s="115">
        <f t="shared" si="291"/>
        <v>17.737698638625766</v>
      </c>
      <c r="EC78" s="115">
        <v>30</v>
      </c>
      <c r="ED78" s="198">
        <f t="shared" ca="1" si="265"/>
        <v>125.80344444444444</v>
      </c>
      <c r="EE78" s="198">
        <v>104.83</v>
      </c>
      <c r="EF78" s="198">
        <f t="shared" ca="1" si="295"/>
        <v>0.42491111111111107</v>
      </c>
      <c r="EG78" s="199">
        <v>0.36720000000000003</v>
      </c>
      <c r="EH78" s="138">
        <f t="shared" ca="1" si="304"/>
        <v>6.6815723122204768E-2</v>
      </c>
      <c r="EI78" s="138">
        <f t="shared" ca="1" si="281"/>
        <v>6.6815723122204768E-2</v>
      </c>
      <c r="EJ78" s="115">
        <f t="shared" si="296"/>
        <v>12.799459422735408</v>
      </c>
      <c r="EK78" s="115">
        <v>435</v>
      </c>
      <c r="EL78" s="115">
        <f t="shared" ca="1" si="297"/>
        <v>452.12664347168169</v>
      </c>
      <c r="EM78" s="115">
        <f t="shared" ca="1" si="305"/>
        <v>1.0620704675328649</v>
      </c>
      <c r="EN78" s="115">
        <f t="shared" ca="1" si="306"/>
        <v>1.0673906690007939</v>
      </c>
      <c r="EO78" s="115">
        <v>298.14999999999998</v>
      </c>
      <c r="EP78" s="138">
        <f t="shared" ca="1" si="307"/>
        <v>0.32929987352383738</v>
      </c>
      <c r="EQ78" s="138">
        <f t="shared" ca="1" si="308"/>
        <v>0.40763703395593825</v>
      </c>
      <c r="ER78" s="115">
        <f t="shared" si="282"/>
        <v>0.71095314290788447</v>
      </c>
      <c r="ES78" s="115">
        <f t="shared" si="298"/>
        <v>453</v>
      </c>
      <c r="ET78" s="115">
        <f t="shared" ca="1" si="390"/>
        <v>2816.5993052117487</v>
      </c>
      <c r="EU78" s="115">
        <f t="shared" ca="1" si="391"/>
        <v>6.5855309782608691</v>
      </c>
      <c r="EV78" s="138">
        <f t="shared" ca="1" si="309"/>
        <v>0.60983706720299247</v>
      </c>
      <c r="EW78" s="138">
        <f t="shared" ca="1" si="344"/>
        <v>1.025595059165932</v>
      </c>
      <c r="EX78" s="115">
        <v>21.47</v>
      </c>
      <c r="EY78" s="115">
        <f t="shared" ca="1" si="392"/>
        <v>118.86376137797038</v>
      </c>
      <c r="EZ78" s="115">
        <f t="shared" ca="1" si="393"/>
        <v>0.4023406481424967</v>
      </c>
      <c r="FA78" s="138">
        <f t="shared" ca="1" si="310"/>
        <v>7.6359711073098829E-2</v>
      </c>
      <c r="FB78" s="138">
        <f t="shared" ca="1" si="283"/>
        <v>7.6359711073098829E-2</v>
      </c>
      <c r="FC78" s="115">
        <f t="shared" si="266"/>
        <v>21.47</v>
      </c>
      <c r="FD78" s="115">
        <v>37</v>
      </c>
      <c r="FE78" s="115">
        <f t="shared" ca="1" si="267"/>
        <v>154.93355555555553</v>
      </c>
      <c r="FF78" s="115">
        <f t="shared" ca="1" si="268"/>
        <v>0.52252222222222222</v>
      </c>
      <c r="FG78" s="138">
        <f t="shared" ca="1" si="311"/>
        <v>8.1462225449999703E-2</v>
      </c>
      <c r="FH78" s="138">
        <f t="shared" ca="1" si="312"/>
        <v>8.1462225449999703E-2</v>
      </c>
      <c r="FI78" s="115">
        <f t="shared" si="284"/>
        <v>87.633984375000011</v>
      </c>
      <c r="FJ78" s="115">
        <f t="shared" ca="1" si="394"/>
        <v>41.372025388929586</v>
      </c>
      <c r="FK78" s="115">
        <f t="shared" ca="1" si="395"/>
        <v>0.14414458626641169</v>
      </c>
      <c r="FL78" s="138">
        <f t="shared" ca="1" si="313"/>
        <v>0.26693285294334723</v>
      </c>
      <c r="FM78" s="138">
        <f t="shared" ca="1" si="345"/>
        <v>0.50264610412135913</v>
      </c>
      <c r="FN78" s="115">
        <f t="shared" si="285"/>
        <v>87.633984375000011</v>
      </c>
      <c r="FO78" s="115">
        <f t="shared" ca="1" si="396"/>
        <v>57.086866642422152</v>
      </c>
      <c r="FP78" s="115">
        <f t="shared" ca="1" si="397"/>
        <v>0.19650513894822863</v>
      </c>
      <c r="FQ78" s="138">
        <f t="shared" ca="1" si="314"/>
        <v>0.27600669226493868</v>
      </c>
      <c r="FR78" s="138">
        <f t="shared" ca="1" si="346"/>
        <v>0.51973253591171331</v>
      </c>
      <c r="FS78" s="139">
        <f t="shared" si="315"/>
        <v>6.0663536022976441</v>
      </c>
      <c r="FT78" s="249">
        <f t="shared" si="316"/>
        <v>4.8933355646326628</v>
      </c>
      <c r="FU78" s="139">
        <f t="shared" ca="1" si="317"/>
        <v>0.69296940669551754</v>
      </c>
      <c r="FV78" s="249">
        <f t="shared" ca="1" si="318"/>
        <v>0.47366775986781207</v>
      </c>
      <c r="FW78" s="139">
        <f t="shared" ca="1" si="286"/>
        <v>0.61380839214768301</v>
      </c>
      <c r="FX78" s="249">
        <f t="shared" ca="1" si="319"/>
        <v>1.0375789765793852</v>
      </c>
      <c r="FY78" s="249">
        <f t="shared" si="398"/>
        <v>0.15000000000000002</v>
      </c>
      <c r="FZ78" s="139">
        <f t="shared" si="399"/>
        <v>1050000</v>
      </c>
      <c r="GA78" s="139">
        <f t="shared" si="320"/>
        <v>3.3757716049382713E-2</v>
      </c>
      <c r="GB78" s="139">
        <f t="shared" si="361"/>
        <v>121.52777777777777</v>
      </c>
      <c r="GC78" s="139">
        <f t="shared" si="400"/>
        <v>1050000</v>
      </c>
      <c r="GD78" s="139">
        <f t="shared" si="362"/>
        <v>6.7515432098765427E-2</v>
      </c>
      <c r="GE78" s="139">
        <f t="shared" si="363"/>
        <v>243.05555555555554</v>
      </c>
      <c r="GF78" s="139">
        <f t="shared" si="364"/>
        <v>4.5814043209876545E-2</v>
      </c>
      <c r="GG78" s="139">
        <f t="shared" si="401"/>
        <v>712500</v>
      </c>
      <c r="GH78" s="139">
        <f t="shared" si="365"/>
        <v>164.93055555555554</v>
      </c>
      <c r="GI78" s="137">
        <f t="shared" si="402"/>
        <v>52.715106570523901</v>
      </c>
      <c r="GJ78" s="137">
        <f t="shared" si="321"/>
        <v>0.18977438365388452</v>
      </c>
      <c r="GK78" s="251">
        <f t="shared" si="403"/>
        <v>40.98204344684121</v>
      </c>
      <c r="GL78" s="137">
        <f t="shared" si="329"/>
        <v>0.14753535640862719</v>
      </c>
      <c r="GM78" s="137">
        <f t="shared" ca="1" si="404"/>
        <v>8.8765427368144252</v>
      </c>
      <c r="GN78" s="137">
        <f t="shared" ca="1" si="322"/>
        <v>3.1955553852531675E-2</v>
      </c>
      <c r="GO78" s="137">
        <f t="shared" ca="1" si="366"/>
        <v>0.11236130046600448</v>
      </c>
      <c r="GP78" s="137">
        <f t="shared" ca="1" si="405"/>
        <v>9.6318640112160292</v>
      </c>
      <c r="GQ78" s="137">
        <f t="shared" ca="1" si="323"/>
        <v>3.4674710440377426E-2</v>
      </c>
      <c r="GR78" s="137">
        <f t="shared" ca="1" si="406"/>
        <v>0.12192232925589813</v>
      </c>
      <c r="GS78" s="140">
        <f t="shared" si="407"/>
        <v>8.7397956348302164E-2</v>
      </c>
      <c r="GT78" s="140">
        <f t="shared" si="408"/>
        <v>7.0498285479662776E-2</v>
      </c>
      <c r="GU78" s="140">
        <f t="shared" si="287"/>
        <v>314.63264285388777</v>
      </c>
      <c r="GV78" s="140">
        <f t="shared" si="324"/>
        <v>253.79382772678599</v>
      </c>
      <c r="GW78" s="141">
        <f t="shared" ca="1" si="409"/>
        <v>6.6490844213467045E-3</v>
      </c>
      <c r="GX78" s="141">
        <f t="shared" ca="1" si="410"/>
        <v>4.5448715233327676E-3</v>
      </c>
      <c r="GY78" s="141">
        <f t="shared" ca="1" si="325"/>
        <v>23.936703916848135</v>
      </c>
      <c r="GZ78" s="141">
        <f t="shared" ca="1" si="326"/>
        <v>16.361537483997964</v>
      </c>
      <c r="HA78" s="141">
        <f t="shared" ca="1" si="411"/>
        <v>1.3405373776079896E-2</v>
      </c>
      <c r="HB78" s="141">
        <f t="shared" ca="1" si="412"/>
        <v>1.4874037590493354E-2</v>
      </c>
      <c r="HC78" s="141">
        <f t="shared" ca="1" si="327"/>
        <v>48.25934559388763</v>
      </c>
      <c r="HD78" s="141">
        <f t="shared" ca="1" si="328"/>
        <v>53.54653532577607</v>
      </c>
      <c r="HE78" s="137">
        <f t="shared" si="367"/>
        <v>9.2290176764053378</v>
      </c>
      <c r="HF78" s="250">
        <f t="shared" si="368"/>
        <v>8.8164148151931236</v>
      </c>
      <c r="HG78" s="137">
        <v>3.1626640741076941</v>
      </c>
      <c r="HH78" s="251">
        <v>4.6920418730152411</v>
      </c>
      <c r="HI78" s="137">
        <f t="shared" ca="1" si="369"/>
        <v>1.1576535903442042</v>
      </c>
      <c r="HJ78" s="251">
        <f t="shared" ca="1" si="370"/>
        <v>1.4324470959115392</v>
      </c>
      <c r="HK78" s="137">
        <f t="shared" ca="1" si="371"/>
        <v>0.54302134408078773</v>
      </c>
      <c r="HL78" s="251">
        <f t="shared" ca="1" si="372"/>
        <v>0.95877933604372723</v>
      </c>
      <c r="HM78" s="137">
        <f t="shared" ca="1" si="373"/>
        <v>0.60983706720299247</v>
      </c>
      <c r="HN78" s="251">
        <f t="shared" ca="1" si="374"/>
        <v>1.025595059165932</v>
      </c>
      <c r="HO78" s="137">
        <f t="shared" ca="1" si="375"/>
        <v>0.26693285294334723</v>
      </c>
      <c r="HP78" s="251">
        <f t="shared" ca="1" si="376"/>
        <v>0.50264610412135913</v>
      </c>
      <c r="JN78" s="143">
        <f t="shared" si="413"/>
        <v>19.218407541644755</v>
      </c>
      <c r="JO78" s="143">
        <f t="shared" si="347"/>
        <v>3162.664074107694</v>
      </c>
      <c r="JP78" s="143">
        <f t="shared" si="414"/>
        <v>3923.0792505604604</v>
      </c>
      <c r="JQ78" s="143">
        <f t="shared" si="415"/>
        <v>0.71095314290788447</v>
      </c>
      <c r="JR78" s="143">
        <f t="shared" ca="1" si="348"/>
        <v>1.1956472800334219</v>
      </c>
      <c r="JS78" s="143">
        <f t="shared" si="416"/>
        <v>87.633984375000011</v>
      </c>
      <c r="JT78" s="143">
        <f t="shared" ca="1" si="349"/>
        <v>165.01858182317699</v>
      </c>
      <c r="JU78" s="143">
        <f t="shared" si="423"/>
        <v>0.28951860558915177</v>
      </c>
      <c r="JV78" s="143">
        <f t="shared" si="417"/>
        <v>0.35912901516688961</v>
      </c>
      <c r="JW78" s="143">
        <f t="shared" ca="1" si="418"/>
        <v>0.1748124677151775</v>
      </c>
      <c r="JX78" s="143">
        <f t="shared" ca="1" si="419"/>
        <v>0.29399131802792178</v>
      </c>
      <c r="JY78" s="143">
        <f t="shared" si="420"/>
        <v>0.73509622622435322</v>
      </c>
      <c r="JZ78" s="143">
        <f t="shared" si="421"/>
        <v>0.73507403047586273</v>
      </c>
      <c r="KA78" s="143">
        <f t="shared" si="350"/>
        <v>0.27313075998976583</v>
      </c>
      <c r="KB78" s="143">
        <f t="shared" si="351"/>
        <v>0.33880095770461288</v>
      </c>
      <c r="KC78" s="143">
        <f t="shared" ca="1" si="352"/>
        <v>0.43934094469535878</v>
      </c>
      <c r="KD78" s="143">
        <f t="shared" ca="1" si="353"/>
        <v>0.66932966584263764</v>
      </c>
      <c r="KE78" s="143">
        <f t="shared" ca="1" si="354"/>
        <v>0.49010191656942798</v>
      </c>
      <c r="KF78" s="143">
        <f t="shared" ca="1" si="355"/>
        <v>0.43771175498995218</v>
      </c>
      <c r="KG78" s="142">
        <f t="shared" si="356"/>
        <v>0.14753535640862719</v>
      </c>
      <c r="KH78" s="142">
        <f t="shared" ca="1" si="357"/>
        <v>0.12192232925589813</v>
      </c>
      <c r="KI78" s="142">
        <f t="shared" ca="1" si="358"/>
        <v>386.82869236462358</v>
      </c>
      <c r="KJ78" s="142">
        <f t="shared" ca="1" si="359"/>
        <v>323.70190053656</v>
      </c>
    </row>
    <row r="79" spans="1:296" x14ac:dyDescent="0.3">
      <c r="A79" s="201">
        <v>41388</v>
      </c>
      <c r="B79" s="196">
        <v>81</v>
      </c>
      <c r="C79" s="179">
        <v>24</v>
      </c>
      <c r="D79" s="179">
        <v>4.2</v>
      </c>
      <c r="E79" s="179">
        <v>50016</v>
      </c>
      <c r="F79" s="179">
        <v>300</v>
      </c>
      <c r="G79" s="179">
        <v>11.7</v>
      </c>
      <c r="H79" s="179">
        <v>0.85</v>
      </c>
      <c r="I79" s="179">
        <v>1.4</v>
      </c>
      <c r="J79" s="179">
        <v>1.33</v>
      </c>
      <c r="K79" s="179">
        <v>0.91</v>
      </c>
      <c r="L79" s="152">
        <v>20081.195161670446</v>
      </c>
      <c r="M79" s="155">
        <v>19</v>
      </c>
      <c r="N79" s="153">
        <v>56428.616943746805</v>
      </c>
      <c r="O79" s="178">
        <v>17</v>
      </c>
      <c r="P79" s="179">
        <v>2</v>
      </c>
      <c r="Q79" s="179">
        <v>5</v>
      </c>
      <c r="R79" s="154">
        <v>359.60842895507812</v>
      </c>
      <c r="S79" s="155">
        <v>82.194352750870166</v>
      </c>
      <c r="T79" s="152">
        <v>180</v>
      </c>
      <c r="U79" s="156">
        <v>3.2351348400115967</v>
      </c>
      <c r="V79" s="178">
        <v>17</v>
      </c>
      <c r="W79" s="179">
        <v>1250</v>
      </c>
      <c r="X79" s="155">
        <v>81053.097526594996</v>
      </c>
      <c r="Y79" s="155">
        <v>11353.002323810011</v>
      </c>
      <c r="Z79" s="155">
        <v>327.5469970703125</v>
      </c>
      <c r="AA79" s="155">
        <v>10.301966667175293</v>
      </c>
      <c r="AB79" s="155">
        <v>13.657825469970703</v>
      </c>
      <c r="AC79" s="215">
        <v>37</v>
      </c>
      <c r="AD79" s="215">
        <v>28.616512298583984</v>
      </c>
      <c r="AE79" s="254">
        <v>20</v>
      </c>
      <c r="AF79" s="254">
        <v>10</v>
      </c>
      <c r="AG79" s="217">
        <v>5000000</v>
      </c>
      <c r="AH79" s="218">
        <v>300000</v>
      </c>
      <c r="AI79" s="219">
        <v>5000000</v>
      </c>
      <c r="AJ79" s="225">
        <f t="shared" si="330"/>
        <v>300000</v>
      </c>
      <c r="AK79" s="220">
        <v>2750000</v>
      </c>
      <c r="AL79" s="226">
        <f t="shared" si="331"/>
        <v>300000</v>
      </c>
      <c r="AM79" s="221">
        <v>14.407</v>
      </c>
      <c r="BM79" s="197">
        <f t="shared" si="332"/>
        <v>8.3834877014160156</v>
      </c>
      <c r="BN79" s="196">
        <f t="shared" si="333"/>
        <v>180</v>
      </c>
      <c r="BO79" s="197">
        <f t="shared" si="334"/>
        <v>3.3558588027954102</v>
      </c>
      <c r="BP79" s="196">
        <f t="shared" si="294"/>
        <v>12.649111159628438</v>
      </c>
      <c r="BQ79" s="115">
        <f t="shared" si="335"/>
        <v>659.74492511188635</v>
      </c>
      <c r="BR79" s="184">
        <f t="shared" si="336"/>
        <v>1.0041987768</v>
      </c>
      <c r="BS79" s="115">
        <f t="shared" si="337"/>
        <v>6863.8528613899143</v>
      </c>
      <c r="BT79" s="196">
        <v>900</v>
      </c>
      <c r="BU79" s="115">
        <f t="shared" si="288"/>
        <v>1.1850729520000001</v>
      </c>
      <c r="BV79" s="115">
        <f t="shared" si="269"/>
        <v>1.0610910417423092</v>
      </c>
      <c r="BW79" s="115">
        <f t="shared" si="270"/>
        <v>425.58153262127837</v>
      </c>
      <c r="BX79" s="115">
        <f t="shared" si="377"/>
        <v>1023.8049820850911</v>
      </c>
      <c r="BY79" s="115"/>
      <c r="BZ79" s="115">
        <f t="shared" si="378"/>
        <v>598.2234494638127</v>
      </c>
      <c r="CA79" s="115">
        <f t="shared" si="379"/>
        <v>9665.9364119501133</v>
      </c>
      <c r="CB79" s="115">
        <f t="shared" si="380"/>
        <v>2351.1923726561167</v>
      </c>
      <c r="CC79" s="115">
        <f t="shared" si="381"/>
        <v>836.7164650696019</v>
      </c>
      <c r="CD79" s="129">
        <f t="shared" si="271"/>
        <v>0.16531993883096402</v>
      </c>
      <c r="CE79" s="115">
        <f t="shared" si="382"/>
        <v>19.267470415900736</v>
      </c>
      <c r="CF79" s="115">
        <f t="shared" si="383"/>
        <v>22.831764653019491</v>
      </c>
      <c r="CG79" s="115">
        <f t="shared" si="384"/>
        <v>0.02</v>
      </c>
      <c r="CH79" s="115">
        <f t="shared" si="385"/>
        <v>0.05</v>
      </c>
      <c r="CI79" s="136">
        <v>30</v>
      </c>
      <c r="CJ79" s="115">
        <f t="shared" si="257"/>
        <v>165</v>
      </c>
      <c r="CK79" s="115">
        <f t="shared" si="386"/>
        <v>453</v>
      </c>
      <c r="CL79" s="115">
        <f t="shared" si="387"/>
        <v>632.60842895507812</v>
      </c>
      <c r="CM79" s="115">
        <f t="shared" ca="1" si="388"/>
        <v>2816.5993052117487</v>
      </c>
      <c r="CN79" s="115">
        <f t="shared" ca="1" si="258"/>
        <v>125.80344444444444</v>
      </c>
      <c r="CO79" s="115">
        <f t="shared" ca="1" si="259"/>
        <v>690.58718083896258</v>
      </c>
      <c r="CP79" s="115">
        <f t="shared" ca="1" si="260"/>
        <v>2790.6388281929471</v>
      </c>
      <c r="CQ79" s="115">
        <f t="shared" si="272"/>
        <v>1.072449112508886</v>
      </c>
      <c r="CR79" s="115">
        <f t="shared" ca="1" si="338"/>
        <v>532.91919994886757</v>
      </c>
      <c r="CS79" s="115">
        <f t="shared" ca="1" si="339"/>
        <v>26.457117358727054</v>
      </c>
      <c r="CT79" s="115">
        <f t="shared" si="273"/>
        <v>1.1134491569193685</v>
      </c>
      <c r="CU79" s="115">
        <f t="shared" ca="1" si="274"/>
        <v>1.0132374971317599</v>
      </c>
      <c r="CV79" s="115">
        <f t="shared" si="360"/>
        <v>125.2234494638127</v>
      </c>
      <c r="CW79" s="115">
        <f t="shared" si="261"/>
        <v>473</v>
      </c>
      <c r="CX79" s="115">
        <f t="shared" si="262"/>
        <v>438</v>
      </c>
      <c r="CY79" s="115">
        <f t="shared" ca="1" si="275"/>
        <v>446.54288264127297</v>
      </c>
      <c r="CZ79" s="115">
        <f t="shared" ca="1" si="263"/>
        <v>186.06554631380516</v>
      </c>
      <c r="DA79" s="115">
        <v>0.21890000000000001</v>
      </c>
      <c r="DB79" s="115">
        <v>2.7E-2</v>
      </c>
      <c r="DC79" s="115">
        <v>1.06</v>
      </c>
      <c r="DD79" s="138">
        <f t="shared" si="389"/>
        <v>8.7647605842036658</v>
      </c>
      <c r="DE79" s="138">
        <f t="shared" si="276"/>
        <v>8.7647605842036658</v>
      </c>
      <c r="DF79" s="115">
        <f t="shared" si="264"/>
        <v>632.60842895507812</v>
      </c>
      <c r="DG79" s="115">
        <v>598.2234494638127</v>
      </c>
      <c r="DH79" s="115">
        <f t="shared" si="277"/>
        <v>1.1134491569193685</v>
      </c>
      <c r="DI79" s="115">
        <f t="shared" si="299"/>
        <v>1.1043465374208452</v>
      </c>
      <c r="DJ79" s="138">
        <f t="shared" si="340"/>
        <v>2.3510621093608406</v>
      </c>
      <c r="DK79" s="138">
        <f t="shared" si="341"/>
        <v>1.9567490439440214</v>
      </c>
      <c r="DL79" s="115">
        <f t="shared" si="278"/>
        <v>632.60842895507812</v>
      </c>
      <c r="DM79" s="115">
        <f t="shared" si="293"/>
        <v>598.2234494638127</v>
      </c>
      <c r="DN79" s="115">
        <f t="shared" si="300"/>
        <v>12.764103079261423</v>
      </c>
      <c r="DO79" s="115">
        <f t="shared" si="301"/>
        <v>1.1134491569193685</v>
      </c>
      <c r="DP79" s="115">
        <f t="shared" si="292"/>
        <v>1.1043465374208452</v>
      </c>
      <c r="DQ79" s="115">
        <v>298.14999999999998</v>
      </c>
      <c r="DR79" s="138">
        <f t="shared" si="302"/>
        <v>1.5658073648343203</v>
      </c>
      <c r="DS79" s="138">
        <f t="shared" si="303"/>
        <v>1.3031948632667183</v>
      </c>
      <c r="DT79" s="115">
        <f t="shared" si="289"/>
        <v>632.60842895507812</v>
      </c>
      <c r="DU79" s="139">
        <f t="shared" si="422"/>
        <v>6.4012168595695425</v>
      </c>
      <c r="DV79" s="115">
        <f t="shared" si="279"/>
        <v>1.1134491569193685</v>
      </c>
      <c r="DW79" s="115">
        <v>298.14999999999998</v>
      </c>
      <c r="DX79" s="138">
        <f t="shared" si="342"/>
        <v>0.78525474452652089</v>
      </c>
      <c r="DY79" s="138">
        <f t="shared" si="343"/>
        <v>0.6535541806773032</v>
      </c>
      <c r="DZ79" s="138">
        <f t="shared" si="290"/>
        <v>2.3511923726561168</v>
      </c>
      <c r="EA79" s="138">
        <f t="shared" si="280"/>
        <v>2.8020835505601989</v>
      </c>
      <c r="EB79" s="115">
        <f t="shared" si="291"/>
        <v>22.831764653019491</v>
      </c>
      <c r="EC79" s="115">
        <v>30</v>
      </c>
      <c r="ED79" s="198">
        <f t="shared" ca="1" si="265"/>
        <v>125.80344444444444</v>
      </c>
      <c r="EE79" s="198">
        <v>104.83</v>
      </c>
      <c r="EF79" s="198">
        <f t="shared" ca="1" si="295"/>
        <v>0.42491111111111107</v>
      </c>
      <c r="EG79" s="199">
        <v>0.36720000000000003</v>
      </c>
      <c r="EH79" s="138">
        <f t="shared" ca="1" si="304"/>
        <v>8.6004441530284262E-2</v>
      </c>
      <c r="EI79" s="138">
        <f t="shared" ca="1" si="281"/>
        <v>8.6004441530284262E-2</v>
      </c>
      <c r="EJ79" s="115">
        <f t="shared" si="296"/>
        <v>12.764103079261423</v>
      </c>
      <c r="EK79" s="115">
        <v>435</v>
      </c>
      <c r="EL79" s="115">
        <f t="shared" ca="1" si="297"/>
        <v>446.54288264127297</v>
      </c>
      <c r="EM79" s="115">
        <f t="shared" ca="1" si="305"/>
        <v>1.0624845855299749</v>
      </c>
      <c r="EN79" s="115">
        <f t="shared" ca="1" si="306"/>
        <v>1.0660527683757841</v>
      </c>
      <c r="EO79" s="115">
        <v>298.14999999999998</v>
      </c>
      <c r="EP79" s="138">
        <f t="shared" ca="1" si="307"/>
        <v>0.32851828280103612</v>
      </c>
      <c r="EQ79" s="138">
        <f t="shared" ca="1" si="308"/>
        <v>0.38043782600041604</v>
      </c>
      <c r="ER79" s="115">
        <f t="shared" si="282"/>
        <v>0.89864856666988802</v>
      </c>
      <c r="ES79" s="115">
        <f t="shared" si="298"/>
        <v>453</v>
      </c>
      <c r="ET79" s="115">
        <f t="shared" ca="1" si="390"/>
        <v>2816.5993052117487</v>
      </c>
      <c r="EU79" s="115">
        <f t="shared" ca="1" si="391"/>
        <v>6.5855309782608691</v>
      </c>
      <c r="EV79" s="138">
        <f t="shared" ca="1" si="309"/>
        <v>0.77083730736829081</v>
      </c>
      <c r="EW79" s="138">
        <f t="shared" ca="1" si="344"/>
        <v>0.66452686825834961</v>
      </c>
      <c r="EX79" s="115">
        <v>21.47</v>
      </c>
      <c r="EY79" s="115">
        <f t="shared" ca="1" si="392"/>
        <v>119.84772802649604</v>
      </c>
      <c r="EZ79" s="115">
        <f t="shared" ca="1" si="393"/>
        <v>0.40561914371914332</v>
      </c>
      <c r="FA79" s="138">
        <f t="shared" ca="1" si="310"/>
        <v>7.6498905212820684E-2</v>
      </c>
      <c r="FB79" s="138">
        <f t="shared" ca="1" si="283"/>
        <v>7.6498905212820684E-2</v>
      </c>
      <c r="FC79" s="115">
        <f t="shared" si="266"/>
        <v>21.47</v>
      </c>
      <c r="FD79" s="115">
        <v>37</v>
      </c>
      <c r="FE79" s="115">
        <f t="shared" ca="1" si="267"/>
        <v>154.93355555555553</v>
      </c>
      <c r="FF79" s="115">
        <f t="shared" ca="1" si="268"/>
        <v>0.52252222222222222</v>
      </c>
      <c r="FG79" s="138">
        <f t="shared" ca="1" si="311"/>
        <v>8.1462225449999703E-2</v>
      </c>
      <c r="FH79" s="138">
        <f t="shared" ca="1" si="312"/>
        <v>8.1462225449999703E-2</v>
      </c>
      <c r="FI79" s="115">
        <f t="shared" si="284"/>
        <v>91.713159179687509</v>
      </c>
      <c r="FJ79" s="115">
        <f t="shared" ca="1" si="394"/>
        <v>43.199319609536076</v>
      </c>
      <c r="FK79" s="115">
        <f t="shared" ca="1" si="395"/>
        <v>0.15023297963672214</v>
      </c>
      <c r="FL79" s="138">
        <f t="shared" ca="1" si="313"/>
        <v>0.28046220947353667</v>
      </c>
      <c r="FM79" s="138">
        <f t="shared" ca="1" si="345"/>
        <v>0.31109325670554938</v>
      </c>
      <c r="FN79" s="115">
        <f t="shared" si="285"/>
        <v>91.713159179687509</v>
      </c>
      <c r="FO79" s="115">
        <f t="shared" ca="1" si="396"/>
        <v>57.243961572435175</v>
      </c>
      <c r="FP79" s="115">
        <f t="shared" ca="1" si="397"/>
        <v>0.19702856627570259</v>
      </c>
      <c r="FQ79" s="138">
        <f t="shared" ca="1" si="314"/>
        <v>0.28894914405002531</v>
      </c>
      <c r="FR79" s="138">
        <f t="shared" ca="1" si="346"/>
        <v>0.32050710294816026</v>
      </c>
      <c r="FS79" s="139">
        <f t="shared" si="315"/>
        <v>4.0625061021867079</v>
      </c>
      <c r="FT79" s="249">
        <f t="shared" si="316"/>
        <v>4.0059279896994457</v>
      </c>
      <c r="FU79" s="139">
        <f t="shared" ca="1" si="317"/>
        <v>0.55245621619527774</v>
      </c>
      <c r="FV79" s="249">
        <f t="shared" ca="1" si="318"/>
        <v>0.34423461053823701</v>
      </c>
      <c r="FW79" s="139">
        <f t="shared" ca="1" si="286"/>
        <v>0.7743609217076004</v>
      </c>
      <c r="FX79" s="249">
        <f t="shared" ca="1" si="319"/>
        <v>0.66897739426378156</v>
      </c>
      <c r="FY79" s="249">
        <f t="shared" si="398"/>
        <v>0.15000000000000002</v>
      </c>
      <c r="FZ79" s="139">
        <f t="shared" si="399"/>
        <v>1050000</v>
      </c>
      <c r="GA79" s="139">
        <f t="shared" si="320"/>
        <v>3.3757716049382713E-2</v>
      </c>
      <c r="GB79" s="139">
        <f t="shared" si="361"/>
        <v>121.52777777777777</v>
      </c>
      <c r="GC79" s="139">
        <f t="shared" si="400"/>
        <v>1050000</v>
      </c>
      <c r="GD79" s="139">
        <f t="shared" si="362"/>
        <v>6.7515432098765427E-2</v>
      </c>
      <c r="GE79" s="139">
        <f t="shared" si="363"/>
        <v>243.05555555555554</v>
      </c>
      <c r="GF79" s="139">
        <f t="shared" si="364"/>
        <v>4.5814043209876545E-2</v>
      </c>
      <c r="GG79" s="139">
        <f t="shared" si="401"/>
        <v>712500</v>
      </c>
      <c r="GH79" s="139">
        <f t="shared" si="365"/>
        <v>164.93055555555554</v>
      </c>
      <c r="GI79" s="137">
        <f t="shared" si="402"/>
        <v>53.657825469177517</v>
      </c>
      <c r="GJ79" s="137">
        <f t="shared" si="321"/>
        <v>0.19316817168903752</v>
      </c>
      <c r="GK79" s="251">
        <f t="shared" si="403"/>
        <v>47.050966158216632</v>
      </c>
      <c r="GL79" s="137">
        <f t="shared" si="329"/>
        <v>0.16938347816957852</v>
      </c>
      <c r="GM79" s="137">
        <f t="shared" ca="1" si="404"/>
        <v>7.290879591488979</v>
      </c>
      <c r="GN79" s="137">
        <f t="shared" ca="1" si="322"/>
        <v>2.6247166529360117E-2</v>
      </c>
      <c r="GO79" s="137">
        <f t="shared" ca="1" si="366"/>
        <v>9.2289615082138246E-2</v>
      </c>
      <c r="GP79" s="137">
        <f t="shared" ca="1" si="405"/>
        <v>7.3554022237083254</v>
      </c>
      <c r="GQ79" s="137">
        <f t="shared" ca="1" si="323"/>
        <v>2.6479448005349761E-2</v>
      </c>
      <c r="GR79" s="137">
        <f t="shared" ca="1" si="406"/>
        <v>9.3106357262129971E-2</v>
      </c>
      <c r="GS79" s="140">
        <f t="shared" si="407"/>
        <v>5.8528525414203905E-2</v>
      </c>
      <c r="GT79" s="140">
        <f t="shared" si="408"/>
        <v>5.771340454759992E-2</v>
      </c>
      <c r="GU79" s="140">
        <f t="shared" si="287"/>
        <v>210.70269149113406</v>
      </c>
      <c r="GV79" s="140">
        <f t="shared" si="324"/>
        <v>207.76825637135971</v>
      </c>
      <c r="GW79" s="141">
        <f t="shared" ca="1" si="409"/>
        <v>5.3008516466790927E-3</v>
      </c>
      <c r="GX79" s="141">
        <f t="shared" ca="1" si="410"/>
        <v>3.3029524306602371E-3</v>
      </c>
      <c r="GY79" s="141">
        <f t="shared" ca="1" si="325"/>
        <v>19.083065928044732</v>
      </c>
      <c r="GZ79" s="141">
        <f t="shared" ca="1" si="326"/>
        <v>11.890628750376854</v>
      </c>
      <c r="HA79" s="141">
        <f t="shared" ca="1" si="411"/>
        <v>1.3423871916725102E-2</v>
      </c>
      <c r="HB79" s="141">
        <f t="shared" ca="1" si="412"/>
        <v>1.0238265666360727E-2</v>
      </c>
      <c r="HC79" s="141">
        <f t="shared" ca="1" si="327"/>
        <v>48.325938900210367</v>
      </c>
      <c r="HD79" s="141">
        <f t="shared" ca="1" si="328"/>
        <v>36.857756398898616</v>
      </c>
      <c r="HE79" s="137">
        <f t="shared" si="367"/>
        <v>6.4136984748428247</v>
      </c>
      <c r="HF79" s="250">
        <f t="shared" si="368"/>
        <v>6.8080115402596446</v>
      </c>
      <c r="HG79" s="137">
        <v>2.3511923726561168</v>
      </c>
      <c r="HH79" s="251">
        <v>2.0211215026027567</v>
      </c>
      <c r="HI79" s="137">
        <f t="shared" ca="1" si="369"/>
        <v>1.1853695388339043</v>
      </c>
      <c r="HJ79" s="251">
        <f t="shared" ca="1" si="370"/>
        <v>0.92275703726630232</v>
      </c>
      <c r="HK79" s="137">
        <f t="shared" ca="1" si="371"/>
        <v>0.68483286583800651</v>
      </c>
      <c r="HL79" s="251">
        <f t="shared" ca="1" si="372"/>
        <v>0.57852242672806531</v>
      </c>
      <c r="HM79" s="137">
        <f t="shared" ca="1" si="373"/>
        <v>0.77083730736829081</v>
      </c>
      <c r="HN79" s="251">
        <f t="shared" ca="1" si="374"/>
        <v>0.66452686825834961</v>
      </c>
      <c r="HO79" s="137">
        <f t="shared" ca="1" si="375"/>
        <v>0.28046220947353667</v>
      </c>
      <c r="HP79" s="251">
        <f t="shared" ca="1" si="376"/>
        <v>0.31109325670554938</v>
      </c>
      <c r="JN79" s="143">
        <f t="shared" si="413"/>
        <v>19.165319938830965</v>
      </c>
      <c r="JO79" s="143">
        <f t="shared" si="347"/>
        <v>2351.1923726561167</v>
      </c>
      <c r="JP79" s="143">
        <f t="shared" si="414"/>
        <v>2802.083550560199</v>
      </c>
      <c r="JQ79" s="143">
        <f t="shared" si="415"/>
        <v>0.89864856666988802</v>
      </c>
      <c r="JR79" s="143">
        <f t="shared" ca="1" si="348"/>
        <v>0.7747109694428379</v>
      </c>
      <c r="JS79" s="143">
        <f t="shared" si="416"/>
        <v>91.713159179687509</v>
      </c>
      <c r="JT79" s="143">
        <f t="shared" ca="1" si="349"/>
        <v>101.72973187910205</v>
      </c>
      <c r="JU79" s="143">
        <f t="shared" si="423"/>
        <v>0.28435048408591773</v>
      </c>
      <c r="JV79" s="143">
        <f t="shared" si="417"/>
        <v>0.33888074124316458</v>
      </c>
      <c r="JW79" s="143">
        <f t="shared" ca="1" si="418"/>
        <v>0.29175458768196455</v>
      </c>
      <c r="JX79" s="143">
        <f t="shared" ca="1" si="419"/>
        <v>0.25151709783510845</v>
      </c>
      <c r="JY79" s="143">
        <f t="shared" si="420"/>
        <v>0.72990465855258368</v>
      </c>
      <c r="JZ79" s="143">
        <f t="shared" si="421"/>
        <v>0.63639540086653434</v>
      </c>
      <c r="KA79" s="143">
        <f t="shared" si="350"/>
        <v>0.26825517366596013</v>
      </c>
      <c r="KB79" s="143">
        <f t="shared" si="351"/>
        <v>0.31969881249355153</v>
      </c>
      <c r="KC79" s="143">
        <f t="shared" ca="1" si="352"/>
        <v>0.55349463256605691</v>
      </c>
      <c r="KD79" s="143">
        <f t="shared" ca="1" si="353"/>
        <v>0.6269498940283964</v>
      </c>
      <c r="KE79" s="143">
        <f t="shared" ca="1" si="354"/>
        <v>0.46814248086144344</v>
      </c>
      <c r="KF79" s="143">
        <f t="shared" ca="1" si="355"/>
        <v>0.3638409905600708</v>
      </c>
      <c r="KG79" s="142">
        <f t="shared" si="356"/>
        <v>0.16938347816957852</v>
      </c>
      <c r="KH79" s="142">
        <f t="shared" ca="1" si="357"/>
        <v>9.3106357262129971E-2</v>
      </c>
      <c r="KI79" s="142">
        <f t="shared" ca="1" si="358"/>
        <v>278.11169631938918</v>
      </c>
      <c r="KJ79" s="142">
        <f t="shared" ca="1" si="359"/>
        <v>256.51664152063518</v>
      </c>
    </row>
    <row r="80" spans="1:296" x14ac:dyDescent="0.3">
      <c r="A80" s="201">
        <v>41389</v>
      </c>
      <c r="B80" s="196">
        <v>82</v>
      </c>
      <c r="C80" s="179">
        <v>24</v>
      </c>
      <c r="D80" s="179">
        <v>4.2</v>
      </c>
      <c r="E80" s="179">
        <v>50016</v>
      </c>
      <c r="F80" s="179">
        <v>300</v>
      </c>
      <c r="G80" s="179">
        <v>11.7</v>
      </c>
      <c r="H80" s="179">
        <v>0.85</v>
      </c>
      <c r="I80" s="179">
        <v>1.4</v>
      </c>
      <c r="J80" s="179">
        <v>1.33</v>
      </c>
      <c r="K80" s="179">
        <v>0.91</v>
      </c>
      <c r="L80" s="152">
        <v>20934.812117993832</v>
      </c>
      <c r="M80" s="155">
        <v>19</v>
      </c>
      <c r="N80" s="153">
        <v>58712.560277812183</v>
      </c>
      <c r="O80" s="178">
        <v>17</v>
      </c>
      <c r="P80" s="179">
        <v>2</v>
      </c>
      <c r="Q80" s="179">
        <v>5</v>
      </c>
      <c r="R80" s="154">
        <v>356.74154663085937</v>
      </c>
      <c r="S80" s="155">
        <v>72.51956366316881</v>
      </c>
      <c r="T80" s="152">
        <v>180</v>
      </c>
      <c r="U80" s="156">
        <v>2.9049363136291504</v>
      </c>
      <c r="V80" s="178">
        <v>17</v>
      </c>
      <c r="W80" s="179">
        <v>1250</v>
      </c>
      <c r="X80" s="155">
        <v>80081.680120885372</v>
      </c>
      <c r="Y80" s="155">
        <v>11397.253850365058</v>
      </c>
      <c r="Z80" s="155">
        <v>363.82577514648437</v>
      </c>
      <c r="AA80" s="155">
        <v>10.593940734863281</v>
      </c>
      <c r="AB80" s="155">
        <v>14.232674598693848</v>
      </c>
      <c r="AC80" s="215">
        <v>37</v>
      </c>
      <c r="AD80" s="215">
        <v>28.752756118774414</v>
      </c>
      <c r="AE80" s="254">
        <v>20</v>
      </c>
      <c r="AF80" s="254">
        <v>10</v>
      </c>
      <c r="AG80" s="217">
        <v>5000000</v>
      </c>
      <c r="AH80" s="218">
        <v>300000</v>
      </c>
      <c r="AI80" s="219">
        <v>5000000</v>
      </c>
      <c r="AJ80" s="225">
        <f t="shared" si="330"/>
        <v>300000</v>
      </c>
      <c r="AK80" s="220">
        <v>2750000</v>
      </c>
      <c r="AL80" s="226">
        <f t="shared" si="331"/>
        <v>300000</v>
      </c>
      <c r="AM80" s="221">
        <v>14.407</v>
      </c>
      <c r="BM80" s="197">
        <f t="shared" si="332"/>
        <v>8.2472438812255859</v>
      </c>
      <c r="BN80" s="196">
        <f t="shared" si="333"/>
        <v>180</v>
      </c>
      <c r="BO80" s="197">
        <f t="shared" si="334"/>
        <v>3.6387338638305664</v>
      </c>
      <c r="BP80" s="196">
        <f t="shared" si="294"/>
        <v>12.653749286753495</v>
      </c>
      <c r="BQ80" s="115">
        <f t="shared" si="335"/>
        <v>659.74492511188635</v>
      </c>
      <c r="BR80" s="184">
        <f t="shared" si="336"/>
        <v>1.0041987768</v>
      </c>
      <c r="BS80" s="115">
        <f t="shared" si="337"/>
        <v>6863.8528613899143</v>
      </c>
      <c r="BT80" s="196">
        <v>900</v>
      </c>
      <c r="BU80" s="115">
        <f t="shared" si="288"/>
        <v>1.1850729520000001</v>
      </c>
      <c r="BV80" s="115">
        <f t="shared" si="269"/>
        <v>1.0625897137615083</v>
      </c>
      <c r="BW80" s="115">
        <f t="shared" si="270"/>
        <v>431.95668186147441</v>
      </c>
      <c r="BX80" s="115">
        <f t="shared" si="377"/>
        <v>1039.1414312807308</v>
      </c>
      <c r="BY80" s="115"/>
      <c r="BZ80" s="115">
        <f t="shared" si="378"/>
        <v>607.18474941925638</v>
      </c>
      <c r="CA80" s="115">
        <f t="shared" si="379"/>
        <v>9814.3280893214105</v>
      </c>
      <c r="CB80" s="115">
        <f t="shared" si="380"/>
        <v>2446.3566782421744</v>
      </c>
      <c r="CC80" s="115">
        <f t="shared" si="381"/>
        <v>872.28383824974298</v>
      </c>
      <c r="CD80" s="129">
        <f t="shared" si="271"/>
        <v>0.17234740417196201</v>
      </c>
      <c r="CE80" s="115">
        <f t="shared" si="382"/>
        <v>21.401516185087317</v>
      </c>
      <c r="CF80" s="115">
        <f t="shared" si="383"/>
        <v>20.144323239769115</v>
      </c>
      <c r="CG80" s="115">
        <f t="shared" si="384"/>
        <v>0.02</v>
      </c>
      <c r="CH80" s="115">
        <f t="shared" si="385"/>
        <v>0.05</v>
      </c>
      <c r="CI80" s="136">
        <v>30</v>
      </c>
      <c r="CJ80" s="115">
        <f t="shared" si="257"/>
        <v>165</v>
      </c>
      <c r="CK80" s="115">
        <f t="shared" si="386"/>
        <v>453</v>
      </c>
      <c r="CL80" s="115">
        <f t="shared" si="387"/>
        <v>629.74154663085937</v>
      </c>
      <c r="CM80" s="115">
        <f t="shared" ca="1" si="388"/>
        <v>2816.5993052117487</v>
      </c>
      <c r="CN80" s="115">
        <f t="shared" ca="1" si="258"/>
        <v>125.80344444444444</v>
      </c>
      <c r="CO80" s="115">
        <f t="shared" ca="1" si="259"/>
        <v>690.58718083896258</v>
      </c>
      <c r="CP80" s="115">
        <f t="shared" ca="1" si="260"/>
        <v>2790.6388281929471</v>
      </c>
      <c r="CQ80" s="115">
        <f t="shared" si="272"/>
        <v>1.072449112508886</v>
      </c>
      <c r="CR80" s="115">
        <f t="shared" ca="1" si="338"/>
        <v>478.52606234988031</v>
      </c>
      <c r="CS80" s="115">
        <f t="shared" ca="1" si="339"/>
        <v>23.748027130050609</v>
      </c>
      <c r="CT80" s="115">
        <f t="shared" si="273"/>
        <v>1.1126862882589201</v>
      </c>
      <c r="CU80" s="115">
        <f t="shared" ca="1" si="274"/>
        <v>1.0123616603733885</v>
      </c>
      <c r="CV80" s="115">
        <f t="shared" si="360"/>
        <v>134.18474941925638</v>
      </c>
      <c r="CW80" s="115">
        <f t="shared" si="261"/>
        <v>473</v>
      </c>
      <c r="CX80" s="115">
        <f t="shared" si="262"/>
        <v>438</v>
      </c>
      <c r="CY80" s="115">
        <f t="shared" ca="1" si="275"/>
        <v>449.25197286994938</v>
      </c>
      <c r="CZ80" s="115">
        <f t="shared" ca="1" si="263"/>
        <v>180.48957376090999</v>
      </c>
      <c r="DA80" s="115">
        <v>0.21890000000000001</v>
      </c>
      <c r="DB80" s="115">
        <v>2.7E-2</v>
      </c>
      <c r="DC80" s="115">
        <v>1.06</v>
      </c>
      <c r="DD80" s="138">
        <f t="shared" si="389"/>
        <v>9.1373354330887437</v>
      </c>
      <c r="DE80" s="138">
        <f t="shared" si="276"/>
        <v>9.1373354330887437</v>
      </c>
      <c r="DF80" s="115">
        <f t="shared" si="264"/>
        <v>629.74154663085937</v>
      </c>
      <c r="DG80" s="115">
        <v>607.18474941925638</v>
      </c>
      <c r="DH80" s="115">
        <f t="shared" si="277"/>
        <v>1.1126862882589201</v>
      </c>
      <c r="DI80" s="115">
        <f t="shared" si="299"/>
        <v>1.1067082973700215</v>
      </c>
      <c r="DJ80" s="138">
        <f t="shared" si="340"/>
        <v>2.3180438824182006</v>
      </c>
      <c r="DK80" s="138">
        <f t="shared" si="341"/>
        <v>2.0577325500008077</v>
      </c>
      <c r="DL80" s="115">
        <f t="shared" si="278"/>
        <v>629.74154663085937</v>
      </c>
      <c r="DM80" s="115">
        <f t="shared" si="293"/>
        <v>607.18474941925638</v>
      </c>
      <c r="DN80" s="115">
        <f t="shared" si="300"/>
        <v>12.768783371178527</v>
      </c>
      <c r="DO80" s="115">
        <f t="shared" si="301"/>
        <v>1.1126862882589201</v>
      </c>
      <c r="DP80" s="115">
        <f t="shared" si="292"/>
        <v>1.1067082973700215</v>
      </c>
      <c r="DQ80" s="115">
        <v>298.14999999999998</v>
      </c>
      <c r="DR80" s="138">
        <f t="shared" si="302"/>
        <v>1.5438172256905218</v>
      </c>
      <c r="DS80" s="138">
        <f t="shared" si="303"/>
        <v>1.3704498783005381</v>
      </c>
      <c r="DT80" s="115">
        <f t="shared" si="289"/>
        <v>629.74154663085937</v>
      </c>
      <c r="DU80" s="139">
        <f t="shared" si="422"/>
        <v>6.4035640329934349</v>
      </c>
      <c r="DV80" s="115">
        <f t="shared" si="279"/>
        <v>1.1126862882589201</v>
      </c>
      <c r="DW80" s="115">
        <v>298.14999999999998</v>
      </c>
      <c r="DX80" s="138">
        <f t="shared" si="342"/>
        <v>0.77422665672767899</v>
      </c>
      <c r="DY80" s="138">
        <f t="shared" si="343"/>
        <v>0.68728267170026969</v>
      </c>
      <c r="DZ80" s="138">
        <f t="shared" si="290"/>
        <v>2.4463566782421746</v>
      </c>
      <c r="EA80" s="138">
        <f t="shared" si="280"/>
        <v>2.9504752279314963</v>
      </c>
      <c r="EB80" s="115">
        <f t="shared" si="291"/>
        <v>20.144323239769115</v>
      </c>
      <c r="EC80" s="115">
        <v>30</v>
      </c>
      <c r="ED80" s="198">
        <f t="shared" ca="1" si="265"/>
        <v>125.80344444444444</v>
      </c>
      <c r="EE80" s="198">
        <v>104.83</v>
      </c>
      <c r="EF80" s="198">
        <f t="shared" ca="1" si="295"/>
        <v>0.42491111111111107</v>
      </c>
      <c r="EG80" s="199">
        <v>0.36720000000000003</v>
      </c>
      <c r="EH80" s="138">
        <f t="shared" ca="1" si="304"/>
        <v>7.588118117767767E-2</v>
      </c>
      <c r="EI80" s="138">
        <f t="shared" ca="1" si="281"/>
        <v>7.588118117767767E-2</v>
      </c>
      <c r="EJ80" s="115">
        <f t="shared" si="296"/>
        <v>12.768783371178527</v>
      </c>
      <c r="EK80" s="115">
        <v>435</v>
      </c>
      <c r="EL80" s="115">
        <f t="shared" ca="1" si="297"/>
        <v>449.25197286994938</v>
      </c>
      <c r="EM80" s="115">
        <f t="shared" ca="1" si="305"/>
        <v>1.0622849519476234</v>
      </c>
      <c r="EN80" s="115">
        <f t="shared" ca="1" si="306"/>
        <v>1.0667010542616766</v>
      </c>
      <c r="EO80" s="115">
        <v>298.14999999999998</v>
      </c>
      <c r="EP80" s="138">
        <f t="shared" ca="1" si="307"/>
        <v>0.32857699364288318</v>
      </c>
      <c r="EQ80" s="138">
        <f t="shared" ca="1" si="308"/>
        <v>0.39314531384102724</v>
      </c>
      <c r="ER80" s="115">
        <f t="shared" si="282"/>
        <v>0.80692675378587519</v>
      </c>
      <c r="ES80" s="115">
        <f t="shared" si="298"/>
        <v>453</v>
      </c>
      <c r="ET80" s="115">
        <f t="shared" ca="1" si="390"/>
        <v>2816.5993052117487</v>
      </c>
      <c r="EU80" s="115">
        <f t="shared" ca="1" si="391"/>
        <v>6.5855309782608691</v>
      </c>
      <c r="EV80" s="138">
        <f t="shared" ca="1" si="309"/>
        <v>0.6921607280104084</v>
      </c>
      <c r="EW80" s="138">
        <f t="shared" ca="1" si="344"/>
        <v>0.71185510420181108</v>
      </c>
      <c r="EX80" s="115">
        <v>21.47</v>
      </c>
      <c r="EY80" s="115">
        <f t="shared" ca="1" si="392"/>
        <v>120.41792355219523</v>
      </c>
      <c r="EZ80" s="115">
        <f t="shared" ca="1" si="393"/>
        <v>0.40751898810068765</v>
      </c>
      <c r="FA80" s="138">
        <f t="shared" ca="1" si="310"/>
        <v>7.6579566356967999E-2</v>
      </c>
      <c r="FB80" s="138">
        <f t="shared" ca="1" si="283"/>
        <v>7.6579566356967999E-2</v>
      </c>
      <c r="FC80" s="115">
        <f t="shared" si="266"/>
        <v>21.47</v>
      </c>
      <c r="FD80" s="115">
        <v>37</v>
      </c>
      <c r="FE80" s="115">
        <f t="shared" ca="1" si="267"/>
        <v>154.93355555555553</v>
      </c>
      <c r="FF80" s="115">
        <f t="shared" ca="1" si="268"/>
        <v>0.52252222222222222</v>
      </c>
      <c r="FG80" s="138">
        <f t="shared" ca="1" si="311"/>
        <v>8.1462225449999703E-2</v>
      </c>
      <c r="FH80" s="138">
        <f t="shared" ca="1" si="312"/>
        <v>8.1462225449999703E-2</v>
      </c>
      <c r="FI80" s="115">
        <f t="shared" si="284"/>
        <v>101.87121704101564</v>
      </c>
      <c r="FJ80" s="115">
        <f t="shared" ca="1" si="394"/>
        <v>44.42126352437338</v>
      </c>
      <c r="FK80" s="115">
        <f t="shared" ca="1" si="395"/>
        <v>0.15430439580281577</v>
      </c>
      <c r="FL80" s="138">
        <f t="shared" ca="1" si="313"/>
        <v>0.31234610753361608</v>
      </c>
      <c r="FM80" s="138">
        <f t="shared" ca="1" si="345"/>
        <v>0.32141864644175572</v>
      </c>
      <c r="FN80" s="115">
        <f t="shared" si="285"/>
        <v>101.87121704101564</v>
      </c>
      <c r="FO80" s="115">
        <f t="shared" ca="1" si="396"/>
        <v>59.649769048266947</v>
      </c>
      <c r="FP80" s="115">
        <f t="shared" ca="1" si="397"/>
        <v>0.20504451801511978</v>
      </c>
      <c r="FQ80" s="138">
        <f t="shared" ca="1" si="314"/>
        <v>0.32256767050006685</v>
      </c>
      <c r="FR80" s="138">
        <f t="shared" ca="1" si="346"/>
        <v>0.33193710930699954</v>
      </c>
      <c r="FS80" s="139">
        <f t="shared" si="315"/>
        <v>4.3729348724283685</v>
      </c>
      <c r="FT80" s="249">
        <f t="shared" si="316"/>
        <v>4.1291276551564398</v>
      </c>
      <c r="FU80" s="139">
        <f t="shared" ca="1" si="317"/>
        <v>0.59896068521490786</v>
      </c>
      <c r="FV80" s="249">
        <f t="shared" ca="1" si="318"/>
        <v>0.34133064143537739</v>
      </c>
      <c r="FW80" s="139">
        <f t="shared" ca="1" si="286"/>
        <v>0.69749963188382758</v>
      </c>
      <c r="FX80" s="249">
        <f t="shared" ca="1" si="319"/>
        <v>0.71749090797402326</v>
      </c>
      <c r="FY80" s="249">
        <f t="shared" si="398"/>
        <v>0.15000000000000002</v>
      </c>
      <c r="FZ80" s="139">
        <f t="shared" si="399"/>
        <v>1050000</v>
      </c>
      <c r="GA80" s="139">
        <f t="shared" si="320"/>
        <v>3.3757716049382713E-2</v>
      </c>
      <c r="GB80" s="139">
        <f t="shared" si="361"/>
        <v>121.52777777777777</v>
      </c>
      <c r="GC80" s="139">
        <f t="shared" si="400"/>
        <v>1050000</v>
      </c>
      <c r="GD80" s="139">
        <f t="shared" si="362"/>
        <v>6.7515432098765427E-2</v>
      </c>
      <c r="GE80" s="139">
        <f t="shared" si="363"/>
        <v>243.05555555555554</v>
      </c>
      <c r="GF80" s="139">
        <f t="shared" si="364"/>
        <v>4.5814043209876545E-2</v>
      </c>
      <c r="GG80" s="139">
        <f t="shared" si="401"/>
        <v>712500</v>
      </c>
      <c r="GH80" s="139">
        <f t="shared" si="365"/>
        <v>164.93055555555554</v>
      </c>
      <c r="GI80" s="137">
        <f t="shared" si="402"/>
        <v>53.959118305979793</v>
      </c>
      <c r="GJ80" s="137">
        <f t="shared" si="321"/>
        <v>0.19425282590152571</v>
      </c>
      <c r="GK80" s="251">
        <f t="shared" si="403"/>
        <v>46.010742100418859</v>
      </c>
      <c r="GL80" s="137">
        <f t="shared" si="329"/>
        <v>0.16563867156150658</v>
      </c>
      <c r="GM80" s="137">
        <f t="shared" ca="1" si="404"/>
        <v>7.6255675119901989</v>
      </c>
      <c r="GN80" s="137">
        <f t="shared" ca="1" si="322"/>
        <v>2.7452043043164499E-2</v>
      </c>
      <c r="GO80" s="137">
        <f t="shared" ca="1" si="366"/>
        <v>9.6526171037849856E-2</v>
      </c>
      <c r="GP80" s="137">
        <f t="shared" ca="1" si="405"/>
        <v>7.6262146770377655</v>
      </c>
      <c r="GQ80" s="137">
        <f t="shared" ca="1" si="323"/>
        <v>2.7454372837335737E-2</v>
      </c>
      <c r="GR80" s="137">
        <f t="shared" ca="1" si="406"/>
        <v>9.6534363000477283E-2</v>
      </c>
      <c r="GS80" s="140">
        <f t="shared" si="407"/>
        <v>6.3000872707075509E-2</v>
      </c>
      <c r="GT80" s="140">
        <f t="shared" si="408"/>
        <v>5.9488342127838836E-2</v>
      </c>
      <c r="GU80" s="140">
        <f t="shared" si="287"/>
        <v>226.80314174547183</v>
      </c>
      <c r="GV80" s="140">
        <f t="shared" si="324"/>
        <v>214.15803166021982</v>
      </c>
      <c r="GW80" s="141">
        <f t="shared" ca="1" si="409"/>
        <v>5.7470649101995239E-3</v>
      </c>
      <c r="GX80" s="141">
        <f t="shared" ca="1" si="410"/>
        <v>3.2750886670722145E-3</v>
      </c>
      <c r="GY80" s="141">
        <f t="shared" ca="1" si="325"/>
        <v>20.689433676718288</v>
      </c>
      <c r="GZ80" s="141">
        <f t="shared" ca="1" si="326"/>
        <v>11.790319201459972</v>
      </c>
      <c r="HA80" s="141">
        <f t="shared" ca="1" si="411"/>
        <v>1.319702843619769E-2</v>
      </c>
      <c r="HB80" s="141">
        <f t="shared" ca="1" si="412"/>
        <v>1.0579248194071553E-2</v>
      </c>
      <c r="HC80" s="141">
        <f t="shared" ca="1" si="327"/>
        <v>47.509302370311687</v>
      </c>
      <c r="HD80" s="141">
        <f t="shared" ca="1" si="328"/>
        <v>38.085293498657592</v>
      </c>
      <c r="HE80" s="137">
        <f t="shared" si="367"/>
        <v>6.8192915506705436</v>
      </c>
      <c r="HF80" s="250">
        <f t="shared" si="368"/>
        <v>7.0796028830879365</v>
      </c>
      <c r="HG80" s="137">
        <v>2.4463566782421746</v>
      </c>
      <c r="HH80" s="251">
        <v>2.4379705769443936</v>
      </c>
      <c r="HI80" s="137">
        <f t="shared" ca="1" si="369"/>
        <v>1.1506719118494946</v>
      </c>
      <c r="HJ80" s="251">
        <f t="shared" ca="1" si="370"/>
        <v>0.97730456445951086</v>
      </c>
      <c r="HK80" s="137">
        <f t="shared" ca="1" si="371"/>
        <v>0.61627954683273067</v>
      </c>
      <c r="HL80" s="251">
        <f t="shared" ca="1" si="372"/>
        <v>0.63597392302413347</v>
      </c>
      <c r="HM80" s="137">
        <f t="shared" ca="1" si="373"/>
        <v>0.6921607280104084</v>
      </c>
      <c r="HN80" s="251">
        <f t="shared" ca="1" si="374"/>
        <v>0.71185510420181108</v>
      </c>
      <c r="HO80" s="137">
        <f t="shared" ca="1" si="375"/>
        <v>0.31234610753361608</v>
      </c>
      <c r="HP80" s="251">
        <f t="shared" ca="1" si="376"/>
        <v>0.32141864644175572</v>
      </c>
      <c r="JN80" s="143">
        <f t="shared" si="413"/>
        <v>19.172347404171962</v>
      </c>
      <c r="JO80" s="143">
        <f t="shared" si="347"/>
        <v>2446.3566782421744</v>
      </c>
      <c r="JP80" s="143">
        <f t="shared" si="414"/>
        <v>2950.4752279314962</v>
      </c>
      <c r="JQ80" s="143">
        <f t="shared" si="415"/>
        <v>0.80692675378587519</v>
      </c>
      <c r="JR80" s="143">
        <f t="shared" ca="1" si="348"/>
        <v>0.82988662192755247</v>
      </c>
      <c r="JS80" s="143">
        <f t="shared" si="416"/>
        <v>101.87121704101564</v>
      </c>
      <c r="JT80" s="143">
        <f t="shared" ca="1" si="349"/>
        <v>104.83021207227173</v>
      </c>
      <c r="JU80" s="143">
        <f t="shared" si="423"/>
        <v>0.28379587221305852</v>
      </c>
      <c r="JV80" s="143">
        <f t="shared" si="417"/>
        <v>0.34227743574804703</v>
      </c>
      <c r="JW80" s="143">
        <f t="shared" ca="1" si="418"/>
        <v>0.25131846067060765</v>
      </c>
      <c r="JX80" s="143">
        <f t="shared" ca="1" si="419"/>
        <v>0.25846934356238699</v>
      </c>
      <c r="JY80" s="143">
        <f t="shared" si="420"/>
        <v>0.74163816478918321</v>
      </c>
      <c r="JZ80" s="143">
        <f t="shared" si="421"/>
        <v>0.75339193450651187</v>
      </c>
      <c r="KA80" s="143">
        <f t="shared" si="350"/>
        <v>0.26773195491797974</v>
      </c>
      <c r="KB80" s="143">
        <f t="shared" si="351"/>
        <v>0.32290324127174247</v>
      </c>
      <c r="KC80" s="143">
        <f t="shared" ca="1" si="352"/>
        <v>0.50712569464090285</v>
      </c>
      <c r="KD80" s="143">
        <f t="shared" ca="1" si="353"/>
        <v>0.65074281462693551</v>
      </c>
      <c r="KE80" s="143">
        <f t="shared" ca="1" si="354"/>
        <v>0.45152257045646393</v>
      </c>
      <c r="KF80" s="143">
        <f t="shared" ca="1" si="355"/>
        <v>0.45126239454735312</v>
      </c>
      <c r="KG80" s="142">
        <f t="shared" si="356"/>
        <v>0.16563867156150658</v>
      </c>
      <c r="KH80" s="142">
        <f t="shared" ca="1" si="357"/>
        <v>9.6534363000477283E-2</v>
      </c>
      <c r="KI80" s="142">
        <f t="shared" ca="1" si="358"/>
        <v>295.00187779250183</v>
      </c>
      <c r="KJ80" s="142">
        <f t="shared" ca="1" si="359"/>
        <v>264.03364436033735</v>
      </c>
    </row>
    <row r="81" spans="1:296" ht="17.25" thickBot="1" x14ac:dyDescent="0.35">
      <c r="A81" s="202">
        <v>41394</v>
      </c>
      <c r="B81" s="196">
        <v>85</v>
      </c>
      <c r="C81" s="179">
        <v>24</v>
      </c>
      <c r="D81" s="179">
        <v>4.2</v>
      </c>
      <c r="E81" s="179">
        <v>50016</v>
      </c>
      <c r="F81" s="179">
        <v>300</v>
      </c>
      <c r="G81" s="179">
        <v>11.7</v>
      </c>
      <c r="H81" s="179">
        <v>0.85</v>
      </c>
      <c r="I81" s="179">
        <v>1.4</v>
      </c>
      <c r="J81" s="179">
        <v>1.33</v>
      </c>
      <c r="K81" s="179">
        <v>0.91</v>
      </c>
      <c r="L81" s="157">
        <v>20284.07431743294</v>
      </c>
      <c r="M81" s="160">
        <v>19</v>
      </c>
      <c r="N81" s="158">
        <v>55513.058611445129</v>
      </c>
      <c r="O81" s="180">
        <v>17</v>
      </c>
      <c r="P81" s="181">
        <v>2</v>
      </c>
      <c r="Q81" s="181">
        <v>5</v>
      </c>
      <c r="R81" s="159">
        <v>350.564208984375</v>
      </c>
      <c r="S81" s="160">
        <v>67.797707752499264</v>
      </c>
      <c r="T81" s="157">
        <v>180</v>
      </c>
      <c r="U81" s="161">
        <v>2.6676244735717773</v>
      </c>
      <c r="V81" s="180">
        <v>17</v>
      </c>
      <c r="W81" s="181">
        <v>1250</v>
      </c>
      <c r="X81" s="160">
        <v>66423.137695491314</v>
      </c>
      <c r="Y81" s="160">
        <v>9689.7974876649678</v>
      </c>
      <c r="Z81" s="160">
        <v>308.04415893554687</v>
      </c>
      <c r="AA81" s="160">
        <v>10.046552658081055</v>
      </c>
      <c r="AB81" s="160">
        <v>13.483243942260742</v>
      </c>
      <c r="AC81" s="216">
        <v>37</v>
      </c>
      <c r="AD81" s="216">
        <v>28.381401062011719</v>
      </c>
      <c r="AE81" s="254">
        <v>20</v>
      </c>
      <c r="AF81" s="254">
        <v>10</v>
      </c>
      <c r="AG81" s="217">
        <v>5000000</v>
      </c>
      <c r="AH81" s="218">
        <v>300000</v>
      </c>
      <c r="AI81" s="219">
        <v>5000000</v>
      </c>
      <c r="AJ81" s="225">
        <f t="shared" si="330"/>
        <v>300000</v>
      </c>
      <c r="AK81" s="220">
        <v>2750000</v>
      </c>
      <c r="AL81" s="226">
        <f t="shared" si="331"/>
        <v>300000</v>
      </c>
      <c r="AM81" s="221">
        <v>14.407</v>
      </c>
      <c r="BM81" s="197">
        <f t="shared" si="332"/>
        <v>8.6185989379882812</v>
      </c>
      <c r="BN81" s="196">
        <f t="shared" si="333"/>
        <v>180</v>
      </c>
      <c r="BO81" s="197">
        <f t="shared" si="334"/>
        <v>3.4366912841796875</v>
      </c>
      <c r="BP81" s="196">
        <f t="shared" si="294"/>
        <v>12.650213503376978</v>
      </c>
      <c r="BQ81" s="115">
        <f t="shared" si="335"/>
        <v>659.74492511188635</v>
      </c>
      <c r="BR81" s="184">
        <f t="shared" si="336"/>
        <v>1.0041987768</v>
      </c>
      <c r="BS81" s="115">
        <f t="shared" si="337"/>
        <v>6863.8528613899143</v>
      </c>
      <c r="BT81" s="196">
        <v>900</v>
      </c>
      <c r="BU81" s="115">
        <f t="shared" si="288"/>
        <v>1.1850729520000001</v>
      </c>
      <c r="BV81" s="115">
        <f t="shared" si="269"/>
        <v>1.0614464910988621</v>
      </c>
      <c r="BW81" s="115">
        <f t="shared" si="270"/>
        <v>427.09713794306231</v>
      </c>
      <c r="BX81" s="115">
        <f t="shared" si="377"/>
        <v>1027.4510150079948</v>
      </c>
      <c r="BY81" s="115"/>
      <c r="BZ81" s="115">
        <f t="shared" si="378"/>
        <v>600.35387706493248</v>
      </c>
      <c r="CA81" s="115">
        <f t="shared" si="379"/>
        <v>9701.2046643017748</v>
      </c>
      <c r="CB81" s="115">
        <f t="shared" si="380"/>
        <v>2313.0441088102139</v>
      </c>
      <c r="CC81" s="115">
        <f t="shared" si="381"/>
        <v>845.16976322637254</v>
      </c>
      <c r="CD81" s="129">
        <f t="shared" si="271"/>
        <v>0.16699015663178257</v>
      </c>
      <c r="CE81" s="115">
        <f t="shared" si="382"/>
        <v>18.120244643267462</v>
      </c>
      <c r="CF81" s="115">
        <f t="shared" si="383"/>
        <v>18.832696597916463</v>
      </c>
      <c r="CG81" s="115">
        <f t="shared" si="384"/>
        <v>0.02</v>
      </c>
      <c r="CH81" s="115">
        <f t="shared" si="385"/>
        <v>0.05</v>
      </c>
      <c r="CI81" s="136">
        <v>30</v>
      </c>
      <c r="CJ81" s="115">
        <f t="shared" si="257"/>
        <v>165</v>
      </c>
      <c r="CK81" s="115">
        <f t="shared" si="386"/>
        <v>453</v>
      </c>
      <c r="CL81" s="115">
        <f t="shared" si="387"/>
        <v>623.564208984375</v>
      </c>
      <c r="CM81" s="115">
        <f t="shared" ca="1" si="388"/>
        <v>2816.5993052117487</v>
      </c>
      <c r="CN81" s="115">
        <f t="shared" ca="1" si="258"/>
        <v>125.80344444444444</v>
      </c>
      <c r="CO81" s="115">
        <f t="shared" ca="1" si="259"/>
        <v>690.58718083896258</v>
      </c>
      <c r="CP81" s="115">
        <f t="shared" ca="1" si="260"/>
        <v>2790.6388281929471</v>
      </c>
      <c r="CQ81" s="115">
        <f t="shared" si="272"/>
        <v>1.072449112508886</v>
      </c>
      <c r="CR81" s="115">
        <f t="shared" ca="1" si="338"/>
        <v>439.43401759872074</v>
      </c>
      <c r="CS81" s="115">
        <f t="shared" ca="1" si="339"/>
        <v>21.814084140672037</v>
      </c>
      <c r="CT81" s="115">
        <f t="shared" si="273"/>
        <v>1.1110447732264876</v>
      </c>
      <c r="CU81" s="115">
        <f t="shared" ca="1" si="274"/>
        <v>1.0111103871043863</v>
      </c>
      <c r="CV81" s="115">
        <f t="shared" si="360"/>
        <v>127.35387706493248</v>
      </c>
      <c r="CW81" s="115">
        <f t="shared" si="261"/>
        <v>473</v>
      </c>
      <c r="CX81" s="115">
        <f t="shared" si="262"/>
        <v>438</v>
      </c>
      <c r="CY81" s="115">
        <f t="shared" ca="1" si="275"/>
        <v>451.18591585932796</v>
      </c>
      <c r="CZ81" s="115">
        <f t="shared" ca="1" si="263"/>
        <v>172.37829312504704</v>
      </c>
      <c r="DA81" s="115">
        <v>0.21890000000000001</v>
      </c>
      <c r="DB81" s="115">
        <v>2.7E-2</v>
      </c>
      <c r="DC81" s="115">
        <v>1.06</v>
      </c>
      <c r="DD81" s="138">
        <f t="shared" si="389"/>
        <v>8.8533104545409511</v>
      </c>
      <c r="DE81" s="138">
        <f t="shared" si="276"/>
        <v>8.8533104545409511</v>
      </c>
      <c r="DF81" s="115">
        <f t="shared" si="264"/>
        <v>623.564208984375</v>
      </c>
      <c r="DG81" s="115">
        <v>600.35387706493248</v>
      </c>
      <c r="DH81" s="115">
        <f t="shared" si="277"/>
        <v>1.1110447732264876</v>
      </c>
      <c r="DI81" s="115">
        <f t="shared" si="299"/>
        <v>1.1049072834543274</v>
      </c>
      <c r="DJ81" s="138">
        <f t="shared" si="340"/>
        <v>2.2450176070508596</v>
      </c>
      <c r="DK81" s="138">
        <f t="shared" si="341"/>
        <v>1.9805845274547689</v>
      </c>
      <c r="DL81" s="115">
        <f t="shared" si="278"/>
        <v>623.564208984375</v>
      </c>
      <c r="DM81" s="115">
        <f t="shared" si="293"/>
        <v>600.35387706493248</v>
      </c>
      <c r="DN81" s="115">
        <f t="shared" si="300"/>
        <v>12.765215444316768</v>
      </c>
      <c r="DO81" s="115">
        <f t="shared" si="301"/>
        <v>1.1110447732264876</v>
      </c>
      <c r="DP81" s="115">
        <f t="shared" si="292"/>
        <v>1.1049072834543274</v>
      </c>
      <c r="DQ81" s="115">
        <v>298.14999999999998</v>
      </c>
      <c r="DR81" s="138">
        <f t="shared" si="302"/>
        <v>1.4951817262958729</v>
      </c>
      <c r="DS81" s="138">
        <f t="shared" si="303"/>
        <v>1.3190692952848764</v>
      </c>
      <c r="DT81" s="115">
        <f t="shared" si="289"/>
        <v>623.564208984375</v>
      </c>
      <c r="DU81" s="139">
        <f t="shared" si="422"/>
        <v>6.4017747123150155</v>
      </c>
      <c r="DV81" s="115">
        <f t="shared" si="279"/>
        <v>1.1110447732264876</v>
      </c>
      <c r="DW81" s="115">
        <v>298.14999999999998</v>
      </c>
      <c r="DX81" s="138">
        <f t="shared" si="342"/>
        <v>0.74983588075498719</v>
      </c>
      <c r="DY81" s="138">
        <f t="shared" si="343"/>
        <v>0.66151523216989283</v>
      </c>
      <c r="DZ81" s="138">
        <f t="shared" si="290"/>
        <v>2.3130441088102138</v>
      </c>
      <c r="EA81" s="138">
        <f t="shared" si="280"/>
        <v>2.8373518029118605</v>
      </c>
      <c r="EB81" s="115">
        <f t="shared" si="291"/>
        <v>18.832696597916463</v>
      </c>
      <c r="EC81" s="115">
        <v>30</v>
      </c>
      <c r="ED81" s="198">
        <f t="shared" ca="1" si="265"/>
        <v>125.80344444444444</v>
      </c>
      <c r="EE81" s="198">
        <v>104.83</v>
      </c>
      <c r="EF81" s="198">
        <f t="shared" ca="1" si="295"/>
        <v>0.42491111111111107</v>
      </c>
      <c r="EG81" s="199">
        <v>0.36720000000000003</v>
      </c>
      <c r="EH81" s="138">
        <f t="shared" ca="1" si="304"/>
        <v>7.0940445385104536E-2</v>
      </c>
      <c r="EI81" s="138">
        <f t="shared" ca="1" si="281"/>
        <v>7.0940445385104536E-2</v>
      </c>
      <c r="EJ81" s="115">
        <f t="shared" si="296"/>
        <v>12.765215444316768</v>
      </c>
      <c r="EK81" s="115">
        <v>435</v>
      </c>
      <c r="EL81" s="115">
        <f t="shared" ca="1" si="297"/>
        <v>451.18591585932796</v>
      </c>
      <c r="EM81" s="115">
        <f t="shared" ca="1" si="305"/>
        <v>1.0621409582329837</v>
      </c>
      <c r="EN81" s="115">
        <f t="shared" ca="1" si="306"/>
        <v>1.0671648023148514</v>
      </c>
      <c r="EO81" s="115">
        <v>298.14999999999998</v>
      </c>
      <c r="EP81" s="138">
        <f t="shared" ca="1" si="307"/>
        <v>0.32844065429801417</v>
      </c>
      <c r="EQ81" s="138">
        <f t="shared" ca="1" si="308"/>
        <v>0.40210487117483146</v>
      </c>
      <c r="ER81" s="115">
        <f t="shared" si="282"/>
        <v>0.74100679821438264</v>
      </c>
      <c r="ES81" s="115">
        <f t="shared" si="298"/>
        <v>453</v>
      </c>
      <c r="ET81" s="115">
        <f t="shared" ca="1" si="390"/>
        <v>2816.5993052117487</v>
      </c>
      <c r="EU81" s="115">
        <f t="shared" ca="1" si="391"/>
        <v>6.5855309782608691</v>
      </c>
      <c r="EV81" s="138">
        <f t="shared" ca="1" si="309"/>
        <v>0.63561630904709121</v>
      </c>
      <c r="EW81" s="138">
        <f t="shared" ca="1" si="344"/>
        <v>0.67443184608503237</v>
      </c>
      <c r="EX81" s="115">
        <v>21.47</v>
      </c>
      <c r="EY81" s="115">
        <f t="shared" ca="1" si="392"/>
        <v>118.86376137797038</v>
      </c>
      <c r="EZ81" s="115">
        <f t="shared" ca="1" si="393"/>
        <v>0.4023406481424967</v>
      </c>
      <c r="FA81" s="138">
        <f t="shared" ca="1" si="310"/>
        <v>7.6359711073098829E-2</v>
      </c>
      <c r="FB81" s="138">
        <f t="shared" ca="1" si="283"/>
        <v>7.6359711073098829E-2</v>
      </c>
      <c r="FC81" s="115">
        <f t="shared" si="266"/>
        <v>21.47</v>
      </c>
      <c r="FD81" s="115">
        <v>37</v>
      </c>
      <c r="FE81" s="115">
        <f t="shared" ca="1" si="267"/>
        <v>154.93355555555553</v>
      </c>
      <c r="FF81" s="115">
        <f t="shared" ca="1" si="268"/>
        <v>0.52252222222222222</v>
      </c>
      <c r="FG81" s="138">
        <f t="shared" ca="1" si="311"/>
        <v>8.1462225449999703E-2</v>
      </c>
      <c r="FH81" s="138">
        <f t="shared" ca="1" si="312"/>
        <v>8.1462225449999703E-2</v>
      </c>
      <c r="FI81" s="115">
        <f t="shared" si="284"/>
        <v>86.252364501953139</v>
      </c>
      <c r="FJ81" s="115">
        <f t="shared" ca="1" si="394"/>
        <v>42.130383602142345</v>
      </c>
      <c r="FK81" s="115">
        <f t="shared" ca="1" si="395"/>
        <v>0.14667137317657472</v>
      </c>
      <c r="FL81" s="138">
        <f t="shared" ca="1" si="313"/>
        <v>0.26315541980393231</v>
      </c>
      <c r="FM81" s="138">
        <f t="shared" ca="1" si="345"/>
        <v>0.30549446264191127</v>
      </c>
      <c r="FN81" s="115">
        <f t="shared" si="285"/>
        <v>86.252364501953139</v>
      </c>
      <c r="FO81" s="115">
        <f t="shared" ca="1" si="396"/>
        <v>56.513318481021464</v>
      </c>
      <c r="FP81" s="115">
        <f t="shared" ca="1" si="397"/>
        <v>0.1945941238615248</v>
      </c>
      <c r="FQ81" s="138">
        <f t="shared" ca="1" si="314"/>
        <v>0.27132927711653432</v>
      </c>
      <c r="FR81" s="138">
        <f t="shared" ca="1" si="346"/>
        <v>0.31498341084326498</v>
      </c>
      <c r="FS81" s="139">
        <f t="shared" si="315"/>
        <v>4.2952487386798772</v>
      </c>
      <c r="FT81" s="249">
        <f t="shared" si="316"/>
        <v>4.0353741241743215</v>
      </c>
      <c r="FU81" s="139">
        <f t="shared" ca="1" si="317"/>
        <v>0.60206520833587207</v>
      </c>
      <c r="FV81" s="249">
        <f t="shared" ca="1" si="318"/>
        <v>0.31347302341011707</v>
      </c>
      <c r="FW81" s="139">
        <f t="shared" ca="1" si="286"/>
        <v>0.63868765198279231</v>
      </c>
      <c r="FX81" s="249">
        <f t="shared" ca="1" si="319"/>
        <v>0.67881827990948518</v>
      </c>
      <c r="FY81" s="249">
        <f t="shared" si="398"/>
        <v>0.15000000000000002</v>
      </c>
      <c r="FZ81" s="139">
        <f t="shared" si="399"/>
        <v>1050000</v>
      </c>
      <c r="GA81" s="139">
        <f t="shared" si="320"/>
        <v>3.3757716049382713E-2</v>
      </c>
      <c r="GB81" s="139">
        <f t="shared" si="361"/>
        <v>121.52777777777777</v>
      </c>
      <c r="GC81" s="139">
        <f t="shared" si="400"/>
        <v>1050000</v>
      </c>
      <c r="GD81" s="139">
        <f t="shared" si="362"/>
        <v>6.7515432098765427E-2</v>
      </c>
      <c r="GE81" s="139">
        <f t="shared" si="363"/>
        <v>243.05555555555554</v>
      </c>
      <c r="GF81" s="139">
        <f t="shared" si="364"/>
        <v>4.5814043209876545E-2</v>
      </c>
      <c r="GG81" s="139">
        <f t="shared" si="401"/>
        <v>712500</v>
      </c>
      <c r="GH81" s="139">
        <f t="shared" si="365"/>
        <v>164.93055555555554</v>
      </c>
      <c r="GI81" s="137">
        <f t="shared" si="402"/>
        <v>55.754834337987944</v>
      </c>
      <c r="GJ81" s="137">
        <f t="shared" si="321"/>
        <v>0.200717403616755</v>
      </c>
      <c r="GK81" s="251">
        <f t="shared" si="403"/>
        <v>46.794718351335099</v>
      </c>
      <c r="GL81" s="137">
        <f t="shared" si="329"/>
        <v>0.16846098606480503</v>
      </c>
      <c r="GM81" s="137">
        <f t="shared" ca="1" si="404"/>
        <v>7.2546570852380245</v>
      </c>
      <c r="GN81" s="137">
        <f t="shared" ca="1" si="322"/>
        <v>2.6116765506856682E-2</v>
      </c>
      <c r="GO81" s="137">
        <f t="shared" ca="1" si="366"/>
        <v>9.1831102344784393E-2</v>
      </c>
      <c r="GP81" s="137">
        <f t="shared" ca="1" si="405"/>
        <v>7.3921002313106143</v>
      </c>
      <c r="GQ81" s="137">
        <f t="shared" ca="1" si="323"/>
        <v>2.6611560832717998E-2</v>
      </c>
      <c r="GR81" s="137">
        <f t="shared" ca="1" si="406"/>
        <v>9.3570889003931082E-2</v>
      </c>
      <c r="GS81" s="140">
        <f t="shared" si="407"/>
        <v>6.1881648578160996E-2</v>
      </c>
      <c r="GT81" s="140">
        <f t="shared" si="408"/>
        <v>5.8137635006979452E-2</v>
      </c>
      <c r="GU81" s="140">
        <f t="shared" si="287"/>
        <v>222.77393488137957</v>
      </c>
      <c r="GV81" s="140">
        <f t="shared" si="324"/>
        <v>209.29548602512602</v>
      </c>
      <c r="GW81" s="141">
        <f t="shared" ca="1" si="409"/>
        <v>5.7768530020256082E-3</v>
      </c>
      <c r="GX81" s="141">
        <f t="shared" ca="1" si="410"/>
        <v>3.0077930949475246E-3</v>
      </c>
      <c r="GY81" s="141">
        <f t="shared" ca="1" si="325"/>
        <v>20.796670807292191</v>
      </c>
      <c r="GZ81" s="141">
        <f t="shared" ca="1" si="326"/>
        <v>10.828055141811088</v>
      </c>
      <c r="HA81" s="141">
        <f t="shared" ca="1" si="411"/>
        <v>1.2662269909269516E-2</v>
      </c>
      <c r="HB81" s="141">
        <f t="shared" ca="1" si="412"/>
        <v>9.896524739085746E-3</v>
      </c>
      <c r="HC81" s="141">
        <f t="shared" ca="1" si="327"/>
        <v>45.584171673370257</v>
      </c>
      <c r="HD81" s="141">
        <f t="shared" ca="1" si="328"/>
        <v>35.627489060708683</v>
      </c>
      <c r="HE81" s="137">
        <f t="shared" si="367"/>
        <v>6.608292847490091</v>
      </c>
      <c r="HF81" s="250">
        <f t="shared" si="368"/>
        <v>6.872725927086182</v>
      </c>
      <c r="HG81" s="137">
        <v>2.3130441088102138</v>
      </c>
      <c r="HH81" s="251">
        <v>2.3101457875278228</v>
      </c>
      <c r="HI81" s="137">
        <f t="shared" ca="1" si="369"/>
        <v>1.0930768551210415</v>
      </c>
      <c r="HJ81" s="251">
        <f t="shared" ca="1" si="370"/>
        <v>0.91696442411004497</v>
      </c>
      <c r="HK81" s="137">
        <f t="shared" ca="1" si="371"/>
        <v>0.56467586366198663</v>
      </c>
      <c r="HL81" s="251">
        <f t="shared" ca="1" si="372"/>
        <v>0.60349140069992779</v>
      </c>
      <c r="HM81" s="137">
        <f t="shared" ca="1" si="373"/>
        <v>0.63561630904709121</v>
      </c>
      <c r="HN81" s="251">
        <f t="shared" ca="1" si="374"/>
        <v>0.67443184608503237</v>
      </c>
      <c r="HO81" s="137">
        <f t="shared" ca="1" si="375"/>
        <v>0.26315541980393231</v>
      </c>
      <c r="HP81" s="251">
        <f t="shared" ca="1" si="376"/>
        <v>0.30549446264191127</v>
      </c>
      <c r="JN81" s="143">
        <f t="shared" si="413"/>
        <v>19.166990156631783</v>
      </c>
      <c r="JO81" s="143">
        <f t="shared" si="347"/>
        <v>2313.0441088102139</v>
      </c>
      <c r="JP81" s="143">
        <f t="shared" si="414"/>
        <v>2837.3518029118604</v>
      </c>
      <c r="JQ81" s="143">
        <f t="shared" si="415"/>
        <v>0.74100679821438264</v>
      </c>
      <c r="JR81" s="143">
        <f t="shared" ca="1" si="348"/>
        <v>0.78625827526439274</v>
      </c>
      <c r="JS81" s="143">
        <f t="shared" si="416"/>
        <v>86.252364501953139</v>
      </c>
      <c r="JT81" s="143">
        <f t="shared" ca="1" si="349"/>
        <v>100.12949672383945</v>
      </c>
      <c r="JU81" s="143">
        <f t="shared" si="423"/>
        <v>0.27693897869369982</v>
      </c>
      <c r="JV81" s="143">
        <f t="shared" si="417"/>
        <v>0.33971393260517002</v>
      </c>
      <c r="JW81" s="143">
        <f t="shared" ca="1" si="418"/>
        <v>0.23817521664695296</v>
      </c>
      <c r="JX81" s="143">
        <f t="shared" ca="1" si="419"/>
        <v>0.25271999596065448</v>
      </c>
      <c r="JY81" s="143">
        <f t="shared" si="420"/>
        <v>0.76018682578731667</v>
      </c>
      <c r="JZ81" s="143">
        <f t="shared" si="421"/>
        <v>0.63145446152809026</v>
      </c>
      <c r="KA81" s="143">
        <f t="shared" si="350"/>
        <v>0.26126318744688665</v>
      </c>
      <c r="KB81" s="143">
        <f t="shared" si="351"/>
        <v>0.32048484208034911</v>
      </c>
      <c r="KC81" s="143">
        <f t="shared" ca="1" si="352"/>
        <v>0.48397701702149637</v>
      </c>
      <c r="KD81" s="143">
        <f t="shared" ca="1" si="353"/>
        <v>0.65814047397274245</v>
      </c>
      <c r="KE81" s="143">
        <f t="shared" ca="1" si="354"/>
        <v>0.45296565459543042</v>
      </c>
      <c r="KF81" s="143">
        <f t="shared" ca="1" si="355"/>
        <v>0.41401615417711973</v>
      </c>
      <c r="KG81" s="142">
        <f t="shared" si="356"/>
        <v>0.16846098606480503</v>
      </c>
      <c r="KH81" s="142">
        <f t="shared" ca="1" si="357"/>
        <v>9.3570889003931082E-2</v>
      </c>
      <c r="KI81" s="142">
        <f t="shared" ca="1" si="358"/>
        <v>289.15477736204201</v>
      </c>
      <c r="KJ81" s="142">
        <f t="shared" ca="1" si="359"/>
        <v>255.7510302276458</v>
      </c>
    </row>
    <row r="82" spans="1:296" x14ac:dyDescent="0.3">
      <c r="A82" s="195">
        <v>41401</v>
      </c>
      <c r="B82" s="196">
        <v>89</v>
      </c>
      <c r="C82" s="177">
        <v>24</v>
      </c>
      <c r="D82" s="166">
        <v>4.2</v>
      </c>
      <c r="E82" s="166">
        <v>50016</v>
      </c>
      <c r="F82" s="166">
        <v>300</v>
      </c>
      <c r="G82" s="166">
        <v>11.7</v>
      </c>
      <c r="H82" s="166">
        <v>0.85</v>
      </c>
      <c r="I82" s="166">
        <v>1.4</v>
      </c>
      <c r="J82" s="166">
        <v>1.33</v>
      </c>
      <c r="K82" s="166">
        <v>0.91</v>
      </c>
      <c r="L82" s="166">
        <v>19145.552240088582</v>
      </c>
      <c r="M82" s="169">
        <v>19</v>
      </c>
      <c r="N82" s="167">
        <v>51666.204445585608</v>
      </c>
      <c r="O82" s="176">
        <v>17</v>
      </c>
      <c r="P82" s="166">
        <v>2</v>
      </c>
      <c r="Q82" s="166">
        <v>5</v>
      </c>
      <c r="R82" s="168">
        <v>355.49893188476562</v>
      </c>
      <c r="S82" s="169">
        <v>84.157430807710625</v>
      </c>
      <c r="T82" s="166">
        <v>180</v>
      </c>
      <c r="U82" s="170">
        <v>3.350421667098999</v>
      </c>
      <c r="V82" s="176">
        <v>17</v>
      </c>
      <c r="W82" s="166">
        <v>1250</v>
      </c>
      <c r="X82" s="169">
        <v>62559.781336694956</v>
      </c>
      <c r="Y82" s="169">
        <v>8891.0916713979095</v>
      </c>
      <c r="Z82" s="169">
        <v>322.06936645507812</v>
      </c>
      <c r="AA82" s="169">
        <v>10.865231513977051</v>
      </c>
      <c r="AB82" s="169">
        <v>13.710333824157715</v>
      </c>
      <c r="AC82" s="212">
        <v>37</v>
      </c>
      <c r="AD82" s="212">
        <v>28.457511901855469</v>
      </c>
      <c r="AE82" s="254">
        <v>20</v>
      </c>
      <c r="AF82" s="254">
        <v>10</v>
      </c>
      <c r="AG82" s="217">
        <v>5000000</v>
      </c>
      <c r="AH82" s="218">
        <v>300000</v>
      </c>
      <c r="AI82" s="219">
        <v>5000000</v>
      </c>
      <c r="AJ82" s="225">
        <f t="shared" si="330"/>
        <v>300000</v>
      </c>
      <c r="AK82" s="220">
        <v>2750000</v>
      </c>
      <c r="AL82" s="226">
        <f t="shared" si="331"/>
        <v>300000</v>
      </c>
      <c r="AM82" s="221">
        <v>14.407</v>
      </c>
      <c r="BM82" s="197">
        <f t="shared" si="332"/>
        <v>8.5424880981445313</v>
      </c>
      <c r="BN82" s="196">
        <f t="shared" si="333"/>
        <v>180</v>
      </c>
      <c r="BO82" s="197">
        <f t="shared" si="334"/>
        <v>2.8451023101806641</v>
      </c>
      <c r="BP82" s="196">
        <f t="shared" si="294"/>
        <v>12.644027344479488</v>
      </c>
      <c r="BQ82" s="115">
        <f t="shared" si="335"/>
        <v>659.74492511188635</v>
      </c>
      <c r="BR82" s="184">
        <f t="shared" si="336"/>
        <v>1.0041987768</v>
      </c>
      <c r="BS82" s="115">
        <f t="shared" si="337"/>
        <v>6863.8528613899143</v>
      </c>
      <c r="BT82" s="196">
        <v>900</v>
      </c>
      <c r="BU82" s="115">
        <f t="shared" si="288"/>
        <v>1.1850729520000001</v>
      </c>
      <c r="BV82" s="115">
        <f t="shared" si="269"/>
        <v>1.0594578504096375</v>
      </c>
      <c r="BW82" s="115">
        <f t="shared" si="270"/>
        <v>418.58840815719054</v>
      </c>
      <c r="BX82" s="115">
        <f t="shared" si="377"/>
        <v>1006.9818938684191</v>
      </c>
      <c r="BY82" s="115"/>
      <c r="BZ82" s="115">
        <f t="shared" si="378"/>
        <v>588.39348571122855</v>
      </c>
      <c r="CA82" s="115">
        <f t="shared" si="379"/>
        <v>9503.2854459335467</v>
      </c>
      <c r="CB82" s="115">
        <f t="shared" si="380"/>
        <v>2152.7585185660669</v>
      </c>
      <c r="CC82" s="115">
        <f t="shared" si="381"/>
        <v>797.73134333702421</v>
      </c>
      <c r="CD82" s="129">
        <f t="shared" si="271"/>
        <v>0.15761718860528118</v>
      </c>
      <c r="CE82" s="115">
        <f t="shared" si="382"/>
        <v>18.945256850298712</v>
      </c>
      <c r="CF82" s="115">
        <f t="shared" si="383"/>
        <v>23.377064113252953</v>
      </c>
      <c r="CG82" s="115">
        <f t="shared" si="384"/>
        <v>0.02</v>
      </c>
      <c r="CH82" s="115">
        <f t="shared" si="385"/>
        <v>0.05</v>
      </c>
      <c r="CI82" s="136">
        <v>30</v>
      </c>
      <c r="CJ82" s="115">
        <f t="shared" si="257"/>
        <v>165</v>
      </c>
      <c r="CK82" s="115">
        <f t="shared" si="386"/>
        <v>453</v>
      </c>
      <c r="CL82" s="115">
        <f t="shared" si="387"/>
        <v>628.49893188476562</v>
      </c>
      <c r="CM82" s="115">
        <f t="shared" ca="1" si="388"/>
        <v>2816.5993052117487</v>
      </c>
      <c r="CN82" s="115">
        <f t="shared" ca="1" si="258"/>
        <v>125.80344444444444</v>
      </c>
      <c r="CO82" s="115">
        <f t="shared" ca="1" si="259"/>
        <v>690.58718083896258</v>
      </c>
      <c r="CP82" s="115">
        <f t="shared" ca="1" si="260"/>
        <v>2790.6388281929471</v>
      </c>
      <c r="CQ82" s="115">
        <f t="shared" si="272"/>
        <v>1.072449112508886</v>
      </c>
      <c r="CR82" s="115">
        <f t="shared" ca="1" si="338"/>
        <v>551.91023639538605</v>
      </c>
      <c r="CS82" s="115">
        <f t="shared" ca="1" si="339"/>
        <v>27.410956371409469</v>
      </c>
      <c r="CT82" s="115">
        <f t="shared" si="273"/>
        <v>1.1123558353470016</v>
      </c>
      <c r="CU82" s="115">
        <f t="shared" ca="1" si="274"/>
        <v>1.0127402691271123</v>
      </c>
      <c r="CV82" s="115">
        <f t="shared" si="360"/>
        <v>115.39348571122855</v>
      </c>
      <c r="CW82" s="115">
        <f t="shared" si="261"/>
        <v>473</v>
      </c>
      <c r="CX82" s="115">
        <f t="shared" si="262"/>
        <v>438</v>
      </c>
      <c r="CY82" s="115">
        <f t="shared" ca="1" si="275"/>
        <v>445.5890436285905</v>
      </c>
      <c r="CZ82" s="115">
        <f t="shared" ca="1" si="263"/>
        <v>182.90988825617512</v>
      </c>
      <c r="DA82" s="115">
        <v>0.21890000000000001</v>
      </c>
      <c r="DB82" s="115">
        <v>2.7E-2</v>
      </c>
      <c r="DC82" s="115">
        <v>1.06</v>
      </c>
      <c r="DD82" s="138">
        <f t="shared" si="389"/>
        <v>8.3563841835986477</v>
      </c>
      <c r="DE82" s="138">
        <f t="shared" si="276"/>
        <v>8.3563841835986477</v>
      </c>
      <c r="DF82" s="115">
        <f t="shared" si="264"/>
        <v>628.49893188476562</v>
      </c>
      <c r="DG82" s="115">
        <v>588.39348571122855</v>
      </c>
      <c r="DH82" s="115">
        <f t="shared" si="277"/>
        <v>1.1123558353470016</v>
      </c>
      <c r="DI82" s="115">
        <f t="shared" si="299"/>
        <v>1.101765381493693</v>
      </c>
      <c r="DJ82" s="138">
        <f t="shared" si="340"/>
        <v>2.3016441913012775</v>
      </c>
      <c r="DK82" s="138">
        <f t="shared" si="341"/>
        <v>1.8481749524016042</v>
      </c>
      <c r="DL82" s="115">
        <f t="shared" si="278"/>
        <v>628.49893188476562</v>
      </c>
      <c r="DM82" s="115">
        <f t="shared" si="293"/>
        <v>588.39348571122855</v>
      </c>
      <c r="DN82" s="115">
        <f t="shared" si="300"/>
        <v>12.75897304761112</v>
      </c>
      <c r="DO82" s="115">
        <f t="shared" si="301"/>
        <v>1.1123558353470016</v>
      </c>
      <c r="DP82" s="115">
        <f t="shared" si="292"/>
        <v>1.101765381493693</v>
      </c>
      <c r="DQ82" s="115">
        <v>298.14999999999998</v>
      </c>
      <c r="DR82" s="138">
        <f t="shared" si="302"/>
        <v>1.5328950314066507</v>
      </c>
      <c r="DS82" s="138">
        <f t="shared" si="303"/>
        <v>1.2308845182994688</v>
      </c>
      <c r="DT82" s="115">
        <f t="shared" si="289"/>
        <v>628.49893188476562</v>
      </c>
      <c r="DU82" s="139">
        <f t="shared" si="422"/>
        <v>6.398644140994163</v>
      </c>
      <c r="DV82" s="115">
        <f t="shared" si="279"/>
        <v>1.1123558353470016</v>
      </c>
      <c r="DW82" s="115">
        <v>298.14999999999998</v>
      </c>
      <c r="DX82" s="138">
        <f t="shared" si="342"/>
        <v>0.76874915989462644</v>
      </c>
      <c r="DY82" s="138">
        <f t="shared" si="343"/>
        <v>0.61729043410213569</v>
      </c>
      <c r="DZ82" s="138">
        <f t="shared" si="290"/>
        <v>2.1527585185660669</v>
      </c>
      <c r="EA82" s="138">
        <f t="shared" si="280"/>
        <v>2.6394325845436324</v>
      </c>
      <c r="EB82" s="115">
        <f t="shared" si="291"/>
        <v>23.377064113252953</v>
      </c>
      <c r="EC82" s="115">
        <v>30</v>
      </c>
      <c r="ED82" s="198">
        <f t="shared" ca="1" si="265"/>
        <v>125.80344444444444</v>
      </c>
      <c r="EE82" s="198">
        <v>104.83</v>
      </c>
      <c r="EF82" s="198">
        <f t="shared" ca="1" si="295"/>
        <v>0.42491111111111107</v>
      </c>
      <c r="EG82" s="199">
        <v>0.36720000000000003</v>
      </c>
      <c r="EH82" s="138">
        <f t="shared" ca="1" si="304"/>
        <v>8.8058517343383616E-2</v>
      </c>
      <c r="EI82" s="138">
        <f t="shared" ca="1" si="281"/>
        <v>8.8058517343383616E-2</v>
      </c>
      <c r="EJ82" s="115">
        <f t="shared" si="296"/>
        <v>12.75897304761112</v>
      </c>
      <c r="EK82" s="115">
        <v>435</v>
      </c>
      <c r="EL82" s="115">
        <f t="shared" ca="1" si="297"/>
        <v>445.5890436285905</v>
      </c>
      <c r="EM82" s="115">
        <f t="shared" ca="1" si="305"/>
        <v>1.0625543003464135</v>
      </c>
      <c r="EN82" s="115">
        <f t="shared" ca="1" si="306"/>
        <v>1.065824888500901</v>
      </c>
      <c r="EO82" s="115">
        <v>298.14999999999998</v>
      </c>
      <c r="EP82" s="138">
        <f t="shared" ca="1" si="307"/>
        <v>0.32840779476510973</v>
      </c>
      <c r="EQ82" s="138">
        <f t="shared" ca="1" si="308"/>
        <v>0.37590240782034717</v>
      </c>
      <c r="ER82" s="115">
        <f t="shared" si="282"/>
        <v>0.93067268530527758</v>
      </c>
      <c r="ES82" s="115">
        <f t="shared" si="298"/>
        <v>453</v>
      </c>
      <c r="ET82" s="115">
        <f t="shared" ca="1" si="390"/>
        <v>2816.5993052117487</v>
      </c>
      <c r="EU82" s="115">
        <f t="shared" ca="1" si="391"/>
        <v>6.5855309782608691</v>
      </c>
      <c r="EV82" s="138">
        <f t="shared" ca="1" si="309"/>
        <v>0.79830676127419609</v>
      </c>
      <c r="EW82" s="138">
        <f t="shared" ca="1" si="344"/>
        <v>0.61151475225857177</v>
      </c>
      <c r="EX82" s="115">
        <v>21.47</v>
      </c>
      <c r="EY82" s="115">
        <f t="shared" ca="1" si="392"/>
        <v>119.18229369947645</v>
      </c>
      <c r="EZ82" s="115">
        <f t="shared" ca="1" si="393"/>
        <v>0.40340197152031793</v>
      </c>
      <c r="FA82" s="138">
        <f t="shared" ca="1" si="310"/>
        <v>7.6404771373193028E-2</v>
      </c>
      <c r="FB82" s="138">
        <f t="shared" ca="1" si="283"/>
        <v>7.6404771373193028E-2</v>
      </c>
      <c r="FC82" s="115">
        <f t="shared" si="266"/>
        <v>21.47</v>
      </c>
      <c r="FD82" s="115">
        <v>37</v>
      </c>
      <c r="FE82" s="115">
        <f t="shared" ca="1" si="267"/>
        <v>154.93355555555553</v>
      </c>
      <c r="FF82" s="115">
        <f t="shared" ca="1" si="268"/>
        <v>0.52252222222222222</v>
      </c>
      <c r="FG82" s="138">
        <f t="shared" ca="1" si="311"/>
        <v>8.1462225449999703E-2</v>
      </c>
      <c r="FH82" s="138">
        <f t="shared" ca="1" si="312"/>
        <v>8.1462225449999703E-2</v>
      </c>
      <c r="FI82" s="115">
        <f t="shared" si="284"/>
        <v>90.179422607421884</v>
      </c>
      <c r="FJ82" s="115">
        <f t="shared" ca="1" si="394"/>
        <v>45.556645578384405</v>
      </c>
      <c r="FK82" s="115">
        <f t="shared" ca="1" si="395"/>
        <v>0.15808739500045776</v>
      </c>
      <c r="FL82" s="138">
        <f t="shared" ca="1" si="313"/>
        <v>0.2771726560306435</v>
      </c>
      <c r="FM82" s="138">
        <f t="shared" ca="1" si="345"/>
        <v>0.32018398283526678</v>
      </c>
      <c r="FN82" s="115">
        <f t="shared" si="285"/>
        <v>90.179422607421884</v>
      </c>
      <c r="FO82" s="115">
        <f t="shared" ca="1" si="396"/>
        <v>57.46371486896939</v>
      </c>
      <c r="FP82" s="115">
        <f t="shared" ca="1" si="397"/>
        <v>0.19776076610353258</v>
      </c>
      <c r="FQ82" s="138">
        <f t="shared" ca="1" si="314"/>
        <v>0.28424756505566856</v>
      </c>
      <c r="FR82" s="138">
        <f t="shared" ca="1" si="346"/>
        <v>0.32835676792262131</v>
      </c>
      <c r="FS82" s="139">
        <f t="shared" si="315"/>
        <v>3.9019814737313032</v>
      </c>
      <c r="FT82" s="249">
        <f t="shared" si="316"/>
        <v>3.8687766466534113</v>
      </c>
      <c r="FU82" s="139">
        <f t="shared" ca="1" si="317"/>
        <v>0.49423899271072846</v>
      </c>
      <c r="FV82" s="249">
        <f t="shared" ca="1" si="318"/>
        <v>0.33152587556393343</v>
      </c>
      <c r="FW82" s="139">
        <f t="shared" ca="1" si="286"/>
        <v>0.80032421622241445</v>
      </c>
      <c r="FX82" s="249">
        <f t="shared" ca="1" si="319"/>
        <v>0.61463008326911961</v>
      </c>
      <c r="FY82" s="249">
        <f t="shared" si="398"/>
        <v>0.15000000000000002</v>
      </c>
      <c r="FZ82" s="139">
        <f t="shared" si="399"/>
        <v>1050000</v>
      </c>
      <c r="GA82" s="139">
        <f t="shared" si="320"/>
        <v>3.3757716049382713E-2</v>
      </c>
      <c r="GB82" s="139">
        <f t="shared" si="361"/>
        <v>121.52777777777777</v>
      </c>
      <c r="GC82" s="139">
        <f t="shared" si="400"/>
        <v>1050000</v>
      </c>
      <c r="GD82" s="139">
        <f t="shared" si="362"/>
        <v>6.7515432098765427E-2</v>
      </c>
      <c r="GE82" s="139">
        <f t="shared" si="363"/>
        <v>243.05555555555554</v>
      </c>
      <c r="GF82" s="139">
        <f t="shared" si="364"/>
        <v>4.5814043209876545E-2</v>
      </c>
      <c r="GG82" s="139">
        <f t="shared" si="401"/>
        <v>712500</v>
      </c>
      <c r="GH82" s="139">
        <f t="shared" si="365"/>
        <v>164.93055555555554</v>
      </c>
      <c r="GI82" s="137">
        <f t="shared" si="402"/>
        <v>56.20154516866117</v>
      </c>
      <c r="GJ82" s="137">
        <f t="shared" si="321"/>
        <v>0.2023255626071786</v>
      </c>
      <c r="GK82" s="251">
        <f t="shared" si="403"/>
        <v>48.313977477582533</v>
      </c>
      <c r="GL82" s="137">
        <f t="shared" si="329"/>
        <v>0.17393031891929572</v>
      </c>
      <c r="GM82" s="137">
        <f t="shared" ca="1" si="404"/>
        <v>7.030973982485059</v>
      </c>
      <c r="GN82" s="137">
        <f t="shared" ca="1" si="322"/>
        <v>2.531150633694601E-2</v>
      </c>
      <c r="GO82" s="137">
        <f t="shared" ca="1" si="366"/>
        <v>8.8999670664367134E-2</v>
      </c>
      <c r="GP82" s="137">
        <f t="shared" ca="1" si="405"/>
        <v>7.1257449282811054</v>
      </c>
      <c r="GQ82" s="137">
        <f t="shared" ca="1" si="323"/>
        <v>2.5652681741811775E-2</v>
      </c>
      <c r="GR82" s="137">
        <f t="shared" ca="1" si="406"/>
        <v>9.0199302889633529E-2</v>
      </c>
      <c r="GS82" s="140">
        <f t="shared" si="407"/>
        <v>5.621584709204689E-2</v>
      </c>
      <c r="GT82" s="140">
        <f t="shared" si="408"/>
        <v>5.5737465148335698E-2</v>
      </c>
      <c r="GU82" s="140">
        <f t="shared" si="287"/>
        <v>202.37704953136881</v>
      </c>
      <c r="GV82" s="140">
        <f t="shared" si="324"/>
        <v>200.65487453400851</v>
      </c>
      <c r="GW82" s="141">
        <f t="shared" ca="1" si="409"/>
        <v>4.7422537778769869E-3</v>
      </c>
      <c r="GX82" s="141">
        <f t="shared" ca="1" si="410"/>
        <v>3.1810113306402258E-3</v>
      </c>
      <c r="GY82" s="141">
        <f t="shared" ca="1" si="325"/>
        <v>17.072113600357152</v>
      </c>
      <c r="GZ82" s="141">
        <f t="shared" ca="1" si="326"/>
        <v>11.451640790304813</v>
      </c>
      <c r="HA82" s="141">
        <f t="shared" ca="1" si="411"/>
        <v>1.3022842166810315E-2</v>
      </c>
      <c r="HB82" s="141">
        <f t="shared" ca="1" si="412"/>
        <v>9.6324829530745823E-3</v>
      </c>
      <c r="HC82" s="141">
        <f t="shared" ca="1" si="327"/>
        <v>46.882231800517133</v>
      </c>
      <c r="HD82" s="141">
        <f t="shared" ca="1" si="328"/>
        <v>34.676938631068495</v>
      </c>
      <c r="HE82" s="137">
        <f t="shared" si="367"/>
        <v>6.0547399922973701</v>
      </c>
      <c r="HF82" s="250">
        <f t="shared" si="368"/>
        <v>6.5082092311970436</v>
      </c>
      <c r="HG82" s="137">
        <v>2.1527585185660669</v>
      </c>
      <c r="HH82" s="251">
        <v>1.7289116635234769</v>
      </c>
      <c r="HI82" s="137">
        <f t="shared" ca="1" si="369"/>
        <v>1.1569926235863035</v>
      </c>
      <c r="HJ82" s="251">
        <f t="shared" ca="1" si="370"/>
        <v>0.85498211047912154</v>
      </c>
      <c r="HK82" s="137">
        <f t="shared" ca="1" si="371"/>
        <v>0.71024824393081243</v>
      </c>
      <c r="HL82" s="251">
        <f t="shared" ca="1" si="372"/>
        <v>0.52345623491518811</v>
      </c>
      <c r="HM82" s="137">
        <f t="shared" ca="1" si="373"/>
        <v>0.79830676127419609</v>
      </c>
      <c r="HN82" s="251">
        <f t="shared" ca="1" si="374"/>
        <v>0.61151475225857177</v>
      </c>
      <c r="HO82" s="137">
        <f t="shared" ca="1" si="375"/>
        <v>0.2771726560306435</v>
      </c>
      <c r="HP82" s="251">
        <f t="shared" ca="1" si="376"/>
        <v>0.32018398283526678</v>
      </c>
      <c r="JN82" s="143">
        <f t="shared" si="413"/>
        <v>19.157617188605283</v>
      </c>
      <c r="JO82" s="143">
        <f t="shared" si="347"/>
        <v>2152.7585185660669</v>
      </c>
      <c r="JP82" s="143">
        <f t="shared" si="414"/>
        <v>2639.4325845436324</v>
      </c>
      <c r="JQ82" s="143">
        <f t="shared" si="415"/>
        <v>0.93067268530527758</v>
      </c>
      <c r="JR82" s="143">
        <f t="shared" ca="1" si="348"/>
        <v>0.71290900214836039</v>
      </c>
      <c r="JS82" s="143">
        <f t="shared" si="416"/>
        <v>90.179422607421884</v>
      </c>
      <c r="JT82" s="143">
        <f t="shared" ca="1" si="349"/>
        <v>104.17335935560975</v>
      </c>
      <c r="JU82" s="143">
        <f t="shared" si="423"/>
        <v>0.27307552878658198</v>
      </c>
      <c r="JV82" s="143">
        <f t="shared" si="417"/>
        <v>0.3348097069432952</v>
      </c>
      <c r="JW82" s="143">
        <f t="shared" ca="1" si="418"/>
        <v>0.31688206682645809</v>
      </c>
      <c r="JX82" s="143">
        <f t="shared" ca="1" si="419"/>
        <v>0.24273633644449158</v>
      </c>
      <c r="JY82" s="143">
        <f t="shared" si="420"/>
        <v>0.74060201826138827</v>
      </c>
      <c r="JZ82" s="143">
        <f t="shared" si="421"/>
        <v>0.47567055933338942</v>
      </c>
      <c r="KA82" s="143">
        <f t="shared" si="350"/>
        <v>0.25761842338356794</v>
      </c>
      <c r="KB82" s="143">
        <f t="shared" si="351"/>
        <v>0.3158582140974483</v>
      </c>
      <c r="KC82" s="143">
        <f t="shared" ca="1" si="352"/>
        <v>0.5896685513340848</v>
      </c>
      <c r="KD82" s="143">
        <f t="shared" ca="1" si="353"/>
        <v>0.61224232472168294</v>
      </c>
      <c r="KE82" s="143">
        <f t="shared" ca="1" si="354"/>
        <v>0.5235915922758978</v>
      </c>
      <c r="KF82" s="143">
        <f t="shared" ca="1" si="355"/>
        <v>0.34720068709958279</v>
      </c>
      <c r="KG82" s="142">
        <f t="shared" si="356"/>
        <v>0.17393031891929572</v>
      </c>
      <c r="KH82" s="142">
        <f t="shared" ca="1" si="357"/>
        <v>9.0199302889633529E-2</v>
      </c>
      <c r="KI82" s="142">
        <f t="shared" ca="1" si="358"/>
        <v>266.33139493224309</v>
      </c>
      <c r="KJ82" s="142">
        <f t="shared" ca="1" si="359"/>
        <v>246.78345395538184</v>
      </c>
    </row>
    <row r="83" spans="1:296" x14ac:dyDescent="0.3">
      <c r="A83" s="195">
        <v>41410</v>
      </c>
      <c r="B83" s="196">
        <v>97</v>
      </c>
      <c r="C83" s="177">
        <v>24</v>
      </c>
      <c r="D83" s="166">
        <v>4.2</v>
      </c>
      <c r="E83" s="166">
        <v>50016</v>
      </c>
      <c r="F83" s="166">
        <v>300</v>
      </c>
      <c r="G83" s="166">
        <v>11.7</v>
      </c>
      <c r="H83" s="166">
        <v>0.85</v>
      </c>
      <c r="I83" s="166">
        <v>1.4</v>
      </c>
      <c r="J83" s="166">
        <v>1.33</v>
      </c>
      <c r="K83" s="166">
        <v>0.91</v>
      </c>
      <c r="L83" s="166">
        <v>20302.744733728468</v>
      </c>
      <c r="M83" s="169">
        <v>19</v>
      </c>
      <c r="N83" s="167">
        <v>56903.291667751968</v>
      </c>
      <c r="O83" s="176">
        <v>17</v>
      </c>
      <c r="P83" s="166">
        <v>2</v>
      </c>
      <c r="Q83" s="166">
        <v>5</v>
      </c>
      <c r="R83" s="168">
        <v>356.52383422851563</v>
      </c>
      <c r="S83" s="169">
        <v>75.186577022017445</v>
      </c>
      <c r="T83" s="166">
        <v>180</v>
      </c>
      <c r="U83" s="170">
        <v>2.9590914249420166</v>
      </c>
      <c r="V83" s="176">
        <v>17</v>
      </c>
      <c r="W83" s="166">
        <v>1250</v>
      </c>
      <c r="X83" s="169">
        <v>69771.727802440524</v>
      </c>
      <c r="Y83" s="169">
        <v>10242.249941255897</v>
      </c>
      <c r="Z83" s="169">
        <v>343.349853515625</v>
      </c>
      <c r="AA83" s="169">
        <v>12.301230430603027</v>
      </c>
      <c r="AB83" s="169">
        <v>15.634121894836426</v>
      </c>
      <c r="AC83" s="212">
        <v>37</v>
      </c>
      <c r="AD83" s="212">
        <v>29.008356094360352</v>
      </c>
      <c r="AE83" s="254">
        <v>20</v>
      </c>
      <c r="AF83" s="254">
        <v>10</v>
      </c>
      <c r="AG83" s="217">
        <v>5000000</v>
      </c>
      <c r="AH83" s="218">
        <v>300000</v>
      </c>
      <c r="AI83" s="219">
        <v>5000000</v>
      </c>
      <c r="AJ83" s="225">
        <f t="shared" si="330"/>
        <v>300000</v>
      </c>
      <c r="AK83" s="220">
        <v>2750000</v>
      </c>
      <c r="AL83" s="226">
        <f t="shared" si="331"/>
        <v>300000</v>
      </c>
      <c r="AM83" s="221">
        <v>14.407</v>
      </c>
      <c r="BK83" s="283"/>
      <c r="BM83" s="197">
        <f t="shared" si="332"/>
        <v>7.9916439056396484</v>
      </c>
      <c r="BN83" s="196">
        <f t="shared" si="333"/>
        <v>180</v>
      </c>
      <c r="BO83" s="197">
        <f t="shared" si="334"/>
        <v>3.3328914642333984</v>
      </c>
      <c r="BP83" s="196">
        <f t="shared" si="294"/>
        <v>12.650314949070639</v>
      </c>
      <c r="BQ83" s="115">
        <f t="shared" si="335"/>
        <v>659.74492511188635</v>
      </c>
      <c r="BR83" s="184">
        <f t="shared" si="336"/>
        <v>1.0041987768</v>
      </c>
      <c r="BS83" s="115">
        <f t="shared" si="337"/>
        <v>6863.8528613899143</v>
      </c>
      <c r="BT83" s="196">
        <v>900</v>
      </c>
      <c r="BU83" s="115">
        <f t="shared" ref="BU83:BU105" si="424">0.991615+(0.0000699703*BT83)+(0.00000027129*BT83^2)-(0.000000000122442*BT83^3)</f>
        <v>1.1850729520000001</v>
      </c>
      <c r="BV83" s="115">
        <f t="shared" ref="BV83:BV105" si="425">0.991615+(0.0000699703*BW83)+(0.00000027129*BW83^2)-(0.000000000122442*BW83^3)</f>
        <v>1.0614792254689254</v>
      </c>
      <c r="BW83" s="115">
        <f t="shared" ref="BW83:BW105" si="426">BX83-BZ83</f>
        <v>427.23660170158769</v>
      </c>
      <c r="BX83" s="115">
        <f t="shared" si="377"/>
        <v>1027.7865175612169</v>
      </c>
      <c r="BY83" s="115"/>
      <c r="BZ83" s="115">
        <f t="shared" si="378"/>
        <v>600.54991585962921</v>
      </c>
      <c r="CA83" s="115">
        <f t="shared" si="379"/>
        <v>9704.4503055355744</v>
      </c>
      <c r="CB83" s="115">
        <f t="shared" si="380"/>
        <v>2370.9704861563318</v>
      </c>
      <c r="CC83" s="115">
        <f t="shared" si="381"/>
        <v>845.94769723868615</v>
      </c>
      <c r="CD83" s="129">
        <f t="shared" ref="CD83:CD105" si="427">(0.0002778/1.406)*CC83</f>
        <v>0.16714386222824112</v>
      </c>
      <c r="CE83" s="115">
        <f t="shared" si="382"/>
        <v>20.197050206801471</v>
      </c>
      <c r="CF83" s="115">
        <f t="shared" si="383"/>
        <v>20.885160283893736</v>
      </c>
      <c r="CG83" s="115">
        <f t="shared" si="384"/>
        <v>0.02</v>
      </c>
      <c r="CH83" s="115">
        <f t="shared" si="385"/>
        <v>0.05</v>
      </c>
      <c r="CI83" s="136">
        <v>30</v>
      </c>
      <c r="CJ83" s="115">
        <f t="shared" ref="CJ83:CJ105" si="428">CX83-273</f>
        <v>165</v>
      </c>
      <c r="CK83" s="115">
        <f t="shared" si="386"/>
        <v>453</v>
      </c>
      <c r="CL83" s="115">
        <f t="shared" si="387"/>
        <v>629.52383422851562</v>
      </c>
      <c r="CM83" s="115">
        <f t="shared" ca="1" si="388"/>
        <v>2816.5993052117487</v>
      </c>
      <c r="CN83" s="115">
        <f t="shared" ref="CN83:CN105" ca="1" si="429">FORECAST(CI83,OFFSET(h,MATCH(CI83,Temp,1)-1,0,2),OFFSET(Temp,MATCH(CI83,Temp,1)-1,0,2))</f>
        <v>125.80344444444444</v>
      </c>
      <c r="CO83" s="115">
        <f t="shared" ref="CO83:CO105" ca="1" si="430">FORECAST(CJ83,OFFSET(h,MATCH(CJ83,Temp,1)-1,0,2),OFFSET(Temp,MATCH(CJ83,Temp,1)-1,0,2))</f>
        <v>690.58718083896258</v>
      </c>
      <c r="CP83" s="115">
        <f t="shared" ref="CP83:CP105" ca="1" si="431">FORECAST(CJ83,OFFSET(KnownA,MATCH(CJ83,KnownB,1)-1,0,2),OFFSET(KnownB,MATCH(CJ83,KnownB,1)-1,0,2))</f>
        <v>2790.6388281929471</v>
      </c>
      <c r="CQ83" s="115">
        <f t="shared" ref="CQ83:CQ105" si="432">0.991615+(0.0000699703*CW83)+(0.00000027129*CW83^2)-(0.000000000122442*CW83^3)</f>
        <v>1.072449112508886</v>
      </c>
      <c r="CR83" s="115">
        <f t="shared" ca="1" si="338"/>
        <v>487.44695746592163</v>
      </c>
      <c r="CS83" s="115">
        <f t="shared" ca="1" si="339"/>
        <v>24.197315747901008</v>
      </c>
      <c r="CT83" s="115">
        <f t="shared" ref="CT83:CT105" si="433">0.991615+(0.0000699703*CL83)+(0.00000027129*CL83^2)-(0.000000000122442*CL83^3)</f>
        <v>1.1126283822752197</v>
      </c>
      <c r="CU83" s="115">
        <f t="shared" ref="CU83:CU105" ca="1" si="434">0.991615+(0.0000699703*CZ83)+(0.00000027129*CZ83^2)-(0.000000000122442*CZ83^3)</f>
        <v>1.0123977820036574</v>
      </c>
      <c r="CV83" s="115">
        <f t="shared" si="360"/>
        <v>127.54991585962921</v>
      </c>
      <c r="CW83" s="115">
        <f t="shared" ref="CW83:CW105" si="435">CK83+20</f>
        <v>473</v>
      </c>
      <c r="CX83" s="115">
        <f t="shared" ref="CX83:CX105" si="436">CK83-15</f>
        <v>438</v>
      </c>
      <c r="CY83" s="115">
        <f t="shared" ref="CY83:CY105" ca="1" si="437">CW83-CS83</f>
        <v>448.80268425209897</v>
      </c>
      <c r="CZ83" s="115">
        <f t="shared" ref="CZ83:CZ105" ca="1" si="438">CL83-CY83</f>
        <v>180.72114997641665</v>
      </c>
      <c r="DA83" s="115">
        <v>0.21890000000000001</v>
      </c>
      <c r="DB83" s="115">
        <v>2.7E-2</v>
      </c>
      <c r="DC83" s="115">
        <v>1.06</v>
      </c>
      <c r="DD83" s="138">
        <f t="shared" si="389"/>
        <v>8.8614594580001711</v>
      </c>
      <c r="DE83" s="138">
        <f t="shared" ref="DE83:DE105" si="439">DD83</f>
        <v>8.8614594580001711</v>
      </c>
      <c r="DF83" s="115">
        <f t="shared" ref="DF83:DF105" si="440">CL83</f>
        <v>629.52383422851562</v>
      </c>
      <c r="DG83" s="115">
        <v>600.54991585962921</v>
      </c>
      <c r="DH83" s="115">
        <f t="shared" ref="DH83:DH105" si="441">0.991615+(0.0000699703*DF83)+(0.00000027129*DF83^2)-(0.000000000122442*DF83^3)</f>
        <v>1.1126283822752197</v>
      </c>
      <c r="DI83" s="115">
        <f t="shared" si="299"/>
        <v>1.1049589057349281</v>
      </c>
      <c r="DJ83" s="138">
        <f t="shared" si="340"/>
        <v>2.3148497880898775</v>
      </c>
      <c r="DK83" s="138">
        <f t="shared" si="341"/>
        <v>1.9827832437715431</v>
      </c>
      <c r="DL83" s="115">
        <f t="shared" ref="DL83:DL105" si="442">DF83</f>
        <v>629.52383422851562</v>
      </c>
      <c r="DM83" s="115">
        <f t="shared" si="293"/>
        <v>600.54991585962921</v>
      </c>
      <c r="DN83" s="115">
        <f t="shared" si="300"/>
        <v>12.765317812244009</v>
      </c>
      <c r="DO83" s="115">
        <f t="shared" si="301"/>
        <v>1.1126283822752197</v>
      </c>
      <c r="DP83" s="115">
        <f t="shared" ref="DP83:DP105" si="443">0.991615+(0.0000699703*DM83)+(0.00000027129*DM83^2)-(0.000000000122442*DM83^3)</f>
        <v>1.1049589057349281</v>
      </c>
      <c r="DQ83" s="115">
        <v>298.14999999999998</v>
      </c>
      <c r="DR83" s="138">
        <f t="shared" si="302"/>
        <v>1.5416899588678588</v>
      </c>
      <c r="DS83" s="138">
        <f t="shared" si="303"/>
        <v>1.3205336403518475</v>
      </c>
      <c r="DT83" s="115">
        <f t="shared" ref="DT83:DT105" si="444">DL83</f>
        <v>629.52383422851562</v>
      </c>
      <c r="DU83" s="139">
        <f t="shared" si="422"/>
        <v>6.4018260499842317</v>
      </c>
      <c r="DV83" s="115">
        <f t="shared" ref="DV83:DV105" si="445">0.991615+(0.0000699703*DT83)+(0.00000027129*DT83^2)-(0.000000000122442*DT83^3)</f>
        <v>1.1126283822752197</v>
      </c>
      <c r="DW83" s="115">
        <v>298.14999999999998</v>
      </c>
      <c r="DX83" s="138">
        <f t="shared" si="342"/>
        <v>0.77315982922201909</v>
      </c>
      <c r="DY83" s="138">
        <f t="shared" si="343"/>
        <v>0.66224960341969541</v>
      </c>
      <c r="DZ83" s="138">
        <f t="shared" ref="DZ83:DZ105" si="446">CB83*0.001</f>
        <v>2.3709704861563319</v>
      </c>
      <c r="EA83" s="138">
        <f t="shared" ref="EA83:EA105" si="447">JP83*0.001</f>
        <v>2.8405974441456601</v>
      </c>
      <c r="EB83" s="115">
        <f t="shared" ref="EB83:EB105" si="448">CF83</f>
        <v>20.885160283893736</v>
      </c>
      <c r="EC83" s="115">
        <v>30</v>
      </c>
      <c r="ED83" s="198">
        <f t="shared" ref="ED83:ED105" ca="1" si="449">FORECAST(EC83,OFFSET(h,MATCH(EC83,Temp,1)-1,0,2),OFFSET(Temp,MATCH(EC83,Temp,1)-1,0,2))</f>
        <v>125.80344444444444</v>
      </c>
      <c r="EE83" s="198">
        <v>104.83</v>
      </c>
      <c r="EF83" s="198">
        <f t="shared" ref="EF83:EF105" ca="1" si="450">FORECAST(EC83,OFFSET(KnownYSAC,MATCH(EC83,KnownXSAC,1)-1,0,2),OFFSET(KnownXSAC,MATCH(EC83,KnownXSAC,1)-1,0,2))</f>
        <v>0.42491111111111107</v>
      </c>
      <c r="EG83" s="199">
        <v>0.36720000000000003</v>
      </c>
      <c r="EH83" s="138">
        <f t="shared" ca="1" si="304"/>
        <v>7.8671822952993034E-2</v>
      </c>
      <c r="EI83" s="138">
        <f t="shared" ref="EI83:EI105" ca="1" si="451">EH83</f>
        <v>7.8671822952993034E-2</v>
      </c>
      <c r="EJ83" s="115">
        <f t="shared" ref="EJ83:EJ105" si="452">DN83</f>
        <v>12.765317812244009</v>
      </c>
      <c r="EK83" s="115">
        <v>435</v>
      </c>
      <c r="EL83" s="115">
        <f t="shared" ref="EL83:EL105" ca="1" si="453">CY83</f>
        <v>448.80268425209897</v>
      </c>
      <c r="EM83" s="115">
        <f t="shared" ca="1" si="305"/>
        <v>1.062318227300493</v>
      </c>
      <c r="EN83" s="115">
        <f t="shared" ca="1" si="306"/>
        <v>1.0665934311099432</v>
      </c>
      <c r="EO83" s="115">
        <v>298.14999999999998</v>
      </c>
      <c r="EP83" s="138">
        <f t="shared" ca="1" si="307"/>
        <v>0.32849810464433638</v>
      </c>
      <c r="EQ83" s="138">
        <f t="shared" ca="1" si="308"/>
        <v>0.39094350492354635</v>
      </c>
      <c r="ER83" s="115">
        <f t="shared" ref="ER83:ER105" si="454">JQ83</f>
        <v>0.8219698402616713</v>
      </c>
      <c r="ES83" s="115">
        <f t="shared" ref="ES83:ES105" si="455">CK83</f>
        <v>453</v>
      </c>
      <c r="ET83" s="115">
        <f t="shared" ca="1" si="390"/>
        <v>2816.5993052117487</v>
      </c>
      <c r="EU83" s="115">
        <f t="shared" ca="1" si="391"/>
        <v>6.5855309782608691</v>
      </c>
      <c r="EV83" s="138">
        <f t="shared" ref="EV83:EV105" ca="1" si="456">(ER83*(ET83-EE83-DQ83*(EU83-EG83)))*0.001</f>
        <v>0.70506429532647441</v>
      </c>
      <c r="EW83" s="138">
        <f t="shared" ca="1" si="344"/>
        <v>0.67643820913796282</v>
      </c>
      <c r="EX83" s="115">
        <v>21.47</v>
      </c>
      <c r="EY83" s="115">
        <f t="shared" ca="1" si="392"/>
        <v>121.48763785001967</v>
      </c>
      <c r="EZ83" s="115">
        <f t="shared" ca="1" si="393"/>
        <v>0.4110831877602471</v>
      </c>
      <c r="FA83" s="138">
        <f t="shared" ca="1" si="310"/>
        <v>7.6730890552413999E-2</v>
      </c>
      <c r="FB83" s="138">
        <f t="shared" ref="FB83:FB105" ca="1" si="457">FA83</f>
        <v>7.6730890552413999E-2</v>
      </c>
      <c r="FC83" s="115">
        <f t="shared" ref="FC83:FC105" si="458">EX83</f>
        <v>21.47</v>
      </c>
      <c r="FD83" s="115">
        <v>37</v>
      </c>
      <c r="FE83" s="115">
        <f t="shared" ref="FE83:FE105" ca="1" si="459">FORECAST(FD83,OFFSET(KnownY1SAC,MATCH(FD83,KnownX1SAC,1)-1,0,2),OFFSET(KnownX1SAC,MATCH(FD83,KnownX1SAC,1)-1,0,2))</f>
        <v>154.93355555555553</v>
      </c>
      <c r="FF83" s="115">
        <f t="shared" ref="FF83:FF105" ca="1" si="460">FORECAST(FD83,OFFSET(KnownYSAC,MATCH(FD83,KnownXSAC,1)-1,0,2),OFFSET(KnownXSAC,MATCH(FD83,KnownXSAC,1)-1,0,2))</f>
        <v>0.52252222222222222</v>
      </c>
      <c r="FG83" s="138">
        <f t="shared" ref="FG83:FG105" ca="1" si="461">(FC83*(FE83-EE83-DW83*(FF83-EG83)))*0.001</f>
        <v>8.1462225449999703E-2</v>
      </c>
      <c r="FH83" s="138">
        <f t="shared" ca="1" si="312"/>
        <v>8.1462225449999703E-2</v>
      </c>
      <c r="FI83" s="115">
        <f t="shared" ref="FI83:FI105" si="462">JS83</f>
        <v>96.137958984375004</v>
      </c>
      <c r="FJ83" s="115">
        <f t="shared" ca="1" si="394"/>
        <v>51.566460599899301</v>
      </c>
      <c r="FK83" s="115">
        <f t="shared" ca="1" si="395"/>
        <v>0.1781116021156311</v>
      </c>
      <c r="FL83" s="138">
        <f t="shared" ref="FL83:FL105" ca="1" si="463">(FI83*(FJ83-EE83-DW83*(FK83-EG83)))*0.001</f>
        <v>0.29929346647464605</v>
      </c>
      <c r="FM83" s="138">
        <f t="shared" ca="1" si="345"/>
        <v>0.33547172296235633</v>
      </c>
      <c r="FN83" s="115">
        <f t="shared" ref="FN83:FN105" si="464">FI83</f>
        <v>96.137958984375004</v>
      </c>
      <c r="FO83" s="115">
        <f t="shared" ca="1" si="396"/>
        <v>65.514981698989871</v>
      </c>
      <c r="FP83" s="115">
        <f t="shared" ca="1" si="397"/>
        <v>0.22458692197799682</v>
      </c>
      <c r="FQ83" s="138">
        <f t="shared" ref="FQ83:FQ105" ca="1" si="465">(FN83*(FO83-EE83-DW83*(FP83-EG83)))*0.001</f>
        <v>0.30812897580777798</v>
      </c>
      <c r="FR83" s="138">
        <f t="shared" ca="1" si="346"/>
        <v>0.34537525869318675</v>
      </c>
      <c r="FS83" s="139">
        <f t="shared" si="315"/>
        <v>4.1756391837539617</v>
      </c>
      <c r="FT83" s="249">
        <f t="shared" si="316"/>
        <v>4.0380787700829686</v>
      </c>
      <c r="FU83" s="139">
        <f t="shared" ca="1" si="317"/>
        <v>0.58679938185004099</v>
      </c>
      <c r="FV83" s="249">
        <f t="shared" ca="1" si="318"/>
        <v>0.33182374924333136</v>
      </c>
      <c r="FW83" s="139">
        <f t="shared" ref="FW83:FW105" ca="1" si="466">(EV83+FA83+FQ83)-(FG83+FL83)</f>
        <v>0.70916846976202064</v>
      </c>
      <c r="FX83" s="249">
        <f t="shared" ca="1" si="319"/>
        <v>0.6816104099712077</v>
      </c>
      <c r="FY83" s="249">
        <f t="shared" si="398"/>
        <v>0.15000000000000002</v>
      </c>
      <c r="FZ83" s="139">
        <f t="shared" si="399"/>
        <v>1050000</v>
      </c>
      <c r="GA83" s="139">
        <f t="shared" si="320"/>
        <v>3.3757716049382713E-2</v>
      </c>
      <c r="GB83" s="139">
        <f t="shared" si="361"/>
        <v>121.52777777777777</v>
      </c>
      <c r="GC83" s="139">
        <f t="shared" si="400"/>
        <v>1050000</v>
      </c>
      <c r="GD83" s="139">
        <f t="shared" si="362"/>
        <v>6.7515432098765427E-2</v>
      </c>
      <c r="GE83" s="139">
        <f t="shared" si="363"/>
        <v>243.05555555555554</v>
      </c>
      <c r="GF83" s="139">
        <f t="shared" si="364"/>
        <v>4.5814043209876545E-2</v>
      </c>
      <c r="GG83" s="139">
        <f t="shared" si="401"/>
        <v>712500</v>
      </c>
      <c r="GH83" s="139">
        <f t="shared" si="365"/>
        <v>164.93055555555554</v>
      </c>
      <c r="GI83" s="137">
        <f t="shared" si="402"/>
        <v>54.017847253513047</v>
      </c>
      <c r="GJ83" s="137">
        <f t="shared" si="321"/>
        <v>0.19446425011264543</v>
      </c>
      <c r="GK83" s="251">
        <f t="shared" si="403"/>
        <v>46.771429912249772</v>
      </c>
      <c r="GL83" s="137">
        <f t="shared" si="329"/>
        <v>0.16837714768409784</v>
      </c>
      <c r="GM83" s="137">
        <f t="shared" ca="1" si="404"/>
        <v>7.4145367120194061</v>
      </c>
      <c r="GN83" s="137">
        <f t="shared" ca="1" si="322"/>
        <v>2.669233216326965E-2</v>
      </c>
      <c r="GO83" s="137">
        <f t="shared" ca="1" si="366"/>
        <v>9.3854895088852502E-2</v>
      </c>
      <c r="GP83" s="137">
        <f t="shared" ca="1" si="405"/>
        <v>7.4935785910833319</v>
      </c>
      <c r="GQ83" s="137">
        <f t="shared" ca="1" si="323"/>
        <v>2.6976882927899778E-2</v>
      </c>
      <c r="GR83" s="137">
        <f t="shared" ca="1" si="406"/>
        <v>9.4855425203585725E-2</v>
      </c>
      <c r="GS83" s="140">
        <f t="shared" si="407"/>
        <v>6.0158433720343331E-2</v>
      </c>
      <c r="GT83" s="140">
        <f t="shared" si="408"/>
        <v>5.8176600840585325E-2</v>
      </c>
      <c r="GU83" s="140">
        <f t="shared" ref="GU83:GU105" si="467">GS83*3600</f>
        <v>216.570361393236</v>
      </c>
      <c r="GV83" s="140">
        <f t="shared" si="324"/>
        <v>209.43576302610717</v>
      </c>
      <c r="GW83" s="141">
        <f t="shared" ca="1" si="409"/>
        <v>5.6303764504128176E-3</v>
      </c>
      <c r="GX83" s="141">
        <f t="shared" ca="1" si="410"/>
        <v>3.1838694470622169E-3</v>
      </c>
      <c r="GY83" s="141">
        <f t="shared" ca="1" si="325"/>
        <v>20.269355221486144</v>
      </c>
      <c r="GZ83" s="141">
        <f t="shared" ca="1" si="326"/>
        <v>11.46193000942398</v>
      </c>
      <c r="HA83" s="141">
        <f t="shared" ca="1" si="411"/>
        <v>1.3178930243821489E-2</v>
      </c>
      <c r="HB83" s="141">
        <f t="shared" ca="1" si="412"/>
        <v>1.0170540099099129E-2</v>
      </c>
      <c r="HC83" s="141">
        <f t="shared" ca="1" si="327"/>
        <v>47.444148877757364</v>
      </c>
      <c r="HD83" s="141">
        <f t="shared" ca="1" si="328"/>
        <v>36.613944356756861</v>
      </c>
      <c r="HE83" s="137">
        <f t="shared" si="367"/>
        <v>6.5466096699102936</v>
      </c>
      <c r="HF83" s="250">
        <f t="shared" si="368"/>
        <v>6.8786762142286282</v>
      </c>
      <c r="HG83" s="137">
        <v>2.3709704861563319</v>
      </c>
      <c r="HH83" s="251">
        <v>2.1824704254219798</v>
      </c>
      <c r="HI83" s="137">
        <f t="shared" ca="1" si="369"/>
        <v>1.1507464539443124</v>
      </c>
      <c r="HJ83" s="251">
        <f t="shared" ca="1" si="370"/>
        <v>0.92959013542830116</v>
      </c>
      <c r="HK83" s="137">
        <f t="shared" ca="1" si="371"/>
        <v>0.62639247237348139</v>
      </c>
      <c r="HL83" s="251">
        <f t="shared" ca="1" si="372"/>
        <v>0.5977663861849698</v>
      </c>
      <c r="HM83" s="137">
        <f t="shared" ca="1" si="373"/>
        <v>0.70506429532647441</v>
      </c>
      <c r="HN83" s="251">
        <f t="shared" ca="1" si="374"/>
        <v>0.67643820913796282</v>
      </c>
      <c r="HO83" s="137">
        <f t="shared" ca="1" si="375"/>
        <v>0.29929346647464605</v>
      </c>
      <c r="HP83" s="251">
        <f t="shared" ca="1" si="376"/>
        <v>0.33547172296235633</v>
      </c>
      <c r="JN83" s="143">
        <f t="shared" si="413"/>
        <v>19.16714386222824</v>
      </c>
      <c r="JO83" s="143">
        <f t="shared" si="347"/>
        <v>2370.9704861563318</v>
      </c>
      <c r="JP83" s="143">
        <f t="shared" si="414"/>
        <v>2840.5974441456601</v>
      </c>
      <c r="JQ83" s="143">
        <f t="shared" si="415"/>
        <v>0.8219698402616713</v>
      </c>
      <c r="JR83" s="143">
        <f t="shared" ca="1" si="348"/>
        <v>0.78859731005746858</v>
      </c>
      <c r="JS83" s="143">
        <f t="shared" si="416"/>
        <v>96.137958984375004</v>
      </c>
      <c r="JT83" s="143">
        <f t="shared" ca="1" si="349"/>
        <v>107.75900697887351</v>
      </c>
      <c r="JU83" s="143">
        <f t="shared" si="423"/>
        <v>0.28361340784070915</v>
      </c>
      <c r="JV83" s="143">
        <f t="shared" si="417"/>
        <v>0.33978977222268092</v>
      </c>
      <c r="JW83" s="143">
        <f t="shared" ca="1" si="418"/>
        <v>0.26395526896068877</v>
      </c>
      <c r="JX83" s="143">
        <f t="shared" ca="1" si="419"/>
        <v>0.25323850691605615</v>
      </c>
      <c r="JY83" s="143">
        <f t="shared" si="420"/>
        <v>0.76496385882755524</v>
      </c>
      <c r="JZ83" s="143">
        <f t="shared" si="421"/>
        <v>0.68364175103623248</v>
      </c>
      <c r="KA83" s="143">
        <f t="shared" si="350"/>
        <v>0.26755981871765011</v>
      </c>
      <c r="KB83" s="143">
        <f t="shared" si="351"/>
        <v>0.32055638888932164</v>
      </c>
      <c r="KC83" s="143">
        <f t="shared" ca="1" si="352"/>
        <v>0.51631773671476766</v>
      </c>
      <c r="KD83" s="143">
        <f t="shared" ca="1" si="353"/>
        <v>0.64304295345125817</v>
      </c>
      <c r="KE83" s="143">
        <f t="shared" ca="1" si="354"/>
        <v>0.49593845887250176</v>
      </c>
      <c r="KF83" s="143">
        <f t="shared" ca="1" si="355"/>
        <v>0.42449102650427162</v>
      </c>
      <c r="KG83" s="142">
        <f t="shared" si="356"/>
        <v>0.16837714768409784</v>
      </c>
      <c r="KH83" s="142">
        <f t="shared" ca="1" si="357"/>
        <v>9.4855425203585725E-2</v>
      </c>
      <c r="KI83" s="142">
        <f t="shared" ca="1" si="358"/>
        <v>284.28386549247949</v>
      </c>
      <c r="KJ83" s="142">
        <f t="shared" ca="1" si="359"/>
        <v>257.51163739228798</v>
      </c>
    </row>
    <row r="84" spans="1:296" x14ac:dyDescent="0.3">
      <c r="A84" s="195">
        <v>41414</v>
      </c>
      <c r="B84" s="196">
        <v>99</v>
      </c>
      <c r="C84" s="177">
        <v>24</v>
      </c>
      <c r="D84" s="166">
        <v>4.2</v>
      </c>
      <c r="E84" s="166">
        <v>50016</v>
      </c>
      <c r="F84" s="166">
        <v>300</v>
      </c>
      <c r="G84" s="166">
        <v>11.7</v>
      </c>
      <c r="H84" s="166">
        <v>0.85</v>
      </c>
      <c r="I84" s="166">
        <v>1.4</v>
      </c>
      <c r="J84" s="166">
        <v>1.33</v>
      </c>
      <c r="K84" s="166">
        <v>0.91</v>
      </c>
      <c r="L84" s="166">
        <v>25958.460771679878</v>
      </c>
      <c r="M84" s="169">
        <v>19</v>
      </c>
      <c r="N84" s="167">
        <v>69844.159999877214</v>
      </c>
      <c r="O84" s="176">
        <v>17</v>
      </c>
      <c r="P84" s="166">
        <v>2</v>
      </c>
      <c r="Q84" s="166">
        <v>5</v>
      </c>
      <c r="R84" s="168">
        <v>369.92828369140625</v>
      </c>
      <c r="S84" s="169">
        <v>93.194036655040691</v>
      </c>
      <c r="T84" s="166">
        <v>180</v>
      </c>
      <c r="U84" s="170">
        <v>3.7216360569000244</v>
      </c>
      <c r="V84" s="176">
        <v>17</v>
      </c>
      <c r="W84" s="166">
        <v>1250</v>
      </c>
      <c r="X84" s="169">
        <v>70616.982502967119</v>
      </c>
      <c r="Y84" s="169">
        <v>10373.898667894304</v>
      </c>
      <c r="Z84" s="169">
        <v>295.3499755859375</v>
      </c>
      <c r="AA84" s="169">
        <v>11.78066349029541</v>
      </c>
      <c r="AB84" s="169">
        <v>15.872112274169922</v>
      </c>
      <c r="AC84" s="212">
        <v>37</v>
      </c>
      <c r="AD84" s="212">
        <v>29.310338973999023</v>
      </c>
      <c r="AE84" s="254">
        <v>20</v>
      </c>
      <c r="AF84" s="254">
        <v>10</v>
      </c>
      <c r="AG84" s="217">
        <v>5000000</v>
      </c>
      <c r="AH84" s="218">
        <v>300000</v>
      </c>
      <c r="AI84" s="219">
        <v>5000000</v>
      </c>
      <c r="AJ84" s="225">
        <f t="shared" si="330"/>
        <v>300000</v>
      </c>
      <c r="AK84" s="220">
        <v>2750000</v>
      </c>
      <c r="AL84" s="226">
        <f t="shared" si="331"/>
        <v>300000</v>
      </c>
      <c r="AM84" s="221">
        <v>14.407</v>
      </c>
      <c r="BM84" s="197">
        <f t="shared" si="332"/>
        <v>7.6896610260009766</v>
      </c>
      <c r="BN84" s="196">
        <f t="shared" si="333"/>
        <v>180</v>
      </c>
      <c r="BO84" s="197">
        <f t="shared" si="334"/>
        <v>4.0914487838745117</v>
      </c>
      <c r="BP84" s="196">
        <f t="shared" si="294"/>
        <v>12.68104527814029</v>
      </c>
      <c r="BQ84" s="115">
        <f t="shared" si="335"/>
        <v>659.74492511188635</v>
      </c>
      <c r="BR84" s="184">
        <f t="shared" si="336"/>
        <v>1.0041987768</v>
      </c>
      <c r="BS84" s="115">
        <f t="shared" si="337"/>
        <v>6863.8528613899143</v>
      </c>
      <c r="BT84" s="196">
        <v>900</v>
      </c>
      <c r="BU84" s="115">
        <f t="shared" si="424"/>
        <v>1.1850729520000001</v>
      </c>
      <c r="BV84" s="115">
        <f t="shared" si="425"/>
        <v>1.0715657571738724</v>
      </c>
      <c r="BW84" s="115">
        <f t="shared" si="426"/>
        <v>469.38079663545386</v>
      </c>
      <c r="BX84" s="115">
        <f t="shared" si="377"/>
        <v>1129.1711722794328</v>
      </c>
      <c r="BY84" s="115"/>
      <c r="BZ84" s="115">
        <f t="shared" si="378"/>
        <v>659.7903756439789</v>
      </c>
      <c r="CA84" s="115">
        <f t="shared" si="379"/>
        <v>10687.632731084102</v>
      </c>
      <c r="CB84" s="115">
        <f t="shared" si="380"/>
        <v>2910.1733333282173</v>
      </c>
      <c r="CC84" s="115">
        <f t="shared" si="381"/>
        <v>1081.6025321533282</v>
      </c>
      <c r="CD84" s="129">
        <f t="shared" si="427"/>
        <v>0.21370496687922799</v>
      </c>
      <c r="CE84" s="115">
        <f t="shared" si="382"/>
        <v>17.373527975643384</v>
      </c>
      <c r="CF84" s="115">
        <f t="shared" si="383"/>
        <v>25.887232404177972</v>
      </c>
      <c r="CG84" s="115">
        <f t="shared" si="384"/>
        <v>0.02</v>
      </c>
      <c r="CH84" s="115">
        <f t="shared" si="385"/>
        <v>0.05</v>
      </c>
      <c r="CI84" s="136">
        <v>30</v>
      </c>
      <c r="CJ84" s="115">
        <f t="shared" si="428"/>
        <v>165</v>
      </c>
      <c r="CK84" s="115">
        <f t="shared" si="386"/>
        <v>453</v>
      </c>
      <c r="CL84" s="115">
        <f t="shared" si="387"/>
        <v>642.92828369140625</v>
      </c>
      <c r="CM84" s="115">
        <f t="shared" ca="1" si="388"/>
        <v>2816.5993052117487</v>
      </c>
      <c r="CN84" s="115">
        <f t="shared" ca="1" si="429"/>
        <v>125.80344444444444</v>
      </c>
      <c r="CO84" s="115">
        <f t="shared" ca="1" si="430"/>
        <v>690.58718083896258</v>
      </c>
      <c r="CP84" s="115">
        <f t="shared" ca="1" si="431"/>
        <v>2790.6388281929471</v>
      </c>
      <c r="CQ84" s="115">
        <f t="shared" si="432"/>
        <v>1.072449112508886</v>
      </c>
      <c r="CR84" s="115">
        <f t="shared" ca="1" si="338"/>
        <v>613.05985933399597</v>
      </c>
      <c r="CS84" s="115">
        <f t="shared" ca="1" si="339"/>
        <v>30.359107060613177</v>
      </c>
      <c r="CT84" s="115">
        <f t="shared" si="433"/>
        <v>1.1162004106252013</v>
      </c>
      <c r="CU84" s="115">
        <f t="shared" ca="1" si="434"/>
        <v>1.0155282130042926</v>
      </c>
      <c r="CV84" s="115">
        <f t="shared" si="360"/>
        <v>186.7903756439789</v>
      </c>
      <c r="CW84" s="115">
        <f t="shared" si="435"/>
        <v>473</v>
      </c>
      <c r="CX84" s="115">
        <f t="shared" si="436"/>
        <v>438</v>
      </c>
      <c r="CY84" s="115">
        <f t="shared" ca="1" si="437"/>
        <v>442.64089293938684</v>
      </c>
      <c r="CZ84" s="115">
        <f t="shared" ca="1" si="438"/>
        <v>200.28739075201941</v>
      </c>
      <c r="DA84" s="115">
        <v>0.21890000000000001</v>
      </c>
      <c r="DB84" s="115">
        <v>2.7E-2</v>
      </c>
      <c r="DC84" s="115">
        <v>1.06</v>
      </c>
      <c r="DD84" s="138">
        <f t="shared" si="389"/>
        <v>11.329987680837355</v>
      </c>
      <c r="DE84" s="138">
        <f t="shared" si="439"/>
        <v>11.329987680837355</v>
      </c>
      <c r="DF84" s="115">
        <f t="shared" si="440"/>
        <v>642.92828369140625</v>
      </c>
      <c r="DG84" s="115">
        <v>659.7903756439789</v>
      </c>
      <c r="DH84" s="115">
        <f t="shared" si="441"/>
        <v>1.1162004106252013</v>
      </c>
      <c r="DI84" s="115">
        <f t="shared" si="299"/>
        <v>1.1207115448965932</v>
      </c>
      <c r="DJ84" s="138">
        <f t="shared" si="340"/>
        <v>2.4806762635515898</v>
      </c>
      <c r="DK84" s="138">
        <f t="shared" si="341"/>
        <v>2.6875846000575496</v>
      </c>
      <c r="DL84" s="115">
        <f t="shared" si="442"/>
        <v>642.92828369140625</v>
      </c>
      <c r="DM84" s="115">
        <f t="shared" si="293"/>
        <v>659.7903756439789</v>
      </c>
      <c r="DN84" s="115">
        <f t="shared" si="300"/>
        <v>12.796327507941566</v>
      </c>
      <c r="DO84" s="115">
        <f t="shared" si="301"/>
        <v>1.1162004106252013</v>
      </c>
      <c r="DP84" s="115">
        <f t="shared" si="443"/>
        <v>1.1207115448965932</v>
      </c>
      <c r="DQ84" s="115">
        <v>298.14999999999998</v>
      </c>
      <c r="DR84" s="138">
        <f t="shared" si="302"/>
        <v>1.6521303915253587</v>
      </c>
      <c r="DS84" s="138">
        <f t="shared" si="303"/>
        <v>1.789931343638328</v>
      </c>
      <c r="DT84" s="115">
        <f t="shared" si="444"/>
        <v>642.92828369140625</v>
      </c>
      <c r="DU84" s="139">
        <f t="shared" si="422"/>
        <v>6.4173774589376613</v>
      </c>
      <c r="DV84" s="115">
        <f t="shared" si="445"/>
        <v>1.1162004106252013</v>
      </c>
      <c r="DW84" s="115">
        <v>298.14999999999998</v>
      </c>
      <c r="DX84" s="138">
        <f t="shared" si="342"/>
        <v>0.82854587202623076</v>
      </c>
      <c r="DY84" s="138">
        <f t="shared" si="343"/>
        <v>0.89765325641922145</v>
      </c>
      <c r="DZ84" s="138">
        <f t="shared" si="446"/>
        <v>2.9101733333282174</v>
      </c>
      <c r="EA84" s="138">
        <f t="shared" si="447"/>
        <v>3.8237798696941883</v>
      </c>
      <c r="EB84" s="115">
        <f t="shared" si="448"/>
        <v>25.887232404177972</v>
      </c>
      <c r="EC84" s="115">
        <v>30</v>
      </c>
      <c r="ED84" s="198">
        <f t="shared" ca="1" si="449"/>
        <v>125.80344444444444</v>
      </c>
      <c r="EE84" s="198">
        <v>104.83</v>
      </c>
      <c r="EF84" s="198">
        <f t="shared" ca="1" si="450"/>
        <v>0.42491111111111107</v>
      </c>
      <c r="EG84" s="199">
        <v>0.36720000000000003</v>
      </c>
      <c r="EH84" s="138">
        <f t="shared" ca="1" si="304"/>
        <v>9.7514011707875659E-2</v>
      </c>
      <c r="EI84" s="138">
        <f t="shared" ca="1" si="451"/>
        <v>9.7514011707875659E-2</v>
      </c>
      <c r="EJ84" s="115">
        <f t="shared" si="452"/>
        <v>12.796327507941566</v>
      </c>
      <c r="EK84" s="115">
        <v>435</v>
      </c>
      <c r="EL84" s="115">
        <f t="shared" ca="1" si="453"/>
        <v>442.64089293938684</v>
      </c>
      <c r="EM84" s="115">
        <f t="shared" ca="1" si="305"/>
        <v>1.0627678966652705</v>
      </c>
      <c r="EN84" s="115">
        <f t="shared" ca="1" si="306"/>
        <v>1.065121792152627</v>
      </c>
      <c r="EO84" s="115">
        <v>298.14999999999998</v>
      </c>
      <c r="EP84" s="138">
        <f t="shared" ca="1" si="307"/>
        <v>0.32943548497447223</v>
      </c>
      <c r="EQ84" s="138">
        <f t="shared" ca="1" si="308"/>
        <v>0.36354784449417626</v>
      </c>
      <c r="ER84" s="115">
        <f t="shared" si="454"/>
        <v>1.0337877935833402</v>
      </c>
      <c r="ES84" s="115">
        <f t="shared" si="455"/>
        <v>453</v>
      </c>
      <c r="ET84" s="115">
        <f t="shared" ca="1" si="390"/>
        <v>2816.5993052117487</v>
      </c>
      <c r="EU84" s="115">
        <f t="shared" ca="1" si="391"/>
        <v>6.5855309782608691</v>
      </c>
      <c r="EV84" s="138">
        <f t="shared" ca="1" si="456"/>
        <v>0.88675621233001667</v>
      </c>
      <c r="EW84" s="138">
        <f t="shared" ca="1" si="344"/>
        <v>0.9962038342610321</v>
      </c>
      <c r="EX84" s="115">
        <v>21.47</v>
      </c>
      <c r="EY84" s="115">
        <f t="shared" ca="1" si="392"/>
        <v>122.75146975496079</v>
      </c>
      <c r="EZ84" s="115">
        <f t="shared" ca="1" si="393"/>
        <v>0.4152941712485419</v>
      </c>
      <c r="FA84" s="138">
        <f t="shared" ca="1" si="310"/>
        <v>7.6909675062056579E-2</v>
      </c>
      <c r="FB84" s="138">
        <f t="shared" ca="1" si="457"/>
        <v>7.6909675062056579E-2</v>
      </c>
      <c r="FC84" s="115">
        <f t="shared" si="458"/>
        <v>21.47</v>
      </c>
      <c r="FD84" s="115">
        <v>37</v>
      </c>
      <c r="FE84" s="115">
        <f t="shared" ca="1" si="459"/>
        <v>154.93355555555553</v>
      </c>
      <c r="FF84" s="115">
        <f t="shared" ca="1" si="460"/>
        <v>0.52252222222222222</v>
      </c>
      <c r="FG84" s="138">
        <f t="shared" ca="1" si="461"/>
        <v>8.1462225449999703E-2</v>
      </c>
      <c r="FH84" s="138">
        <f t="shared" ca="1" si="312"/>
        <v>8.1462225449999703E-2</v>
      </c>
      <c r="FI84" s="115">
        <f t="shared" si="462"/>
        <v>82.69799316406251</v>
      </c>
      <c r="FJ84" s="115">
        <f t="shared" ca="1" si="394"/>
        <v>49.387830113940772</v>
      </c>
      <c r="FK84" s="115">
        <f t="shared" ca="1" si="395"/>
        <v>0.17085258533689712</v>
      </c>
      <c r="FL84" s="138">
        <f t="shared" ca="1" si="463"/>
        <v>0.2562655167012281</v>
      </c>
      <c r="FM84" s="138">
        <f t="shared" ca="1" si="345"/>
        <v>0.46694371616005204</v>
      </c>
      <c r="FN84" s="115">
        <f t="shared" si="464"/>
        <v>82.69799316406251</v>
      </c>
      <c r="FO84" s="115">
        <f t="shared" ca="1" si="396"/>
        <v>66.51099787987603</v>
      </c>
      <c r="FP84" s="115">
        <f t="shared" ca="1" si="397"/>
        <v>0.22790556560092501</v>
      </c>
      <c r="FQ84" s="138">
        <f t="shared" ca="1" si="465"/>
        <v>0.2655956448943943</v>
      </c>
      <c r="FR84" s="138">
        <f t="shared" ca="1" si="346"/>
        <v>0.48394422714119195</v>
      </c>
      <c r="FS84" s="139">
        <f t="shared" ref="FS84:FS105" si="468">(DD84-DJ84)-DZ84</f>
        <v>5.9391380839575483</v>
      </c>
      <c r="FT84" s="249">
        <f t="shared" si="316"/>
        <v>4.8186232110856171</v>
      </c>
      <c r="FU84" s="139">
        <f t="shared" ref="FU84:FU105" ca="1" si="469">(DR84+EH84)-(EP84+EV84)</f>
        <v>0.5334527059287455</v>
      </c>
      <c r="FV84" s="249">
        <f t="shared" ca="1" si="318"/>
        <v>0.5276936765909952</v>
      </c>
      <c r="FW84" s="139">
        <f t="shared" ca="1" si="466"/>
        <v>0.8915337901352397</v>
      </c>
      <c r="FX84" s="249">
        <f t="shared" ca="1" si="319"/>
        <v>1.0086517948542288</v>
      </c>
      <c r="FY84" s="249">
        <f t="shared" si="398"/>
        <v>0.15000000000000002</v>
      </c>
      <c r="FZ84" s="139">
        <f t="shared" si="399"/>
        <v>1050000</v>
      </c>
      <c r="GA84" s="139">
        <f t="shared" si="320"/>
        <v>3.3757716049382713E-2</v>
      </c>
      <c r="GB84" s="139">
        <f t="shared" si="361"/>
        <v>121.52777777777777</v>
      </c>
      <c r="GC84" s="139">
        <f t="shared" si="400"/>
        <v>1050000</v>
      </c>
      <c r="GD84" s="139">
        <f t="shared" si="362"/>
        <v>6.7515432098765427E-2</v>
      </c>
      <c r="GE84" s="139">
        <f t="shared" si="363"/>
        <v>243.05555555555554</v>
      </c>
      <c r="GF84" s="139">
        <f t="shared" si="364"/>
        <v>4.5814043209876545E-2</v>
      </c>
      <c r="GG84" s="139">
        <f t="shared" si="401"/>
        <v>712500</v>
      </c>
      <c r="GH84" s="139">
        <f t="shared" si="365"/>
        <v>164.93055555555554</v>
      </c>
      <c r="GI84" s="137">
        <f t="shared" si="402"/>
        <v>55.408983304030755</v>
      </c>
      <c r="GJ84" s="137">
        <f t="shared" si="321"/>
        <v>0.19947233989450913</v>
      </c>
      <c r="GK84" s="251">
        <f t="shared" si="403"/>
        <v>41.390671698586857</v>
      </c>
      <c r="GL84" s="137">
        <f t="shared" si="329"/>
        <v>0.1490064181149115</v>
      </c>
      <c r="GM84" s="137">
        <f t="shared" ca="1" si="404"/>
        <v>8.6861814752960154</v>
      </c>
      <c r="GN84" s="137">
        <f t="shared" ca="1" si="322"/>
        <v>3.1270253311065407E-2</v>
      </c>
      <c r="GO84" s="137">
        <f t="shared" ca="1" si="366"/>
        <v>0.1099516642442525</v>
      </c>
      <c r="GP84" s="137">
        <f t="shared" ca="1" si="405"/>
        <v>9.4057209882924422</v>
      </c>
      <c r="GQ84" s="137">
        <f t="shared" ca="1" si="323"/>
        <v>3.3860595557852521E-2</v>
      </c>
      <c r="GR84" s="137">
        <f t="shared" ca="1" si="406"/>
        <v>0.11905975934547301</v>
      </c>
      <c r="GS84" s="140">
        <f t="shared" si="407"/>
        <v>8.5565162375576403E-2</v>
      </c>
      <c r="GT84" s="140">
        <f t="shared" si="408"/>
        <v>6.9421904602110479E-2</v>
      </c>
      <c r="GU84" s="140">
        <f t="shared" si="467"/>
        <v>308.03458455207505</v>
      </c>
      <c r="GV84" s="140">
        <f t="shared" si="324"/>
        <v>249.91885656759771</v>
      </c>
      <c r="GW84" s="141">
        <f t="shared" ca="1" si="409"/>
        <v>5.1185117874540794E-3</v>
      </c>
      <c r="GX84" s="141">
        <f t="shared" ca="1" si="410"/>
        <v>5.0632535438985471E-3</v>
      </c>
      <c r="GY84" s="141">
        <f t="shared" ca="1" si="325"/>
        <v>18.426642434834687</v>
      </c>
      <c r="GZ84" s="141">
        <f t="shared" ca="1" si="326"/>
        <v>18.22771275803477</v>
      </c>
      <c r="HA84" s="141">
        <f t="shared" ca="1" si="411"/>
        <v>1.4336230523606341E-2</v>
      </c>
      <c r="HB84" s="141">
        <f t="shared" ca="1" si="412"/>
        <v>1.5360860096646931E-2</v>
      </c>
      <c r="HC84" s="141">
        <f t="shared" ref="HC84:HC105" ca="1" si="470">HA84*3600</f>
        <v>51.610429884982828</v>
      </c>
      <c r="HD84" s="141">
        <f t="shared" ca="1" si="328"/>
        <v>55.299096347928952</v>
      </c>
      <c r="HE84" s="137">
        <f t="shared" si="367"/>
        <v>8.8493114172857652</v>
      </c>
      <c r="HF84" s="250">
        <f t="shared" si="368"/>
        <v>8.6424030807798058</v>
      </c>
      <c r="HG84" s="137">
        <v>2.9101733333282174</v>
      </c>
      <c r="HH84" s="251">
        <v>4.2077236679037906</v>
      </c>
      <c r="HI84" s="137">
        <f t="shared" ca="1" si="369"/>
        <v>1.2885825470311825</v>
      </c>
      <c r="HJ84" s="251">
        <f t="shared" ca="1" si="370"/>
        <v>1.4263834991441517</v>
      </c>
      <c r="HK84" s="137">
        <f t="shared" ca="1" si="371"/>
        <v>0.78924220062214101</v>
      </c>
      <c r="HL84" s="251">
        <f t="shared" ca="1" si="372"/>
        <v>0.89868982255315644</v>
      </c>
      <c r="HM84" s="137">
        <f t="shared" ca="1" si="373"/>
        <v>0.88675621233001667</v>
      </c>
      <c r="HN84" s="251">
        <f t="shared" ca="1" si="374"/>
        <v>0.9962038342610321</v>
      </c>
      <c r="HO84" s="137">
        <f t="shared" ca="1" si="375"/>
        <v>0.2562655167012281</v>
      </c>
      <c r="HP84" s="251">
        <f t="shared" ca="1" si="376"/>
        <v>0.46694371616005204</v>
      </c>
      <c r="JN84" s="143">
        <f t="shared" si="413"/>
        <v>19.213704966879227</v>
      </c>
      <c r="JO84" s="143">
        <f t="shared" si="347"/>
        <v>2910.1733333282173</v>
      </c>
      <c r="JP84" s="143">
        <f t="shared" si="414"/>
        <v>3823.7798696941882</v>
      </c>
      <c r="JQ84" s="143">
        <f t="shared" si="415"/>
        <v>1.0337877935833402</v>
      </c>
      <c r="JR84" s="143">
        <f t="shared" ca="1" si="348"/>
        <v>1.1613827447274767</v>
      </c>
      <c r="JS84" s="143">
        <f t="shared" si="416"/>
        <v>82.69799316406251</v>
      </c>
      <c r="JT84" s="143">
        <f t="shared" ca="1" si="349"/>
        <v>150.68476143056853</v>
      </c>
      <c r="JU84" s="143">
        <f t="shared" si="423"/>
        <v>0.27226717453058397</v>
      </c>
      <c r="JV84" s="143">
        <f t="shared" si="417"/>
        <v>0.35774148887479484</v>
      </c>
      <c r="JW84" s="143">
        <f t="shared" ca="1" si="418"/>
        <v>0.25977448999361913</v>
      </c>
      <c r="JX84" s="143">
        <f t="shared" ca="1" si="419"/>
        <v>0.29183707920676666</v>
      </c>
      <c r="JY84" s="143">
        <f t="shared" si="420"/>
        <v>0.76552234289980681</v>
      </c>
      <c r="JZ84" s="143">
        <f t="shared" si="421"/>
        <v>1.088501856237138</v>
      </c>
      <c r="KA84" s="143">
        <f t="shared" si="350"/>
        <v>0.25685582502885279</v>
      </c>
      <c r="KB84" s="143">
        <f t="shared" si="351"/>
        <v>0.33749197063659891</v>
      </c>
      <c r="KC84" s="143">
        <f t="shared" ca="1" si="352"/>
        <v>0.59669255299410007</v>
      </c>
      <c r="KD84" s="143">
        <f t="shared" ca="1" si="353"/>
        <v>0.63004782591244346</v>
      </c>
      <c r="KE84" s="143">
        <f t="shared" ca="1" si="354"/>
        <v>0.46872306660656787</v>
      </c>
      <c r="KF84" s="143">
        <f t="shared" ca="1" si="355"/>
        <v>0.28899207373791241</v>
      </c>
      <c r="KG84" s="142">
        <f t="shared" si="356"/>
        <v>0.1490064181149115</v>
      </c>
      <c r="KH84" s="142">
        <f t="shared" ca="1" si="357"/>
        <v>0.11905975934547301</v>
      </c>
      <c r="KI84" s="142">
        <f t="shared" ca="1" si="358"/>
        <v>378.07165687189251</v>
      </c>
      <c r="KJ84" s="142">
        <f t="shared" ca="1" si="359"/>
        <v>323.44566567356139</v>
      </c>
    </row>
    <row r="85" spans="1:296" x14ac:dyDescent="0.3">
      <c r="A85" s="195">
        <v>41415</v>
      </c>
      <c r="B85" s="196">
        <v>100</v>
      </c>
      <c r="C85" s="177">
        <v>24</v>
      </c>
      <c r="D85" s="166">
        <v>4.2</v>
      </c>
      <c r="E85" s="166">
        <v>50016</v>
      </c>
      <c r="F85" s="166">
        <v>300</v>
      </c>
      <c r="G85" s="166">
        <v>11.7</v>
      </c>
      <c r="H85" s="166">
        <v>0.85</v>
      </c>
      <c r="I85" s="166">
        <v>1.4</v>
      </c>
      <c r="J85" s="166">
        <v>1.33</v>
      </c>
      <c r="K85" s="166">
        <v>0.91</v>
      </c>
      <c r="L85" s="166">
        <v>23694.525634124875</v>
      </c>
      <c r="M85" s="169">
        <v>19</v>
      </c>
      <c r="N85" s="167">
        <v>56785.036388881505</v>
      </c>
      <c r="O85" s="176">
        <v>17</v>
      </c>
      <c r="P85" s="166">
        <v>2</v>
      </c>
      <c r="Q85" s="166">
        <v>5</v>
      </c>
      <c r="R85" s="168">
        <v>350.80328369140625</v>
      </c>
      <c r="S85" s="169">
        <v>73.558498910977505</v>
      </c>
      <c r="T85" s="166">
        <v>180</v>
      </c>
      <c r="U85" s="170">
        <v>2.8812854290008545</v>
      </c>
      <c r="V85" s="176">
        <v>17</v>
      </c>
      <c r="W85" s="166">
        <v>1250</v>
      </c>
      <c r="X85" s="169">
        <v>70934.977412268519</v>
      </c>
      <c r="Y85" s="169">
        <v>10911.632938340306</v>
      </c>
      <c r="Z85" s="169">
        <v>300.52798461914062</v>
      </c>
      <c r="AA85" s="169">
        <v>11.752070426940918</v>
      </c>
      <c r="AB85" s="169">
        <v>15.539772987365723</v>
      </c>
      <c r="AC85" s="212">
        <v>37</v>
      </c>
      <c r="AD85" s="212">
        <v>28.628288269042969</v>
      </c>
      <c r="AE85" s="254">
        <v>20</v>
      </c>
      <c r="AF85" s="254">
        <v>10</v>
      </c>
      <c r="AG85" s="217">
        <v>5000000</v>
      </c>
      <c r="AH85" s="218">
        <v>300000</v>
      </c>
      <c r="AI85" s="219">
        <v>5000000</v>
      </c>
      <c r="AJ85" s="225">
        <f t="shared" si="330"/>
        <v>300000</v>
      </c>
      <c r="AK85" s="220">
        <v>2750000</v>
      </c>
      <c r="AL85" s="226">
        <f t="shared" si="331"/>
        <v>300000</v>
      </c>
      <c r="AM85" s="221">
        <v>14.407</v>
      </c>
      <c r="BM85" s="197">
        <f t="shared" si="332"/>
        <v>8.3717117309570312</v>
      </c>
      <c r="BN85" s="196">
        <f t="shared" si="333"/>
        <v>180</v>
      </c>
      <c r="BO85" s="197">
        <f t="shared" si="334"/>
        <v>3.7877025604248047</v>
      </c>
      <c r="BP85" s="196">
        <f t="shared" si="294"/>
        <v>12.668744188180582</v>
      </c>
      <c r="BQ85" s="115">
        <f t="shared" si="335"/>
        <v>659.74492511188635</v>
      </c>
      <c r="BR85" s="184">
        <f t="shared" si="336"/>
        <v>1.0041987768</v>
      </c>
      <c r="BS85" s="115">
        <f t="shared" si="337"/>
        <v>6863.8528613899143</v>
      </c>
      <c r="BT85" s="196">
        <v>900</v>
      </c>
      <c r="BU85" s="115">
        <f t="shared" si="424"/>
        <v>1.1850729520000001</v>
      </c>
      <c r="BV85" s="115">
        <f t="shared" si="425"/>
        <v>1.0674888623407774</v>
      </c>
      <c r="BW85" s="115">
        <f t="shared" si="426"/>
        <v>452.53537378301246</v>
      </c>
      <c r="BX85" s="115">
        <f t="shared" si="377"/>
        <v>1088.6467920615369</v>
      </c>
      <c r="BY85" s="115"/>
      <c r="BZ85" s="115">
        <f t="shared" si="378"/>
        <v>636.11141827852441</v>
      </c>
      <c r="CA85" s="115">
        <f t="shared" si="379"/>
        <v>10294.073149080741</v>
      </c>
      <c r="CB85" s="115">
        <f t="shared" si="380"/>
        <v>2366.0431828700625</v>
      </c>
      <c r="CC85" s="115">
        <f t="shared" si="381"/>
        <v>987.27190142186976</v>
      </c>
      <c r="CD85" s="129">
        <f t="shared" si="427"/>
        <v>0.19506695178875919</v>
      </c>
      <c r="CE85" s="115">
        <f t="shared" si="382"/>
        <v>17.678116742302389</v>
      </c>
      <c r="CF85" s="115">
        <f t="shared" si="383"/>
        <v>20.43291636416042</v>
      </c>
      <c r="CG85" s="115">
        <f t="shared" si="384"/>
        <v>0.02</v>
      </c>
      <c r="CH85" s="115">
        <f t="shared" si="385"/>
        <v>0.05</v>
      </c>
      <c r="CI85" s="136">
        <v>30</v>
      </c>
      <c r="CJ85" s="115">
        <f t="shared" si="428"/>
        <v>165</v>
      </c>
      <c r="CK85" s="115">
        <f t="shared" si="386"/>
        <v>453</v>
      </c>
      <c r="CL85" s="115">
        <f t="shared" si="387"/>
        <v>623.80328369140625</v>
      </c>
      <c r="CM85" s="115">
        <f t="shared" ca="1" si="388"/>
        <v>2816.5993052117487</v>
      </c>
      <c r="CN85" s="115">
        <f t="shared" ca="1" si="429"/>
        <v>125.80344444444444</v>
      </c>
      <c r="CO85" s="115">
        <f t="shared" ca="1" si="430"/>
        <v>690.58718083896258</v>
      </c>
      <c r="CP85" s="115">
        <f t="shared" ca="1" si="431"/>
        <v>2790.6388281929471</v>
      </c>
      <c r="CQ85" s="115">
        <f t="shared" si="432"/>
        <v>1.072449112508886</v>
      </c>
      <c r="CR85" s="115">
        <f t="shared" ca="1" si="338"/>
        <v>474.63008547797068</v>
      </c>
      <c r="CS85" s="115">
        <f t="shared" ca="1" si="339"/>
        <v>23.526800095804465</v>
      </c>
      <c r="CT85" s="115">
        <f t="shared" si="433"/>
        <v>1.1111082441275963</v>
      </c>
      <c r="CU85" s="115">
        <f t="shared" ca="1" si="434"/>
        <v>1.0114089914358384</v>
      </c>
      <c r="CV85" s="115">
        <f t="shared" si="360"/>
        <v>163.11141827852441</v>
      </c>
      <c r="CW85" s="115">
        <f t="shared" si="435"/>
        <v>473</v>
      </c>
      <c r="CX85" s="115">
        <f t="shared" si="436"/>
        <v>438</v>
      </c>
      <c r="CY85" s="115">
        <f t="shared" ca="1" si="437"/>
        <v>449.47319990419555</v>
      </c>
      <c r="CZ85" s="115">
        <f t="shared" ca="1" si="438"/>
        <v>174.3300837872107</v>
      </c>
      <c r="DA85" s="115">
        <v>0.21890000000000001</v>
      </c>
      <c r="DB85" s="115">
        <v>2.7E-2</v>
      </c>
      <c r="DC85" s="115">
        <v>1.06</v>
      </c>
      <c r="DD85" s="138">
        <f t="shared" si="389"/>
        <v>10.341856780306575</v>
      </c>
      <c r="DE85" s="138">
        <f t="shared" si="439"/>
        <v>10.341856780306575</v>
      </c>
      <c r="DF85" s="115">
        <f t="shared" si="440"/>
        <v>623.80328369140625</v>
      </c>
      <c r="DG85" s="115">
        <v>636.11141827852441</v>
      </c>
      <c r="DH85" s="115">
        <f t="shared" si="441"/>
        <v>1.1111082441275963</v>
      </c>
      <c r="DI85" s="115">
        <f t="shared" si="299"/>
        <v>1.1143821583446374</v>
      </c>
      <c r="DJ85" s="138">
        <f t="shared" si="340"/>
        <v>2.2510960705840732</v>
      </c>
      <c r="DK85" s="138">
        <f t="shared" si="341"/>
        <v>2.3963976981212296</v>
      </c>
      <c r="DL85" s="115">
        <f t="shared" si="442"/>
        <v>623.80328369140625</v>
      </c>
      <c r="DM85" s="115">
        <f t="shared" si="293"/>
        <v>636.11141827852441</v>
      </c>
      <c r="DN85" s="115">
        <f t="shared" si="300"/>
        <v>12.783914589891316</v>
      </c>
      <c r="DO85" s="115">
        <f t="shared" si="301"/>
        <v>1.1111082441275963</v>
      </c>
      <c r="DP85" s="115">
        <f t="shared" si="443"/>
        <v>1.1143821583446374</v>
      </c>
      <c r="DQ85" s="115">
        <v>298.14999999999998</v>
      </c>
      <c r="DR85" s="138">
        <f t="shared" si="302"/>
        <v>1.4992299830089926</v>
      </c>
      <c r="DS85" s="138">
        <f t="shared" si="303"/>
        <v>1.5960008669487393</v>
      </c>
      <c r="DT85" s="115">
        <f t="shared" si="444"/>
        <v>623.80328369140625</v>
      </c>
      <c r="DU85" s="139">
        <f t="shared" si="422"/>
        <v>6.4111523618974449</v>
      </c>
      <c r="DV85" s="115">
        <f t="shared" si="445"/>
        <v>1.1111082441275963</v>
      </c>
      <c r="DW85" s="115">
        <v>298.14999999999998</v>
      </c>
      <c r="DX85" s="138">
        <f t="shared" si="342"/>
        <v>0.75186608757508022</v>
      </c>
      <c r="DY85" s="138">
        <f t="shared" si="343"/>
        <v>0.80039683117249072</v>
      </c>
      <c r="DZ85" s="138">
        <f t="shared" si="446"/>
        <v>2.3660431828700625</v>
      </c>
      <c r="EA85" s="138">
        <f t="shared" si="447"/>
        <v>3.430220287690827</v>
      </c>
      <c r="EB85" s="115">
        <f t="shared" si="448"/>
        <v>20.43291636416042</v>
      </c>
      <c r="EC85" s="115">
        <v>30</v>
      </c>
      <c r="ED85" s="198">
        <f t="shared" ca="1" si="449"/>
        <v>125.80344444444444</v>
      </c>
      <c r="EE85" s="198">
        <v>104.83</v>
      </c>
      <c r="EF85" s="198">
        <f t="shared" ca="1" si="450"/>
        <v>0.42491111111111107</v>
      </c>
      <c r="EG85" s="199">
        <v>0.36720000000000003</v>
      </c>
      <c r="EH85" s="138">
        <f t="shared" ca="1" si="304"/>
        <v>7.6968275884107706E-2</v>
      </c>
      <c r="EI85" s="138">
        <f t="shared" ca="1" si="451"/>
        <v>7.6968275884107706E-2</v>
      </c>
      <c r="EJ85" s="115">
        <f t="shared" si="452"/>
        <v>12.783914589891316</v>
      </c>
      <c r="EK85" s="115">
        <v>435</v>
      </c>
      <c r="EL85" s="115">
        <f t="shared" ca="1" si="453"/>
        <v>449.47319990419555</v>
      </c>
      <c r="EM85" s="115">
        <f t="shared" ca="1" si="305"/>
        <v>1.0622685428878629</v>
      </c>
      <c r="EN85" s="115">
        <f t="shared" ca="1" si="306"/>
        <v>1.0667540630268784</v>
      </c>
      <c r="EO85" s="115">
        <v>298.14999999999998</v>
      </c>
      <c r="EP85" s="138">
        <f t="shared" ca="1" si="307"/>
        <v>0.32896128126890262</v>
      </c>
      <c r="EQ85" s="138">
        <f t="shared" ca="1" si="308"/>
        <v>0.39464597116059347</v>
      </c>
      <c r="ER85" s="115">
        <f t="shared" si="454"/>
        <v>0.80035706361134851</v>
      </c>
      <c r="ES85" s="115">
        <f t="shared" si="455"/>
        <v>453</v>
      </c>
      <c r="ET85" s="115">
        <f t="shared" ca="1" si="390"/>
        <v>2816.5993052117487</v>
      </c>
      <c r="EU85" s="115">
        <f t="shared" ca="1" si="391"/>
        <v>6.5855309782608691</v>
      </c>
      <c r="EV85" s="138">
        <f t="shared" ca="1" si="456"/>
        <v>0.68652541908965625</v>
      </c>
      <c r="EW85" s="138">
        <f t="shared" ca="1" si="344"/>
        <v>0.86510890617922231</v>
      </c>
      <c r="EX85" s="115">
        <v>21.47</v>
      </c>
      <c r="EY85" s="115">
        <f t="shared" ca="1" si="392"/>
        <v>119.89701177130804</v>
      </c>
      <c r="EZ85" s="115">
        <f t="shared" ca="1" si="393"/>
        <v>0.40578335308498803</v>
      </c>
      <c r="FA85" s="138">
        <f t="shared" ca="1" si="310"/>
        <v>7.6505877002435205E-2</v>
      </c>
      <c r="FB85" s="138">
        <f t="shared" ca="1" si="457"/>
        <v>7.6505877002435205E-2</v>
      </c>
      <c r="FC85" s="115">
        <f t="shared" si="458"/>
        <v>21.47</v>
      </c>
      <c r="FD85" s="115">
        <v>37</v>
      </c>
      <c r="FE85" s="115">
        <f t="shared" ca="1" si="459"/>
        <v>154.93355555555553</v>
      </c>
      <c r="FF85" s="115">
        <f t="shared" ca="1" si="460"/>
        <v>0.52252222222222222</v>
      </c>
      <c r="FG85" s="138">
        <f t="shared" ca="1" si="461"/>
        <v>8.1462225449999703E-2</v>
      </c>
      <c r="FH85" s="138">
        <f t="shared" ca="1" si="312"/>
        <v>8.1462225449999703E-2</v>
      </c>
      <c r="FI85" s="115">
        <f t="shared" si="462"/>
        <v>84.147835693359383</v>
      </c>
      <c r="FJ85" s="115">
        <f t="shared" ca="1" si="394"/>
        <v>49.268164966795183</v>
      </c>
      <c r="FK85" s="115">
        <f t="shared" ca="1" si="395"/>
        <v>0.17045387095345391</v>
      </c>
      <c r="FL85" s="138">
        <f t="shared" ca="1" si="463"/>
        <v>0.26069195915873561</v>
      </c>
      <c r="FM85" s="138">
        <f t="shared" ca="1" si="345"/>
        <v>0.40815573286355306</v>
      </c>
      <c r="FN85" s="115">
        <f t="shared" si="464"/>
        <v>84.147835693359383</v>
      </c>
      <c r="FO85" s="115">
        <f t="shared" ca="1" si="396"/>
        <v>65.120121038013039</v>
      </c>
      <c r="FP85" s="115">
        <f t="shared" ca="1" si="397"/>
        <v>0.22327127887937759</v>
      </c>
      <c r="FQ85" s="138">
        <f t="shared" ca="1" si="465"/>
        <v>0.26948085543121214</v>
      </c>
      <c r="FR85" s="138">
        <f t="shared" ca="1" si="346"/>
        <v>0.42191618182688356</v>
      </c>
      <c r="FS85" s="139">
        <f t="shared" si="468"/>
        <v>5.72471752685244</v>
      </c>
      <c r="FT85" s="249">
        <f t="shared" si="316"/>
        <v>4.5152387944945183</v>
      </c>
      <c r="FU85" s="139">
        <f t="shared" ca="1" si="469"/>
        <v>0.56071155853454147</v>
      </c>
      <c r="FV85" s="249">
        <f t="shared" ca="1" si="318"/>
        <v>0.41321426549303131</v>
      </c>
      <c r="FW85" s="139">
        <f t="shared" ca="1" si="466"/>
        <v>0.6903579669145683</v>
      </c>
      <c r="FX85" s="249">
        <f t="shared" ca="1" si="319"/>
        <v>0.87391300669498828</v>
      </c>
      <c r="FY85" s="249">
        <f t="shared" si="398"/>
        <v>0.15000000000000002</v>
      </c>
      <c r="FZ85" s="139">
        <f t="shared" si="399"/>
        <v>1050000</v>
      </c>
      <c r="GA85" s="139">
        <f t="shared" si="320"/>
        <v>3.3757716049382713E-2</v>
      </c>
      <c r="GB85" s="139">
        <f t="shared" si="361"/>
        <v>121.52777777777777</v>
      </c>
      <c r="GC85" s="139">
        <f t="shared" si="400"/>
        <v>1050000</v>
      </c>
      <c r="GD85" s="139">
        <f t="shared" si="362"/>
        <v>6.7515432098765427E-2</v>
      </c>
      <c r="GE85" s="139">
        <f t="shared" si="363"/>
        <v>243.05555555555554</v>
      </c>
      <c r="GF85" s="139">
        <f t="shared" si="364"/>
        <v>4.5814043209876545E-2</v>
      </c>
      <c r="GG85" s="139">
        <f t="shared" si="401"/>
        <v>712500</v>
      </c>
      <c r="GH85" s="139">
        <f t="shared" si="365"/>
        <v>164.93055555555554</v>
      </c>
      <c r="GI85" s="137">
        <f t="shared" si="402"/>
        <v>63.532781938498573</v>
      </c>
      <c r="GJ85" s="137">
        <f t="shared" si="321"/>
        <v>0.22871801497859304</v>
      </c>
      <c r="GK85" s="251">
        <f t="shared" si="403"/>
        <v>43.212369065140081</v>
      </c>
      <c r="GL85" s="137">
        <f t="shared" si="329"/>
        <v>0.15556452863450304</v>
      </c>
      <c r="GM85" s="137">
        <f t="shared" ca="1" si="404"/>
        <v>8.1078073048827619</v>
      </c>
      <c r="GN85" s="137">
        <f t="shared" ca="1" si="322"/>
        <v>2.9188106297577711E-2</v>
      </c>
      <c r="GO85" s="137">
        <f t="shared" ca="1" si="366"/>
        <v>0.10263047221370504</v>
      </c>
      <c r="GP85" s="137">
        <f t="shared" ca="1" si="405"/>
        <v>8.636919472086273</v>
      </c>
      <c r="GQ85" s="137">
        <f t="shared" ca="1" si="323"/>
        <v>3.1092910099510335E-2</v>
      </c>
      <c r="GR85" s="137">
        <f t="shared" ca="1" si="406"/>
        <v>0.10932809458336969</v>
      </c>
      <c r="GS85" s="140">
        <f t="shared" si="407"/>
        <v>8.2476005409363104E-2</v>
      </c>
      <c r="GT85" s="140">
        <f t="shared" si="408"/>
        <v>6.5051045312282521E-2</v>
      </c>
      <c r="GU85" s="140">
        <f t="shared" si="467"/>
        <v>296.91361947370717</v>
      </c>
      <c r="GV85" s="140">
        <f t="shared" si="324"/>
        <v>234.18376312421708</v>
      </c>
      <c r="GW85" s="141">
        <f t="shared" ca="1" si="409"/>
        <v>5.3800621682555541E-3</v>
      </c>
      <c r="GX85" s="141">
        <f t="shared" ca="1" si="410"/>
        <v>3.9648164966900956E-3</v>
      </c>
      <c r="GY85" s="141">
        <f t="shared" ca="1" si="325"/>
        <v>19.368223805719996</v>
      </c>
      <c r="GZ85" s="141">
        <f t="shared" ca="1" si="326"/>
        <v>14.273339388084345</v>
      </c>
      <c r="HA85" s="141">
        <f t="shared" ca="1" si="411"/>
        <v>1.2717252423281221E-2</v>
      </c>
      <c r="HB85" s="141">
        <f t="shared" ca="1" si="412"/>
        <v>1.2781552086265713E-2</v>
      </c>
      <c r="HC85" s="141">
        <f t="shared" ca="1" si="470"/>
        <v>45.782108723812392</v>
      </c>
      <c r="HD85" s="141">
        <f t="shared" ca="1" si="328"/>
        <v>46.013587510556569</v>
      </c>
      <c r="HE85" s="137">
        <f t="shared" si="367"/>
        <v>8.0907607097225025</v>
      </c>
      <c r="HF85" s="250">
        <f t="shared" si="368"/>
        <v>7.9454590821853452</v>
      </c>
      <c r="HG85" s="137">
        <v>2.3660431828700625</v>
      </c>
      <c r="HH85" s="251">
        <v>3.7102002519295492</v>
      </c>
      <c r="HI85" s="137">
        <f t="shared" ca="1" si="369"/>
        <v>1.1045840118483992</v>
      </c>
      <c r="HJ85" s="251">
        <f t="shared" ca="1" si="370"/>
        <v>1.2013548957881459</v>
      </c>
      <c r="HK85" s="137">
        <f t="shared" ca="1" si="371"/>
        <v>0.60955714320554855</v>
      </c>
      <c r="HL85" s="251">
        <f t="shared" ca="1" si="372"/>
        <v>0.78814063029511461</v>
      </c>
      <c r="HM85" s="137">
        <f t="shared" ca="1" si="373"/>
        <v>0.68652541908965625</v>
      </c>
      <c r="HN85" s="251">
        <f t="shared" ca="1" si="374"/>
        <v>0.86510890617922231</v>
      </c>
      <c r="HO85" s="137">
        <f t="shared" ca="1" si="375"/>
        <v>0.26069195915873561</v>
      </c>
      <c r="HP85" s="251">
        <f t="shared" ca="1" si="376"/>
        <v>0.40815573286355306</v>
      </c>
      <c r="JN85" s="143">
        <f t="shared" si="413"/>
        <v>19.19506695178876</v>
      </c>
      <c r="JO85" s="143">
        <f t="shared" si="347"/>
        <v>2366.0431828700625</v>
      </c>
      <c r="JP85" s="143">
        <f t="shared" si="414"/>
        <v>3430.2202876908268</v>
      </c>
      <c r="JQ85" s="143">
        <f t="shared" si="415"/>
        <v>0.80035706361134851</v>
      </c>
      <c r="JR85" s="143">
        <f t="shared" ca="1" si="348"/>
        <v>1.00855118339501</v>
      </c>
      <c r="JS85" s="143">
        <f t="shared" si="416"/>
        <v>84.147835693359383</v>
      </c>
      <c r="JT85" s="143">
        <f t="shared" ca="1" si="349"/>
        <v>131.74714577748824</v>
      </c>
      <c r="JU85" s="143">
        <f t="shared" si="423"/>
        <v>0.24251020170943799</v>
      </c>
      <c r="JV85" s="143">
        <f t="shared" si="417"/>
        <v>0.35158420602731355</v>
      </c>
      <c r="JW85" s="143">
        <f t="shared" ca="1" si="418"/>
        <v>0.22029698337318923</v>
      </c>
      <c r="JX85" s="143">
        <f t="shared" ca="1" si="419"/>
        <v>0.27760207709901752</v>
      </c>
      <c r="JY85" s="143">
        <f t="shared" si="420"/>
        <v>0.80159377998604575</v>
      </c>
      <c r="JZ85" s="143">
        <f t="shared" si="421"/>
        <v>0.78785583479695365</v>
      </c>
      <c r="KA85" s="143">
        <f t="shared" si="350"/>
        <v>0.22878320915984715</v>
      </c>
      <c r="KB85" s="143">
        <f t="shared" si="351"/>
        <v>0.33168321323331468</v>
      </c>
      <c r="KC85" s="143">
        <f t="shared" ca="1" si="352"/>
        <v>0.52086938862774756</v>
      </c>
      <c r="KD85" s="143">
        <f t="shared" ca="1" si="353"/>
        <v>0.65604313351389554</v>
      </c>
      <c r="KE85" s="143">
        <f t="shared" ca="1" si="354"/>
        <v>0.47179693787477495</v>
      </c>
      <c r="KF85" s="143">
        <f t="shared" ca="1" si="355"/>
        <v>0.37972659410691206</v>
      </c>
      <c r="KG85" s="142">
        <f t="shared" si="356"/>
        <v>0.15556452863450304</v>
      </c>
      <c r="KH85" s="142">
        <f t="shared" ca="1" si="357"/>
        <v>0.10932809458336969</v>
      </c>
      <c r="KI85" s="142">
        <f t="shared" ca="1" si="358"/>
        <v>362.06395200323954</v>
      </c>
      <c r="KJ85" s="142">
        <f t="shared" ca="1" si="359"/>
        <v>294.47069002285798</v>
      </c>
    </row>
    <row r="86" spans="1:296" x14ac:dyDescent="0.3">
      <c r="A86" s="195">
        <v>41416</v>
      </c>
      <c r="B86" s="196">
        <v>101</v>
      </c>
      <c r="C86" s="177">
        <v>24</v>
      </c>
      <c r="D86" s="166">
        <v>4.2</v>
      </c>
      <c r="E86" s="166">
        <v>50016</v>
      </c>
      <c r="F86" s="166">
        <v>300</v>
      </c>
      <c r="G86" s="166">
        <v>11.7</v>
      </c>
      <c r="H86" s="166">
        <v>0.85</v>
      </c>
      <c r="I86" s="166">
        <v>1.4</v>
      </c>
      <c r="J86" s="166">
        <v>1.33</v>
      </c>
      <c r="K86" s="166">
        <v>0.91</v>
      </c>
      <c r="L86" s="166">
        <v>24500.474675312638</v>
      </c>
      <c r="M86" s="169">
        <v>19</v>
      </c>
      <c r="N86" s="167">
        <v>55857.083333142102</v>
      </c>
      <c r="O86" s="176">
        <v>17</v>
      </c>
      <c r="P86" s="166">
        <v>2</v>
      </c>
      <c r="Q86" s="166">
        <v>5</v>
      </c>
      <c r="R86" s="168">
        <v>347.90478515625</v>
      </c>
      <c r="S86" s="169">
        <v>71.649056848691544</v>
      </c>
      <c r="T86" s="166">
        <v>180</v>
      </c>
      <c r="U86" s="170">
        <v>2.8113744258880615</v>
      </c>
      <c r="V86" s="176">
        <v>17</v>
      </c>
      <c r="W86" s="166">
        <v>1250</v>
      </c>
      <c r="X86" s="169">
        <v>71067.231632485986</v>
      </c>
      <c r="Y86" s="169">
        <v>10561.908532507718</v>
      </c>
      <c r="Z86" s="169">
        <v>267.32855224609375</v>
      </c>
      <c r="AA86" s="169">
        <v>11.679522514343262</v>
      </c>
      <c r="AB86" s="169">
        <v>15.784152984619141</v>
      </c>
      <c r="AC86" s="212">
        <v>37</v>
      </c>
      <c r="AD86" s="212">
        <v>28.474916458129883</v>
      </c>
      <c r="AE86" s="254">
        <v>20</v>
      </c>
      <c r="AF86" s="254">
        <v>10</v>
      </c>
      <c r="AG86" s="217">
        <v>5000000</v>
      </c>
      <c r="AH86" s="218">
        <v>300000</v>
      </c>
      <c r="AI86" s="219">
        <v>5000000</v>
      </c>
      <c r="AJ86" s="225">
        <f t="shared" si="330"/>
        <v>300000</v>
      </c>
      <c r="AK86" s="220">
        <v>2750000</v>
      </c>
      <c r="AL86" s="226">
        <f t="shared" si="331"/>
        <v>300000</v>
      </c>
      <c r="AM86" s="221">
        <v>14.407</v>
      </c>
      <c r="BM86" s="197">
        <f t="shared" si="332"/>
        <v>8.5250835418701172</v>
      </c>
      <c r="BN86" s="196">
        <f t="shared" si="333"/>
        <v>180</v>
      </c>
      <c r="BO86" s="197">
        <f t="shared" si="334"/>
        <v>4.1046304702758789</v>
      </c>
      <c r="BP86" s="196">
        <f t="shared" si="294"/>
        <v>12.673123311722655</v>
      </c>
      <c r="BQ86" s="115">
        <f t="shared" si="335"/>
        <v>659.74492511188635</v>
      </c>
      <c r="BR86" s="184">
        <f t="shared" si="336"/>
        <v>1.0041987768</v>
      </c>
      <c r="BS86" s="115">
        <f t="shared" si="337"/>
        <v>6863.8528613899143</v>
      </c>
      <c r="BT86" s="196">
        <v>900</v>
      </c>
      <c r="BU86" s="115">
        <f t="shared" si="424"/>
        <v>1.1850729520000001</v>
      </c>
      <c r="BV86" s="115">
        <f t="shared" si="425"/>
        <v>1.0689344678359793</v>
      </c>
      <c r="BW86" s="115">
        <f t="shared" si="426"/>
        <v>458.53600466271428</v>
      </c>
      <c r="BX86" s="115">
        <f t="shared" si="377"/>
        <v>1103.0822769672211</v>
      </c>
      <c r="BY86" s="115"/>
      <c r="BZ86" s="115">
        <f t="shared" si="378"/>
        <v>644.54627230450683</v>
      </c>
      <c r="CA86" s="115">
        <f t="shared" si="379"/>
        <v>10434.178297193959</v>
      </c>
      <c r="CB86" s="115">
        <f t="shared" si="380"/>
        <v>2327.3784722142541</v>
      </c>
      <c r="CC86" s="115">
        <f t="shared" si="381"/>
        <v>1020.85311147136</v>
      </c>
      <c r="CD86" s="129">
        <f t="shared" si="427"/>
        <v>0.20170198745856599</v>
      </c>
      <c r="CE86" s="115">
        <f t="shared" si="382"/>
        <v>15.725208955652574</v>
      </c>
      <c r="CF86" s="115">
        <f t="shared" si="383"/>
        <v>19.902515791303209</v>
      </c>
      <c r="CG86" s="115">
        <f t="shared" si="384"/>
        <v>0.02</v>
      </c>
      <c r="CH86" s="115">
        <f t="shared" si="385"/>
        <v>0.05</v>
      </c>
      <c r="CI86" s="136">
        <v>30</v>
      </c>
      <c r="CJ86" s="115">
        <f t="shared" si="428"/>
        <v>165</v>
      </c>
      <c r="CK86" s="115">
        <f t="shared" si="386"/>
        <v>453</v>
      </c>
      <c r="CL86" s="115">
        <f t="shared" si="387"/>
        <v>620.90478515625</v>
      </c>
      <c r="CM86" s="115">
        <f t="shared" ca="1" si="388"/>
        <v>2816.5993052117487</v>
      </c>
      <c r="CN86" s="115">
        <f t="shared" ca="1" si="429"/>
        <v>125.80344444444444</v>
      </c>
      <c r="CO86" s="115">
        <f t="shared" ca="1" si="430"/>
        <v>690.58718083896258</v>
      </c>
      <c r="CP86" s="115">
        <f t="shared" ca="1" si="431"/>
        <v>2790.6388281929471</v>
      </c>
      <c r="CQ86" s="115">
        <f t="shared" si="432"/>
        <v>1.072449112508886</v>
      </c>
      <c r="CR86" s="115">
        <f t="shared" ca="1" si="338"/>
        <v>463.11374452497381</v>
      </c>
      <c r="CS86" s="115">
        <f t="shared" ca="1" si="339"/>
        <v>22.948017660275877</v>
      </c>
      <c r="CT86" s="115">
        <f t="shared" si="433"/>
        <v>1.1103390622690754</v>
      </c>
      <c r="CU86" s="115">
        <f t="shared" ca="1" si="434"/>
        <v>1.0108781053546851</v>
      </c>
      <c r="CV86" s="115">
        <f t="shared" si="360"/>
        <v>171.54627230450683</v>
      </c>
      <c r="CW86" s="115">
        <f t="shared" si="435"/>
        <v>473</v>
      </c>
      <c r="CX86" s="115">
        <f t="shared" si="436"/>
        <v>438</v>
      </c>
      <c r="CY86" s="115">
        <f t="shared" ca="1" si="437"/>
        <v>450.05198233972413</v>
      </c>
      <c r="CZ86" s="115">
        <f t="shared" ca="1" si="438"/>
        <v>170.85280281652587</v>
      </c>
      <c r="DA86" s="115">
        <v>0.21890000000000001</v>
      </c>
      <c r="DB86" s="115">
        <v>2.7E-2</v>
      </c>
      <c r="DC86" s="115">
        <v>1.06</v>
      </c>
      <c r="DD86" s="138">
        <f t="shared" si="389"/>
        <v>10.693626201011295</v>
      </c>
      <c r="DE86" s="138">
        <f t="shared" si="439"/>
        <v>10.693626201011295</v>
      </c>
      <c r="DF86" s="115">
        <f t="shared" si="440"/>
        <v>620.90478515625</v>
      </c>
      <c r="DG86" s="115">
        <v>644.54627230450683</v>
      </c>
      <c r="DH86" s="115">
        <f t="shared" si="441"/>
        <v>1.1103390622690754</v>
      </c>
      <c r="DI86" s="115">
        <f t="shared" si="299"/>
        <v>1.1166324623653543</v>
      </c>
      <c r="DJ86" s="138">
        <f t="shared" si="340"/>
        <v>2.2181232493341678</v>
      </c>
      <c r="DK86" s="138">
        <f t="shared" si="341"/>
        <v>2.4987102250478532</v>
      </c>
      <c r="DL86" s="115">
        <f t="shared" si="442"/>
        <v>620.90478515625</v>
      </c>
      <c r="DM86" s="115">
        <f t="shared" si="293"/>
        <v>644.54627230450683</v>
      </c>
      <c r="DN86" s="115">
        <f t="shared" si="300"/>
        <v>12.788333523647406</v>
      </c>
      <c r="DO86" s="115">
        <f t="shared" si="301"/>
        <v>1.1103390622690754</v>
      </c>
      <c r="DP86" s="115">
        <f t="shared" si="443"/>
        <v>1.1166324623653543</v>
      </c>
      <c r="DQ86" s="115">
        <v>298.14999999999998</v>
      </c>
      <c r="DR86" s="138">
        <f t="shared" si="302"/>
        <v>1.4772700840565554</v>
      </c>
      <c r="DS86" s="138">
        <f t="shared" si="303"/>
        <v>1.6641410098818705</v>
      </c>
      <c r="DT86" s="115">
        <f t="shared" si="444"/>
        <v>620.90478515625</v>
      </c>
      <c r="DU86" s="139">
        <f t="shared" si="422"/>
        <v>6.4133684638111603</v>
      </c>
      <c r="DV86" s="115">
        <f t="shared" si="445"/>
        <v>1.1103390622690754</v>
      </c>
      <c r="DW86" s="115">
        <v>298.14999999999998</v>
      </c>
      <c r="DX86" s="138">
        <f t="shared" si="342"/>
        <v>0.74085316527761191</v>
      </c>
      <c r="DY86" s="138">
        <f t="shared" si="343"/>
        <v>0.83456921516598304</v>
      </c>
      <c r="DZ86" s="138">
        <f t="shared" si="446"/>
        <v>2.3273784722142543</v>
      </c>
      <c r="EA86" s="138">
        <f t="shared" si="447"/>
        <v>3.5703254358040448</v>
      </c>
      <c r="EB86" s="115">
        <f t="shared" si="448"/>
        <v>19.902515791303209</v>
      </c>
      <c r="EC86" s="115">
        <v>30</v>
      </c>
      <c r="ED86" s="198">
        <f t="shared" ca="1" si="449"/>
        <v>125.80344444444444</v>
      </c>
      <c r="EE86" s="198">
        <v>104.83</v>
      </c>
      <c r="EF86" s="198">
        <f t="shared" ca="1" si="450"/>
        <v>0.42491111111111107</v>
      </c>
      <c r="EG86" s="199">
        <v>0.36720000000000003</v>
      </c>
      <c r="EH86" s="138">
        <f t="shared" ca="1" si="304"/>
        <v>7.497032234222524E-2</v>
      </c>
      <c r="EI86" s="138">
        <f t="shared" ca="1" si="451"/>
        <v>7.497032234222524E-2</v>
      </c>
      <c r="EJ86" s="115">
        <f t="shared" si="452"/>
        <v>12.788333523647406</v>
      </c>
      <c r="EK86" s="115">
        <v>435</v>
      </c>
      <c r="EL86" s="115">
        <f t="shared" ca="1" si="453"/>
        <v>450.05198233972413</v>
      </c>
      <c r="EM86" s="115">
        <f t="shared" ca="1" si="305"/>
        <v>1.0622255364241773</v>
      </c>
      <c r="EN86" s="115">
        <f t="shared" ca="1" si="306"/>
        <v>1.0668927956872019</v>
      </c>
      <c r="EO86" s="115">
        <v>298.14999999999998</v>
      </c>
      <c r="EP86" s="138">
        <f t="shared" ca="1" si="307"/>
        <v>0.32906166844229179</v>
      </c>
      <c r="EQ86" s="138">
        <f t="shared" ca="1" si="308"/>
        <v>0.39749569013795977</v>
      </c>
      <c r="ER86" s="115">
        <f t="shared" si="454"/>
        <v>0.78093734052446162</v>
      </c>
      <c r="ES86" s="115">
        <f t="shared" si="455"/>
        <v>453</v>
      </c>
      <c r="ET86" s="115">
        <f t="shared" ca="1" si="390"/>
        <v>2816.5993052117487</v>
      </c>
      <c r="EU86" s="115">
        <f t="shared" ca="1" si="391"/>
        <v>6.5855309782608691</v>
      </c>
      <c r="EV86" s="138">
        <f t="shared" ca="1" si="456"/>
        <v>0.66986768701358346</v>
      </c>
      <c r="EW86" s="138">
        <f t="shared" ca="1" si="344"/>
        <v>0.90953003889154038</v>
      </c>
      <c r="EX86" s="115">
        <v>21.47</v>
      </c>
      <c r="EY86" s="115">
        <f t="shared" ca="1" si="392"/>
        <v>119.25513370132445</v>
      </c>
      <c r="EZ86" s="115">
        <f t="shared" ca="1" si="393"/>
        <v>0.40364466838836666</v>
      </c>
      <c r="FA86" s="138">
        <f t="shared" ca="1" si="310"/>
        <v>7.6415075484018338E-2</v>
      </c>
      <c r="FB86" s="138">
        <f t="shared" ca="1" si="457"/>
        <v>7.6415075484018338E-2</v>
      </c>
      <c r="FC86" s="115">
        <f t="shared" si="458"/>
        <v>21.47</v>
      </c>
      <c r="FD86" s="115">
        <v>37</v>
      </c>
      <c r="FE86" s="115">
        <f t="shared" ca="1" si="459"/>
        <v>154.93355555555553</v>
      </c>
      <c r="FF86" s="115">
        <f t="shared" ca="1" si="460"/>
        <v>0.52252222222222222</v>
      </c>
      <c r="FG86" s="138">
        <f t="shared" ca="1" si="461"/>
        <v>8.1462225449999703E-2</v>
      </c>
      <c r="FH86" s="138">
        <f t="shared" ca="1" si="312"/>
        <v>8.1462225449999703E-2</v>
      </c>
      <c r="FI86" s="115">
        <f t="shared" si="462"/>
        <v>74.851994628906255</v>
      </c>
      <c r="FJ86" s="115">
        <f t="shared" ca="1" si="394"/>
        <v>48.964543891694817</v>
      </c>
      <c r="FK86" s="115">
        <f t="shared" ca="1" si="395"/>
        <v>0.16944223061667549</v>
      </c>
      <c r="FL86" s="138">
        <f t="shared" ca="1" si="463"/>
        <v>0.23174348449161461</v>
      </c>
      <c r="FM86" s="138">
        <f t="shared" ca="1" si="345"/>
        <v>0.40020258331290426</v>
      </c>
      <c r="FN86" s="115">
        <f t="shared" si="464"/>
        <v>74.851994628906255</v>
      </c>
      <c r="FO86" s="115">
        <f t="shared" ca="1" si="396"/>
        <v>66.142878479851618</v>
      </c>
      <c r="FP86" s="115">
        <f t="shared" ca="1" si="397"/>
        <v>0.22667902217441135</v>
      </c>
      <c r="FQ86" s="138">
        <f t="shared" ca="1" si="465"/>
        <v>0.24021562136761349</v>
      </c>
      <c r="FR86" s="138">
        <f t="shared" ca="1" si="346"/>
        <v>0.41483329049931478</v>
      </c>
      <c r="FS86" s="139">
        <f t="shared" si="468"/>
        <v>6.1481244794628722</v>
      </c>
      <c r="FT86" s="249">
        <f t="shared" si="316"/>
        <v>4.6245905401593967</v>
      </c>
      <c r="FU86" s="139">
        <f t="shared" ca="1" si="469"/>
        <v>0.55331105094290545</v>
      </c>
      <c r="FV86" s="249">
        <f t="shared" ca="1" si="318"/>
        <v>0.43208560319459566</v>
      </c>
      <c r="FW86" s="139">
        <f t="shared" ca="1" si="466"/>
        <v>0.67329267392360093</v>
      </c>
      <c r="FX86" s="249">
        <f t="shared" ca="1" si="319"/>
        <v>0.91911359611196952</v>
      </c>
      <c r="FY86" s="249">
        <f t="shared" si="398"/>
        <v>0.15000000000000002</v>
      </c>
      <c r="FZ86" s="139">
        <f t="shared" si="399"/>
        <v>1050000</v>
      </c>
      <c r="GA86" s="139">
        <f t="shared" si="320"/>
        <v>3.3757716049382713E-2</v>
      </c>
      <c r="GB86" s="139">
        <f t="shared" si="361"/>
        <v>121.52777777777777</v>
      </c>
      <c r="GC86" s="139">
        <f t="shared" si="400"/>
        <v>1050000</v>
      </c>
      <c r="GD86" s="139">
        <f t="shared" si="362"/>
        <v>6.7515432098765427E-2</v>
      </c>
      <c r="GE86" s="139">
        <f t="shared" si="363"/>
        <v>243.05555555555554</v>
      </c>
      <c r="GF86" s="139">
        <f t="shared" si="364"/>
        <v>4.5814043209876545E-2</v>
      </c>
      <c r="GG86" s="139">
        <f t="shared" si="401"/>
        <v>712500</v>
      </c>
      <c r="GH86" s="139">
        <f t="shared" si="365"/>
        <v>164.93055555555554</v>
      </c>
      <c r="GI86" s="137">
        <f t="shared" si="402"/>
        <v>66.96989292244622</v>
      </c>
      <c r="GJ86" s="137">
        <f t="shared" si="321"/>
        <v>0.24109161452080446</v>
      </c>
      <c r="GK86" s="251">
        <f t="shared" si="403"/>
        <v>42.523258242115233</v>
      </c>
      <c r="GL86" s="137">
        <f t="shared" si="329"/>
        <v>0.15308372967161363</v>
      </c>
      <c r="GM86" s="137">
        <f t="shared" ca="1" si="404"/>
        <v>8.1222934317503324</v>
      </c>
      <c r="GN86" s="137">
        <f t="shared" ca="1" si="322"/>
        <v>2.9240256354300963E-2</v>
      </c>
      <c r="GO86" s="137">
        <f t="shared" ca="1" si="366"/>
        <v>0.10281384090823124</v>
      </c>
      <c r="GP86" s="137">
        <f t="shared" ca="1" si="405"/>
        <v>8.8490881641494887</v>
      </c>
      <c r="GQ86" s="137">
        <f t="shared" ca="1" si="323"/>
        <v>3.1856717390937907E-2</v>
      </c>
      <c r="GR86" s="137">
        <f t="shared" ca="1" si="406"/>
        <v>0.11201377422973947</v>
      </c>
      <c r="GS86" s="140">
        <f t="shared" si="407"/>
        <v>8.8576029375621604E-2</v>
      </c>
      <c r="GT86" s="140">
        <f t="shared" si="408"/>
        <v>6.6626475912076433E-2</v>
      </c>
      <c r="GU86" s="140">
        <f t="shared" si="467"/>
        <v>318.87370575223775</v>
      </c>
      <c r="GV86" s="140">
        <f t="shared" si="324"/>
        <v>239.85531328347517</v>
      </c>
      <c r="GW86" s="141">
        <f t="shared" ca="1" si="409"/>
        <v>5.3090538390823359E-3</v>
      </c>
      <c r="GX86" s="141">
        <f t="shared" ca="1" si="410"/>
        <v>4.1458881519595434E-3</v>
      </c>
      <c r="GY86" s="141">
        <f t="shared" ca="1" si="325"/>
        <v>19.112593820696411</v>
      </c>
      <c r="GZ86" s="141">
        <f t="shared" ca="1" si="326"/>
        <v>14.925197347054356</v>
      </c>
      <c r="HA86" s="141">
        <f t="shared" ca="1" si="411"/>
        <v>1.2468963535352599E-2</v>
      </c>
      <c r="HB86" s="141">
        <f t="shared" ca="1" si="412"/>
        <v>1.3384883044321566E-2</v>
      </c>
      <c r="HC86" s="141">
        <f t="shared" ca="1" si="470"/>
        <v>44.888268727269356</v>
      </c>
      <c r="HD86" s="141">
        <f t="shared" ca="1" si="328"/>
        <v>48.185578959557638</v>
      </c>
      <c r="HE86" s="137">
        <f t="shared" si="367"/>
        <v>8.475502951677127</v>
      </c>
      <c r="HF86" s="250">
        <f t="shared" si="368"/>
        <v>8.1949159759634416</v>
      </c>
      <c r="HG86" s="137">
        <v>2.3273784722142543</v>
      </c>
      <c r="HH86" s="251">
        <v>4.1082973499118181</v>
      </c>
      <c r="HI86" s="137">
        <f t="shared" ca="1" si="369"/>
        <v>1.0797743939185955</v>
      </c>
      <c r="HJ86" s="251">
        <f t="shared" ca="1" si="370"/>
        <v>1.2666453197439107</v>
      </c>
      <c r="HK86" s="137">
        <f t="shared" ca="1" si="371"/>
        <v>0.59489736467135823</v>
      </c>
      <c r="HL86" s="251">
        <f t="shared" ca="1" si="372"/>
        <v>0.83455971654931516</v>
      </c>
      <c r="HM86" s="137">
        <f t="shared" ca="1" si="373"/>
        <v>0.66986768701358346</v>
      </c>
      <c r="HN86" s="251">
        <f t="shared" ca="1" si="374"/>
        <v>0.90953003889154038</v>
      </c>
      <c r="HO86" s="137">
        <f t="shared" ca="1" si="375"/>
        <v>0.23174348449161461</v>
      </c>
      <c r="HP86" s="251">
        <f t="shared" ca="1" si="376"/>
        <v>0.40020258331290426</v>
      </c>
      <c r="JN86" s="143">
        <f t="shared" si="413"/>
        <v>19.201701987458566</v>
      </c>
      <c r="JO86" s="143">
        <f t="shared" si="347"/>
        <v>2327.3784722142541</v>
      </c>
      <c r="JP86" s="143">
        <f t="shared" si="414"/>
        <v>3570.3254358040449</v>
      </c>
      <c r="JQ86" s="143">
        <f t="shared" si="415"/>
        <v>0.78093734052446162</v>
      </c>
      <c r="JR86" s="143">
        <f t="shared" ca="1" si="348"/>
        <v>1.0603377106689229</v>
      </c>
      <c r="JS86" s="143">
        <f t="shared" si="416"/>
        <v>74.851994628906255</v>
      </c>
      <c r="JT86" s="143">
        <f t="shared" ca="1" si="349"/>
        <v>129.26344696304005</v>
      </c>
      <c r="JU86" s="143">
        <f t="shared" si="423"/>
        <v>0.23070015111560596</v>
      </c>
      <c r="JV86" s="143">
        <f t="shared" si="417"/>
        <v>0.35390660668449242</v>
      </c>
      <c r="JW86" s="143">
        <f t="shared" ca="1" si="418"/>
        <v>0.2078944995276461</v>
      </c>
      <c r="JX86" s="143">
        <f t="shared" ca="1" si="419"/>
        <v>0.28227409069947124</v>
      </c>
      <c r="JY86" s="143">
        <f t="shared" si="420"/>
        <v>0.77445828337367262</v>
      </c>
      <c r="JZ86" s="143">
        <f t="shared" si="421"/>
        <v>0.88457645452293232</v>
      </c>
      <c r="KA86" s="143">
        <f t="shared" si="350"/>
        <v>0.21764165199585472</v>
      </c>
      <c r="KB86" s="143">
        <f t="shared" si="351"/>
        <v>0.33387415724952119</v>
      </c>
      <c r="KC86" s="143">
        <f t="shared" ca="1" si="352"/>
        <v>0.51810921831042545</v>
      </c>
      <c r="KD86" s="143">
        <f t="shared" ca="1" si="353"/>
        <v>0.65887403801250832</v>
      </c>
      <c r="KE86" s="143">
        <f t="shared" ca="1" si="354"/>
        <v>0.44001029784638879</v>
      </c>
      <c r="KF86" s="143">
        <f t="shared" ca="1" si="355"/>
        <v>0.34595411748367461</v>
      </c>
      <c r="KG86" s="142">
        <f t="shared" si="356"/>
        <v>0.15308372967161363</v>
      </c>
      <c r="KH86" s="142">
        <f t="shared" ca="1" si="357"/>
        <v>0.11201377422973947</v>
      </c>
      <c r="KI86" s="142">
        <f t="shared" ca="1" si="358"/>
        <v>382.87456830020352</v>
      </c>
      <c r="KJ86" s="142">
        <f t="shared" ca="1" si="359"/>
        <v>302.96608959008717</v>
      </c>
    </row>
    <row r="87" spans="1:296" x14ac:dyDescent="0.3">
      <c r="A87" s="195">
        <v>41417</v>
      </c>
      <c r="B87" s="196">
        <v>102</v>
      </c>
      <c r="C87" s="177">
        <v>24</v>
      </c>
      <c r="D87" s="166">
        <v>4.2</v>
      </c>
      <c r="E87" s="166">
        <v>50016</v>
      </c>
      <c r="F87" s="166">
        <v>300</v>
      </c>
      <c r="G87" s="166">
        <v>11.7</v>
      </c>
      <c r="H87" s="166">
        <v>0.85</v>
      </c>
      <c r="I87" s="166">
        <v>1.4</v>
      </c>
      <c r="J87" s="166">
        <v>1.33</v>
      </c>
      <c r="K87" s="166">
        <v>0.91</v>
      </c>
      <c r="L87" s="166">
        <v>25515.219054013491</v>
      </c>
      <c r="M87" s="169">
        <v>19</v>
      </c>
      <c r="N87" s="167">
        <v>58046.835833653808</v>
      </c>
      <c r="O87" s="176">
        <v>17</v>
      </c>
      <c r="P87" s="166">
        <v>2</v>
      </c>
      <c r="Q87" s="166">
        <v>5</v>
      </c>
      <c r="R87" s="168">
        <v>349.33734130859375</v>
      </c>
      <c r="S87" s="169">
        <v>72.810716042877175</v>
      </c>
      <c r="T87" s="166">
        <v>180</v>
      </c>
      <c r="U87" s="170">
        <v>2.8187160491943359</v>
      </c>
      <c r="V87" s="176">
        <v>17</v>
      </c>
      <c r="W87" s="166">
        <v>1250</v>
      </c>
      <c r="X87" s="169">
        <v>69211.704605475068</v>
      </c>
      <c r="Y87" s="169">
        <v>9950.7914538234472</v>
      </c>
      <c r="Z87" s="169">
        <v>275.05319213867187</v>
      </c>
      <c r="AA87" s="169">
        <v>11.85166072845459</v>
      </c>
      <c r="AB87" s="169">
        <v>15.952651023864746</v>
      </c>
      <c r="AC87" s="212">
        <v>37</v>
      </c>
      <c r="AD87" s="212">
        <v>28.820262908935547</v>
      </c>
      <c r="AE87" s="254">
        <v>20</v>
      </c>
      <c r="AF87" s="254">
        <v>10</v>
      </c>
      <c r="AG87" s="217">
        <v>5000000</v>
      </c>
      <c r="AH87" s="218">
        <v>300000</v>
      </c>
      <c r="AI87" s="219">
        <v>5000000</v>
      </c>
      <c r="AJ87" s="225">
        <f t="shared" si="330"/>
        <v>300000</v>
      </c>
      <c r="AK87" s="220">
        <v>2750000</v>
      </c>
      <c r="AL87" s="226">
        <f t="shared" si="331"/>
        <v>300000</v>
      </c>
      <c r="AM87" s="221">
        <v>14.407</v>
      </c>
      <c r="BM87" s="197">
        <f t="shared" si="332"/>
        <v>8.1797370910644531</v>
      </c>
      <c r="BN87" s="196">
        <f t="shared" si="333"/>
        <v>180</v>
      </c>
      <c r="BO87" s="197">
        <f t="shared" si="334"/>
        <v>4.1009902954101563</v>
      </c>
      <c r="BP87" s="196">
        <f t="shared" si="294"/>
        <v>12.678636924582602</v>
      </c>
      <c r="BQ87" s="115">
        <f t="shared" si="335"/>
        <v>659.74492511188635</v>
      </c>
      <c r="BR87" s="184">
        <f t="shared" si="336"/>
        <v>1.0041987768</v>
      </c>
      <c r="BS87" s="115">
        <f t="shared" si="337"/>
        <v>6863.8528613899143</v>
      </c>
      <c r="BT87" s="196">
        <v>900</v>
      </c>
      <c r="BU87" s="115">
        <f t="shared" si="424"/>
        <v>1.1850729520000001</v>
      </c>
      <c r="BV87" s="115">
        <f t="shared" si="425"/>
        <v>1.0707636649913548</v>
      </c>
      <c r="BW87" s="115">
        <f t="shared" si="426"/>
        <v>466.08530990058148</v>
      </c>
      <c r="BX87" s="115">
        <f t="shared" si="377"/>
        <v>1121.243347693679</v>
      </c>
      <c r="BY87" s="115"/>
      <c r="BZ87" s="115">
        <f t="shared" si="378"/>
        <v>655.15803779309749</v>
      </c>
      <c r="CA87" s="115">
        <f t="shared" si="379"/>
        <v>10610.580159109968</v>
      </c>
      <c r="CB87" s="115">
        <f t="shared" si="380"/>
        <v>2418.6181597355753</v>
      </c>
      <c r="CC87" s="115">
        <f t="shared" si="381"/>
        <v>1063.1341272505622</v>
      </c>
      <c r="CD87" s="129">
        <f t="shared" si="427"/>
        <v>0.21005594633727323</v>
      </c>
      <c r="CE87" s="115">
        <f t="shared" si="382"/>
        <v>16.179599537568933</v>
      </c>
      <c r="CF87" s="115">
        <f t="shared" si="383"/>
        <v>20.225198900799217</v>
      </c>
      <c r="CG87" s="115">
        <f t="shared" si="384"/>
        <v>0.02</v>
      </c>
      <c r="CH87" s="115">
        <f t="shared" si="385"/>
        <v>0.05</v>
      </c>
      <c r="CI87" s="136">
        <v>30</v>
      </c>
      <c r="CJ87" s="115">
        <f t="shared" si="428"/>
        <v>165</v>
      </c>
      <c r="CK87" s="115">
        <f t="shared" si="386"/>
        <v>453</v>
      </c>
      <c r="CL87" s="115">
        <f t="shared" si="387"/>
        <v>622.33734130859375</v>
      </c>
      <c r="CM87" s="115">
        <f t="shared" ca="1" si="388"/>
        <v>2816.5993052117487</v>
      </c>
      <c r="CN87" s="115">
        <f t="shared" ca="1" si="429"/>
        <v>125.80344444444444</v>
      </c>
      <c r="CO87" s="115">
        <f t="shared" ca="1" si="430"/>
        <v>690.58718083896258</v>
      </c>
      <c r="CP87" s="115">
        <f t="shared" ca="1" si="431"/>
        <v>2790.6388281929471</v>
      </c>
      <c r="CQ87" s="115">
        <f t="shared" si="432"/>
        <v>1.072449112508886</v>
      </c>
      <c r="CR87" s="115">
        <f t="shared" ca="1" si="338"/>
        <v>464.32311977892516</v>
      </c>
      <c r="CS87" s="115">
        <f t="shared" ca="1" si="339"/>
        <v>22.99793855197089</v>
      </c>
      <c r="CT87" s="115">
        <f t="shared" si="433"/>
        <v>1.110719133663405</v>
      </c>
      <c r="CU87" s="115">
        <f t="shared" ca="1" si="434"/>
        <v>1.0111038243322263</v>
      </c>
      <c r="CV87" s="115">
        <f t="shared" si="360"/>
        <v>182.15803779309749</v>
      </c>
      <c r="CW87" s="115">
        <f t="shared" si="435"/>
        <v>473</v>
      </c>
      <c r="CX87" s="115">
        <f t="shared" si="436"/>
        <v>438</v>
      </c>
      <c r="CY87" s="115">
        <f t="shared" ca="1" si="437"/>
        <v>450.00206144802911</v>
      </c>
      <c r="CZ87" s="115">
        <f t="shared" ca="1" si="438"/>
        <v>172.33527986056464</v>
      </c>
      <c r="DA87" s="115">
        <v>0.21890000000000001</v>
      </c>
      <c r="DB87" s="115">
        <v>2.7E-2</v>
      </c>
      <c r="DC87" s="115">
        <v>1.06</v>
      </c>
      <c r="DD87" s="138">
        <f t="shared" si="389"/>
        <v>11.13652770472536</v>
      </c>
      <c r="DE87" s="138">
        <f t="shared" si="439"/>
        <v>11.13652770472536</v>
      </c>
      <c r="DF87" s="115">
        <f t="shared" si="440"/>
        <v>622.33734130859375</v>
      </c>
      <c r="DG87" s="115">
        <v>655.15803779309749</v>
      </c>
      <c r="DH87" s="115">
        <f t="shared" si="441"/>
        <v>1.110719133663405</v>
      </c>
      <c r="DI87" s="115">
        <f t="shared" si="299"/>
        <v>1.1194704622278338</v>
      </c>
      <c r="DJ87" s="138">
        <f t="shared" si="340"/>
        <v>2.235753619429806</v>
      </c>
      <c r="DK87" s="138">
        <f t="shared" si="341"/>
        <v>2.6296547824315581</v>
      </c>
      <c r="DL87" s="115">
        <f t="shared" si="442"/>
        <v>622.33734130859375</v>
      </c>
      <c r="DM87" s="115">
        <f t="shared" si="293"/>
        <v>655.15803779309749</v>
      </c>
      <c r="DN87" s="115">
        <f t="shared" si="300"/>
        <v>12.793897260260625</v>
      </c>
      <c r="DO87" s="115">
        <f t="shared" si="301"/>
        <v>1.110719133663405</v>
      </c>
      <c r="DP87" s="115">
        <f t="shared" si="443"/>
        <v>1.1194704622278338</v>
      </c>
      <c r="DQ87" s="115">
        <v>298.14999999999998</v>
      </c>
      <c r="DR87" s="138">
        <f t="shared" si="302"/>
        <v>1.4890119105402508</v>
      </c>
      <c r="DS87" s="138">
        <f t="shared" si="303"/>
        <v>1.7513500850994179</v>
      </c>
      <c r="DT87" s="115">
        <f t="shared" si="444"/>
        <v>622.33734130859375</v>
      </c>
      <c r="DU87" s="139">
        <f t="shared" si="422"/>
        <v>6.4161586860766491</v>
      </c>
      <c r="DV87" s="115">
        <f t="shared" si="445"/>
        <v>1.110719133663405</v>
      </c>
      <c r="DW87" s="115">
        <v>298.14999999999998</v>
      </c>
      <c r="DX87" s="138">
        <f t="shared" si="342"/>
        <v>0.74674170888955516</v>
      </c>
      <c r="DY87" s="138">
        <f t="shared" si="343"/>
        <v>0.87830469733214023</v>
      </c>
      <c r="DZ87" s="138">
        <f t="shared" si="446"/>
        <v>2.4186181597355754</v>
      </c>
      <c r="EA87" s="138">
        <f t="shared" si="447"/>
        <v>3.7467272977200539</v>
      </c>
      <c r="EB87" s="115">
        <f t="shared" si="448"/>
        <v>20.225198900799217</v>
      </c>
      <c r="EC87" s="115">
        <v>30</v>
      </c>
      <c r="ED87" s="198">
        <f t="shared" ca="1" si="449"/>
        <v>125.80344444444444</v>
      </c>
      <c r="EE87" s="198">
        <v>104.83</v>
      </c>
      <c r="EF87" s="198">
        <f t="shared" ca="1" si="450"/>
        <v>0.42491111111111107</v>
      </c>
      <c r="EG87" s="199">
        <v>0.36720000000000003</v>
      </c>
      <c r="EH87" s="138">
        <f t="shared" ca="1" si="304"/>
        <v>7.6185829818113213E-2</v>
      </c>
      <c r="EI87" s="138">
        <f t="shared" ca="1" si="451"/>
        <v>7.6185829818113213E-2</v>
      </c>
      <c r="EJ87" s="115">
        <f t="shared" si="452"/>
        <v>12.793897260260625</v>
      </c>
      <c r="EK87" s="115">
        <v>435</v>
      </c>
      <c r="EL87" s="115">
        <f t="shared" ca="1" si="453"/>
        <v>450.00206144802911</v>
      </c>
      <c r="EM87" s="115">
        <f t="shared" ca="1" si="305"/>
        <v>1.0622292501615471</v>
      </c>
      <c r="EN87" s="115">
        <f t="shared" ca="1" si="306"/>
        <v>1.0668808269780494</v>
      </c>
      <c r="EO87" s="115">
        <v>298.14999999999998</v>
      </c>
      <c r="EP87" s="138">
        <f t="shared" ca="1" si="307"/>
        <v>0.32920598211098601</v>
      </c>
      <c r="EQ87" s="138">
        <f t="shared" ca="1" si="308"/>
        <v>0.39743420361799414</v>
      </c>
      <c r="ER87" s="115">
        <f t="shared" si="454"/>
        <v>0.78297668033176004</v>
      </c>
      <c r="ES87" s="115">
        <f t="shared" si="455"/>
        <v>453</v>
      </c>
      <c r="ET87" s="115">
        <f t="shared" ca="1" si="390"/>
        <v>2816.5993052117487</v>
      </c>
      <c r="EU87" s="115">
        <f t="shared" ca="1" si="391"/>
        <v>6.5855309782608691</v>
      </c>
      <c r="EV87" s="138">
        <f t="shared" ca="1" si="456"/>
        <v>0.67161697952254762</v>
      </c>
      <c r="EW87" s="138">
        <f t="shared" ca="1" si="344"/>
        <v>0.96654402439999598</v>
      </c>
      <c r="EX87" s="115">
        <v>21.47</v>
      </c>
      <c r="EY87" s="115">
        <f t="shared" ca="1" si="392"/>
        <v>120.70044696977403</v>
      </c>
      <c r="EZ87" s="115">
        <f t="shared" ca="1" si="393"/>
        <v>0.40846033278571231</v>
      </c>
      <c r="FA87" s="138">
        <f t="shared" ca="1" si="310"/>
        <v>7.6619532756357855E-2</v>
      </c>
      <c r="FB87" s="138">
        <f t="shared" ca="1" si="457"/>
        <v>7.6619532756357855E-2</v>
      </c>
      <c r="FC87" s="115">
        <f t="shared" si="458"/>
        <v>21.47</v>
      </c>
      <c r="FD87" s="115">
        <v>37</v>
      </c>
      <c r="FE87" s="115">
        <f t="shared" ca="1" si="459"/>
        <v>154.93355555555553</v>
      </c>
      <c r="FF87" s="115">
        <f t="shared" ca="1" si="460"/>
        <v>0.52252222222222222</v>
      </c>
      <c r="FG87" s="138">
        <f t="shared" ca="1" si="461"/>
        <v>8.1462225449999703E-2</v>
      </c>
      <c r="FH87" s="138">
        <f t="shared" ca="1" si="312"/>
        <v>8.1462225449999703E-2</v>
      </c>
      <c r="FI87" s="115">
        <f t="shared" si="462"/>
        <v>77.014893798828126</v>
      </c>
      <c r="FJ87" s="115">
        <f t="shared" ca="1" si="394"/>
        <v>49.684961444218963</v>
      </c>
      <c r="FK87" s="115">
        <f t="shared" ca="1" si="395"/>
        <v>0.17184260238011678</v>
      </c>
      <c r="FL87" s="138">
        <f t="shared" ca="1" si="463"/>
        <v>0.23880543717102018</v>
      </c>
      <c r="FM87" s="138">
        <f t="shared" ca="1" si="345"/>
        <v>0.44060075775954305</v>
      </c>
      <c r="FN87" s="115">
        <f t="shared" si="464"/>
        <v>77.014893798828126</v>
      </c>
      <c r="FO87" s="115">
        <f t="shared" ca="1" si="396"/>
        <v>66.848061496098836</v>
      </c>
      <c r="FP87" s="115">
        <f t="shared" ca="1" si="397"/>
        <v>0.22902863372166951</v>
      </c>
      <c r="FQ87" s="138">
        <f t="shared" ca="1" si="465"/>
        <v>0.24751465160287853</v>
      </c>
      <c r="FR87" s="138">
        <f t="shared" ca="1" si="346"/>
        <v>0.4566694307496772</v>
      </c>
      <c r="FS87" s="139">
        <f t="shared" si="468"/>
        <v>6.4821559255599785</v>
      </c>
      <c r="FT87" s="249">
        <f t="shared" si="316"/>
        <v>4.7601456245737479</v>
      </c>
      <c r="FU87" s="139">
        <f t="shared" ca="1" si="469"/>
        <v>0.56437477872483055</v>
      </c>
      <c r="FV87" s="249">
        <f t="shared" ca="1" si="318"/>
        <v>0.46355768689954102</v>
      </c>
      <c r="FW87" s="139">
        <f t="shared" ca="1" si="466"/>
        <v>0.67548350126076406</v>
      </c>
      <c r="FX87" s="249">
        <f t="shared" ca="1" si="319"/>
        <v>0.97777000469648834</v>
      </c>
      <c r="FY87" s="249">
        <f t="shared" si="398"/>
        <v>0.15000000000000002</v>
      </c>
      <c r="FZ87" s="139">
        <f t="shared" si="399"/>
        <v>1050000</v>
      </c>
      <c r="GA87" s="139">
        <f t="shared" si="320"/>
        <v>3.3757716049382713E-2</v>
      </c>
      <c r="GB87" s="139">
        <f t="shared" si="361"/>
        <v>121.52777777777777</v>
      </c>
      <c r="GC87" s="139">
        <f t="shared" si="400"/>
        <v>1050000</v>
      </c>
      <c r="GD87" s="139">
        <f t="shared" si="362"/>
        <v>6.7515432098765427E-2</v>
      </c>
      <c r="GE87" s="139">
        <f t="shared" si="363"/>
        <v>243.05555555555554</v>
      </c>
      <c r="GF87" s="139">
        <f t="shared" si="364"/>
        <v>4.5814043209876545E-2</v>
      </c>
      <c r="GG87" s="139">
        <f t="shared" si="401"/>
        <v>712500</v>
      </c>
      <c r="GH87" s="139">
        <f t="shared" si="365"/>
        <v>164.93055555555554</v>
      </c>
      <c r="GI87" s="137">
        <f t="shared" si="402"/>
        <v>66.97674357739298</v>
      </c>
      <c r="GJ87" s="137">
        <f t="shared" si="321"/>
        <v>0.24111627687861281</v>
      </c>
      <c r="GK87" s="251">
        <f t="shared" si="403"/>
        <v>41.720739680197852</v>
      </c>
      <c r="GL87" s="137">
        <f t="shared" si="329"/>
        <v>0.15019466284871108</v>
      </c>
      <c r="GM87" s="137">
        <f t="shared" ca="1" si="404"/>
        <v>8.4256837154094075</v>
      </c>
      <c r="GN87" s="137">
        <f t="shared" ca="1" si="322"/>
        <v>3.0332461375473626E-2</v>
      </c>
      <c r="GO87" s="137">
        <f t="shared" ca="1" si="366"/>
        <v>0.10665422424568786</v>
      </c>
      <c r="GP87" s="137">
        <f t="shared" ca="1" si="405"/>
        <v>9.2277081848233085</v>
      </c>
      <c r="GQ87" s="137">
        <f t="shared" ca="1" si="323"/>
        <v>3.3219749465363643E-2</v>
      </c>
      <c r="GR87" s="137">
        <f t="shared" ca="1" si="406"/>
        <v>0.11680643271928146</v>
      </c>
      <c r="GS87" s="140">
        <f t="shared" si="407"/>
        <v>9.3388420419542609E-2</v>
      </c>
      <c r="GT87" s="140">
        <f t="shared" si="408"/>
        <v>6.8579418013233986E-2</v>
      </c>
      <c r="GU87" s="140">
        <f t="shared" si="467"/>
        <v>336.19831351035339</v>
      </c>
      <c r="GV87" s="140">
        <f t="shared" si="324"/>
        <v>246.88590484764237</v>
      </c>
      <c r="GW87" s="141">
        <f t="shared" ca="1" si="409"/>
        <v>5.4152109931010295E-3</v>
      </c>
      <c r="GX87" s="141">
        <f t="shared" ca="1" si="410"/>
        <v>4.4478647463776829E-3</v>
      </c>
      <c r="GY87" s="141">
        <f t="shared" ca="1" si="325"/>
        <v>19.494759575163705</v>
      </c>
      <c r="GZ87" s="141">
        <f t="shared" ca="1" si="326"/>
        <v>16.012313086959658</v>
      </c>
      <c r="HA87" s="141">
        <f t="shared" ca="1" si="411"/>
        <v>1.2624561568515593E-2</v>
      </c>
      <c r="HB87" s="141">
        <f t="shared" ca="1" si="412"/>
        <v>1.4266302152520173E-2</v>
      </c>
      <c r="HC87" s="141">
        <f t="shared" ca="1" si="470"/>
        <v>45.448421646656136</v>
      </c>
      <c r="HD87" s="141">
        <f t="shared" ca="1" si="328"/>
        <v>51.358687749072622</v>
      </c>
      <c r="HE87" s="137">
        <f t="shared" si="367"/>
        <v>8.9007740852955539</v>
      </c>
      <c r="HF87" s="250">
        <f t="shared" si="368"/>
        <v>8.5068729222938018</v>
      </c>
      <c r="HG87" s="137">
        <v>2.4186181597355754</v>
      </c>
      <c r="HH87" s="251">
        <v>4.493900880601112</v>
      </c>
      <c r="HI87" s="137">
        <f t="shared" ca="1" si="369"/>
        <v>1.0915777069222568</v>
      </c>
      <c r="HJ87" s="251">
        <f t="shared" ca="1" si="370"/>
        <v>1.3539158814814238</v>
      </c>
      <c r="HK87" s="137">
        <f t="shared" ca="1" si="371"/>
        <v>0.59543114970443445</v>
      </c>
      <c r="HL87" s="251">
        <f t="shared" ca="1" si="372"/>
        <v>0.89035819458188281</v>
      </c>
      <c r="HM87" s="137">
        <f t="shared" ca="1" si="373"/>
        <v>0.67161697952254762</v>
      </c>
      <c r="HN87" s="251">
        <f t="shared" ca="1" si="374"/>
        <v>0.96654402439999598</v>
      </c>
      <c r="HO87" s="137">
        <f t="shared" ca="1" si="375"/>
        <v>0.23880543717102018</v>
      </c>
      <c r="HP87" s="251">
        <f t="shared" ca="1" si="376"/>
        <v>0.44060075775954305</v>
      </c>
      <c r="JN87" s="143">
        <f t="shared" si="413"/>
        <v>19.210055946337274</v>
      </c>
      <c r="JO87" s="143">
        <f t="shared" si="347"/>
        <v>2418.6181597355753</v>
      </c>
      <c r="JP87" s="143">
        <f t="shared" si="414"/>
        <v>3746.7272977200537</v>
      </c>
      <c r="JQ87" s="143">
        <f t="shared" si="415"/>
        <v>0.78297668033176004</v>
      </c>
      <c r="JR87" s="143">
        <f t="shared" ca="1" si="348"/>
        <v>1.1268050908379421</v>
      </c>
      <c r="JS87" s="143">
        <f t="shared" si="416"/>
        <v>77.014893798828126</v>
      </c>
      <c r="JT87" s="143">
        <f t="shared" ca="1" si="349"/>
        <v>142.09400325434578</v>
      </c>
      <c r="JU87" s="143">
        <f t="shared" si="423"/>
        <v>0.23020956956196378</v>
      </c>
      <c r="JV87" s="143">
        <f t="shared" si="417"/>
        <v>0.35662201369086427</v>
      </c>
      <c r="JW87" s="143">
        <f t="shared" ca="1" si="418"/>
        <v>0.20016285047002144</v>
      </c>
      <c r="JX87" s="143">
        <f t="shared" ca="1" si="419"/>
        <v>0.28806032742978627</v>
      </c>
      <c r="JY87" s="143">
        <f t="shared" si="420"/>
        <v>0.7492092043285965</v>
      </c>
      <c r="JZ87" s="143">
        <f t="shared" si="421"/>
        <v>0.95976270551086129</v>
      </c>
      <c r="KA87" s="143">
        <f t="shared" si="350"/>
        <v>0.21717883920939982</v>
      </c>
      <c r="KB87" s="143">
        <f t="shared" si="351"/>
        <v>0.33643586197251352</v>
      </c>
      <c r="KC87" s="143">
        <f t="shared" ca="1" si="352"/>
        <v>0.51338860675667697</v>
      </c>
      <c r="KD87" s="143">
        <f t="shared" ca="1" si="353"/>
        <v>0.6576170696865401</v>
      </c>
      <c r="KE87" s="143">
        <f t="shared" ca="1" si="354"/>
        <v>0.45585172184273337</v>
      </c>
      <c r="KF87" s="143">
        <f t="shared" ca="1" si="355"/>
        <v>0.35556789725713445</v>
      </c>
      <c r="KG87" s="142">
        <f t="shared" si="356"/>
        <v>0.15019466284871108</v>
      </c>
      <c r="KH87" s="142">
        <f t="shared" ca="1" si="357"/>
        <v>0.11680643271928146</v>
      </c>
      <c r="KI87" s="142">
        <f t="shared" ca="1" si="358"/>
        <v>401.14149473217321</v>
      </c>
      <c r="KJ87" s="142">
        <f t="shared" ca="1" si="359"/>
        <v>314.25690568367463</v>
      </c>
    </row>
    <row r="88" spans="1:296" ht="17.25" thickBot="1" x14ac:dyDescent="0.35">
      <c r="A88" s="205">
        <v>41425</v>
      </c>
      <c r="B88" s="196">
        <v>107</v>
      </c>
      <c r="C88" s="177">
        <v>24</v>
      </c>
      <c r="D88" s="166">
        <v>4.2</v>
      </c>
      <c r="E88" s="166">
        <v>50016</v>
      </c>
      <c r="F88" s="166">
        <v>300</v>
      </c>
      <c r="G88" s="166">
        <v>11.7</v>
      </c>
      <c r="H88" s="166">
        <v>0.85</v>
      </c>
      <c r="I88" s="166">
        <v>1.4</v>
      </c>
      <c r="J88" s="166">
        <v>1.33</v>
      </c>
      <c r="K88" s="166">
        <v>0.91</v>
      </c>
      <c r="L88" s="171">
        <v>24656.813675023615</v>
      </c>
      <c r="M88" s="174">
        <v>19</v>
      </c>
      <c r="N88" s="172">
        <v>67442.884442999959</v>
      </c>
      <c r="O88" s="187">
        <v>17</v>
      </c>
      <c r="P88" s="171">
        <v>2</v>
      </c>
      <c r="Q88" s="171">
        <v>5</v>
      </c>
      <c r="R88" s="173">
        <v>312.10305786132812</v>
      </c>
      <c r="S88" s="174">
        <v>44.436655072815483</v>
      </c>
      <c r="T88" s="171">
        <v>180</v>
      </c>
      <c r="U88" s="175">
        <v>1.8638073205947876</v>
      </c>
      <c r="V88" s="187">
        <v>17</v>
      </c>
      <c r="W88" s="171">
        <v>1250</v>
      </c>
      <c r="X88" s="174">
        <v>6067.4638632535934</v>
      </c>
      <c r="Y88" s="174">
        <v>267.91587584279478</v>
      </c>
      <c r="Z88" s="174">
        <v>57.510971069335938</v>
      </c>
      <c r="AA88" s="174">
        <v>15.791651725769043</v>
      </c>
      <c r="AB88" s="174">
        <v>17.328411102294922</v>
      </c>
      <c r="AC88" s="213">
        <v>37</v>
      </c>
      <c r="AD88" s="213">
        <v>26.364736557006836</v>
      </c>
      <c r="AE88" s="254">
        <v>20</v>
      </c>
      <c r="AF88" s="254">
        <v>10</v>
      </c>
      <c r="AG88" s="217">
        <v>5000000</v>
      </c>
      <c r="AH88" s="218">
        <v>300000</v>
      </c>
      <c r="AI88" s="219">
        <v>5000000</v>
      </c>
      <c r="AJ88" s="225">
        <f t="shared" si="330"/>
        <v>300000</v>
      </c>
      <c r="AK88" s="220">
        <v>2750000</v>
      </c>
      <c r="AL88" s="226">
        <f t="shared" si="331"/>
        <v>300000</v>
      </c>
      <c r="AM88" s="221">
        <v>14.407</v>
      </c>
      <c r="BM88" s="197">
        <f t="shared" si="332"/>
        <v>10.635263442993164</v>
      </c>
      <c r="BN88" s="196">
        <f t="shared" si="333"/>
        <v>180</v>
      </c>
      <c r="BO88" s="197">
        <f t="shared" si="334"/>
        <v>1.5367593765258789</v>
      </c>
      <c r="BP88" s="196">
        <f t="shared" si="294"/>
        <v>12.673972779566391</v>
      </c>
      <c r="BQ88" s="115">
        <f t="shared" si="335"/>
        <v>659.74492511188635</v>
      </c>
      <c r="BR88" s="184">
        <f t="shared" si="336"/>
        <v>1.0041987768</v>
      </c>
      <c r="BS88" s="115">
        <f t="shared" si="337"/>
        <v>6863.8528613899143</v>
      </c>
      <c r="BT88" s="196">
        <v>900</v>
      </c>
      <c r="BU88" s="115">
        <f t="shared" si="424"/>
        <v>1.1850729520000001</v>
      </c>
      <c r="BV88" s="115">
        <f t="shared" si="425"/>
        <v>1.0692156348359603</v>
      </c>
      <c r="BW88" s="115">
        <f t="shared" si="426"/>
        <v>459.69953431406861</v>
      </c>
      <c r="BX88" s="115">
        <f t="shared" si="377"/>
        <v>1105.8813351089671</v>
      </c>
      <c r="BY88" s="115"/>
      <c r="BZ88" s="115">
        <f t="shared" si="378"/>
        <v>646.18180079489844</v>
      </c>
      <c r="CA88" s="115">
        <f t="shared" si="379"/>
        <v>10461.356068480964</v>
      </c>
      <c r="CB88" s="115">
        <f t="shared" si="380"/>
        <v>2810.1201851249984</v>
      </c>
      <c r="CC88" s="115">
        <f t="shared" si="381"/>
        <v>1027.3672364593174</v>
      </c>
      <c r="CD88" s="129">
        <f t="shared" si="427"/>
        <v>0.20298905994907424</v>
      </c>
      <c r="CE88" s="115">
        <f t="shared" si="382"/>
        <v>3.3829982981962314</v>
      </c>
      <c r="CF88" s="115">
        <f t="shared" si="383"/>
        <v>12.343515298004302</v>
      </c>
      <c r="CG88" s="115">
        <f t="shared" si="384"/>
        <v>0.02</v>
      </c>
      <c r="CH88" s="115">
        <f t="shared" si="385"/>
        <v>0.05</v>
      </c>
      <c r="CI88" s="136">
        <v>30</v>
      </c>
      <c r="CJ88" s="115">
        <f t="shared" si="428"/>
        <v>165</v>
      </c>
      <c r="CK88" s="115">
        <f t="shared" si="386"/>
        <v>453</v>
      </c>
      <c r="CL88" s="115">
        <f t="shared" si="387"/>
        <v>585.10305786132812</v>
      </c>
      <c r="CM88" s="115">
        <f t="shared" ca="1" si="388"/>
        <v>2816.5993052117487</v>
      </c>
      <c r="CN88" s="115">
        <f t="shared" ca="1" si="429"/>
        <v>125.80344444444444</v>
      </c>
      <c r="CO88" s="115">
        <f t="shared" ca="1" si="430"/>
        <v>690.58718083896258</v>
      </c>
      <c r="CP88" s="115">
        <f t="shared" ca="1" si="431"/>
        <v>2790.6388281929471</v>
      </c>
      <c r="CQ88" s="115">
        <f t="shared" si="432"/>
        <v>1.072449112508886</v>
      </c>
      <c r="CR88" s="115">
        <f t="shared" ca="1" si="338"/>
        <v>307.02235154645251</v>
      </c>
      <c r="CS88" s="115">
        <f t="shared" ca="1" si="339"/>
        <v>15.2124228729474</v>
      </c>
      <c r="CT88" s="115">
        <f t="shared" si="433"/>
        <v>1.1009037262816836</v>
      </c>
      <c r="CU88" s="115">
        <f t="shared" ca="1" si="434"/>
        <v>1.0046680229761251</v>
      </c>
      <c r="CV88" s="115">
        <f t="shared" si="360"/>
        <v>173.18180079489844</v>
      </c>
      <c r="CW88" s="115">
        <f t="shared" si="435"/>
        <v>473</v>
      </c>
      <c r="CX88" s="115">
        <f t="shared" si="436"/>
        <v>438</v>
      </c>
      <c r="CY88" s="115">
        <f t="shared" ca="1" si="437"/>
        <v>457.7875771270526</v>
      </c>
      <c r="CZ88" s="115">
        <f t="shared" ca="1" si="438"/>
        <v>127.31548073427552</v>
      </c>
      <c r="DA88" s="115">
        <v>0.21890000000000001</v>
      </c>
      <c r="DB88" s="115">
        <v>2.7E-2</v>
      </c>
      <c r="DC88" s="115">
        <v>1.06</v>
      </c>
      <c r="DD88" s="138">
        <f t="shared" si="389"/>
        <v>10.761862871757671</v>
      </c>
      <c r="DE88" s="138">
        <f t="shared" si="439"/>
        <v>10.761862871757671</v>
      </c>
      <c r="DF88" s="115">
        <f t="shared" si="440"/>
        <v>585.10305786132812</v>
      </c>
      <c r="DG88" s="115">
        <v>646.18180079489844</v>
      </c>
      <c r="DH88" s="115">
        <f t="shared" si="441"/>
        <v>1.1009037262816836</v>
      </c>
      <c r="DI88" s="115">
        <f t="shared" si="299"/>
        <v>1.1170693815192749</v>
      </c>
      <c r="DJ88" s="138">
        <f t="shared" si="340"/>
        <v>1.8168886641355402</v>
      </c>
      <c r="DK88" s="138">
        <f t="shared" si="341"/>
        <v>2.518731020444092</v>
      </c>
      <c r="DL88" s="115">
        <f t="shared" si="442"/>
        <v>585.10305786132812</v>
      </c>
      <c r="DM88" s="115">
        <f t="shared" ref="DM88:DM113" si="471">BZ88</f>
        <v>646.18180079489844</v>
      </c>
      <c r="DN88" s="115">
        <f t="shared" si="300"/>
        <v>12.789190713926086</v>
      </c>
      <c r="DO88" s="115">
        <f t="shared" si="301"/>
        <v>1.1009037262816836</v>
      </c>
      <c r="DP88" s="115">
        <f t="shared" si="443"/>
        <v>1.1170693815192749</v>
      </c>
      <c r="DQ88" s="115">
        <v>298.14999999999998</v>
      </c>
      <c r="DR88" s="138">
        <f t="shared" si="302"/>
        <v>1.21004785031427</v>
      </c>
      <c r="DS88" s="138">
        <f t="shared" si="303"/>
        <v>1.6774748596157656</v>
      </c>
      <c r="DT88" s="115">
        <f t="shared" si="444"/>
        <v>585.10305786132812</v>
      </c>
      <c r="DU88" s="139">
        <f t="shared" si="422"/>
        <v>6.4137983460229897</v>
      </c>
      <c r="DV88" s="115">
        <f t="shared" si="445"/>
        <v>1.1009037262816836</v>
      </c>
      <c r="DW88" s="115">
        <v>298.14999999999998</v>
      </c>
      <c r="DX88" s="138">
        <f t="shared" si="342"/>
        <v>0.60684081382127031</v>
      </c>
      <c r="DY88" s="138">
        <f t="shared" si="343"/>
        <v>0.84125616082832666</v>
      </c>
      <c r="DZ88" s="138">
        <f t="shared" si="446"/>
        <v>2.8101201851249984</v>
      </c>
      <c r="EA88" s="138">
        <f t="shared" si="447"/>
        <v>3.5975032070910493</v>
      </c>
      <c r="EB88" s="115">
        <f t="shared" si="448"/>
        <v>12.343515298004302</v>
      </c>
      <c r="EC88" s="115">
        <v>30</v>
      </c>
      <c r="ED88" s="198">
        <f t="shared" ca="1" si="449"/>
        <v>125.80344444444444</v>
      </c>
      <c r="EE88" s="198">
        <v>104.83</v>
      </c>
      <c r="EF88" s="198">
        <f t="shared" ca="1" si="450"/>
        <v>0.42491111111111107</v>
      </c>
      <c r="EG88" s="199">
        <v>0.36720000000000003</v>
      </c>
      <c r="EH88" s="138">
        <f t="shared" ca="1" si="304"/>
        <v>4.6496499760695649E-2</v>
      </c>
      <c r="EI88" s="138">
        <f t="shared" ca="1" si="451"/>
        <v>4.6496499760695649E-2</v>
      </c>
      <c r="EJ88" s="115">
        <f t="shared" si="452"/>
        <v>12.789190713926086</v>
      </c>
      <c r="EK88" s="115">
        <v>435</v>
      </c>
      <c r="EL88" s="115">
        <f t="shared" ca="1" si="453"/>
        <v>457.7875771270526</v>
      </c>
      <c r="EM88" s="115">
        <f t="shared" ca="1" si="305"/>
        <v>1.0616400536692827</v>
      </c>
      <c r="EN88" s="115">
        <f t="shared" ca="1" si="306"/>
        <v>1.068753757396383</v>
      </c>
      <c r="EO88" s="115">
        <v>298.14999999999998</v>
      </c>
      <c r="EP88" s="138">
        <f t="shared" ca="1" si="307"/>
        <v>0.32890233913986694</v>
      </c>
      <c r="EQ88" s="138">
        <f t="shared" ca="1" si="308"/>
        <v>0.43449832557489493</v>
      </c>
      <c r="ER88" s="115">
        <f t="shared" si="454"/>
        <v>0.51772425572077441</v>
      </c>
      <c r="ES88" s="115">
        <f t="shared" si="455"/>
        <v>453</v>
      </c>
      <c r="ET88" s="115">
        <f t="shared" ca="1" si="390"/>
        <v>2816.5993052117487</v>
      </c>
      <c r="EU88" s="115">
        <f t="shared" ca="1" si="391"/>
        <v>6.5855309782608691</v>
      </c>
      <c r="EV88" s="138">
        <f t="shared" ca="1" si="456"/>
        <v>0.44409036640199051</v>
      </c>
      <c r="EW88" s="138">
        <f t="shared" ca="1" si="344"/>
        <v>0.9104599474945948</v>
      </c>
      <c r="EX88" s="115">
        <v>21.47</v>
      </c>
      <c r="EY88" s="115">
        <f t="shared" ca="1" si="392"/>
        <v>110.42379635069105</v>
      </c>
      <c r="EZ88" s="115">
        <f t="shared" ca="1" si="393"/>
        <v>0.3742193819893731</v>
      </c>
      <c r="FA88" s="138">
        <f t="shared" ca="1" si="310"/>
        <v>7.5165774598711779E-2</v>
      </c>
      <c r="FB88" s="138">
        <f t="shared" ca="1" si="457"/>
        <v>7.5165774598711779E-2</v>
      </c>
      <c r="FC88" s="115">
        <f t="shared" si="458"/>
        <v>21.47</v>
      </c>
      <c r="FD88" s="115">
        <v>37</v>
      </c>
      <c r="FE88" s="115">
        <f t="shared" ca="1" si="459"/>
        <v>154.93355555555553</v>
      </c>
      <c r="FF88" s="115">
        <f t="shared" ca="1" si="460"/>
        <v>0.52252222222222222</v>
      </c>
      <c r="FG88" s="138">
        <f t="shared" ca="1" si="461"/>
        <v>8.1462225449999703E-2</v>
      </c>
      <c r="FH88" s="138">
        <f t="shared" ca="1" si="312"/>
        <v>8.1462225449999703E-2</v>
      </c>
      <c r="FI88" s="115">
        <f t="shared" si="462"/>
        <v>16.103071899414065</v>
      </c>
      <c r="FJ88" s="115">
        <f t="shared" ca="1" si="394"/>
        <v>66.174261544757428</v>
      </c>
      <c r="FK88" s="115">
        <f t="shared" ca="1" si="395"/>
        <v>0.22678358795377943</v>
      </c>
      <c r="FL88" s="138">
        <f t="shared" ca="1" si="463"/>
        <v>5.1681437220475801E-2</v>
      </c>
      <c r="FM88" s="138">
        <f t="shared" ca="1" si="345"/>
        <v>1.0149827943713872</v>
      </c>
      <c r="FN88" s="115">
        <f t="shared" si="464"/>
        <v>16.103071899414065</v>
      </c>
      <c r="FO88" s="115">
        <f t="shared" ca="1" si="396"/>
        <v>72.605770286560059</v>
      </c>
      <c r="FP88" s="115">
        <f t="shared" ca="1" si="397"/>
        <v>0.24821284370422364</v>
      </c>
      <c r="FQ88" s="138">
        <f t="shared" ca="1" si="465"/>
        <v>5.2363823246618597E-2</v>
      </c>
      <c r="FR88" s="138">
        <f t="shared" ca="1" si="346"/>
        <v>1.02838431942379</v>
      </c>
      <c r="FS88" s="139">
        <f t="shared" si="468"/>
        <v>6.1348540224971329</v>
      </c>
      <c r="FT88" s="249">
        <f t="shared" si="316"/>
        <v>4.6456286442225299</v>
      </c>
      <c r="FU88" s="139">
        <f t="shared" ca="1" si="469"/>
        <v>0.48355164453310806</v>
      </c>
      <c r="FV88" s="249">
        <f t="shared" ca="1" si="318"/>
        <v>0.37901308630697139</v>
      </c>
      <c r="FW88" s="139">
        <f t="shared" ca="1" si="466"/>
        <v>0.43847630157684536</v>
      </c>
      <c r="FX88" s="249">
        <f t="shared" ca="1" si="319"/>
        <v>0.91756502169570986</v>
      </c>
      <c r="FY88" s="249">
        <f t="shared" si="398"/>
        <v>0.15000000000000002</v>
      </c>
      <c r="FZ88" s="139">
        <f t="shared" si="399"/>
        <v>1050000</v>
      </c>
      <c r="GA88" s="139">
        <f t="shared" si="320"/>
        <v>3.3757716049382713E-2</v>
      </c>
      <c r="GB88" s="139">
        <f t="shared" si="361"/>
        <v>121.52777777777777</v>
      </c>
      <c r="GC88" s="139">
        <f t="shared" si="400"/>
        <v>1050000</v>
      </c>
      <c r="GD88" s="139">
        <f t="shared" si="362"/>
        <v>6.7515432098765427E-2</v>
      </c>
      <c r="GE88" s="139">
        <f t="shared" si="363"/>
        <v>243.05555555555554</v>
      </c>
      <c r="GF88" s="139">
        <f t="shared" si="364"/>
        <v>4.5814043209876545E-2</v>
      </c>
      <c r="GG88" s="139">
        <f t="shared" si="401"/>
        <v>712500</v>
      </c>
      <c r="GH88" s="139">
        <f t="shared" si="365"/>
        <v>164.93055555555554</v>
      </c>
      <c r="GI88" s="137">
        <f t="shared" si="402"/>
        <v>57.872243443339002</v>
      </c>
      <c r="GJ88" s="137">
        <f t="shared" si="321"/>
        <v>0.20834007639601876</v>
      </c>
      <c r="GK88" s="251">
        <f t="shared" si="403"/>
        <v>42.395102339486925</v>
      </c>
      <c r="GL88" s="137">
        <f t="shared" si="329"/>
        <v>0.15262236842215171</v>
      </c>
      <c r="GM88" s="137">
        <f t="shared" ca="1" si="404"/>
        <v>2.0383943687590094</v>
      </c>
      <c r="GN88" s="137">
        <f t="shared" ca="1" si="322"/>
        <v>7.3382197275323755E-3</v>
      </c>
      <c r="GO88" s="137">
        <f t="shared" ca="1" si="366"/>
        <v>2.5802460364037889E-2</v>
      </c>
      <c r="GP88" s="137">
        <f t="shared" ca="1" si="405"/>
        <v>9.4659088479356743</v>
      </c>
      <c r="GQ88" s="137">
        <f t="shared" ca="1" si="323"/>
        <v>3.4077271852568154E-2</v>
      </c>
      <c r="GR88" s="137">
        <f t="shared" ca="1" si="406"/>
        <v>0.11982163098652657</v>
      </c>
      <c r="GS88" s="140">
        <f t="shared" si="407"/>
        <v>8.8384841902116193E-2</v>
      </c>
      <c r="GT88" s="140">
        <f t="shared" si="408"/>
        <v>6.6929571877313992E-2</v>
      </c>
      <c r="GU88" s="140">
        <f t="shared" si="467"/>
        <v>318.18543084761831</v>
      </c>
      <c r="GV88" s="140">
        <f t="shared" si="324"/>
        <v>240.94645875833038</v>
      </c>
      <c r="GW88" s="141">
        <f t="shared" ca="1" si="409"/>
        <v>4.6397080094971324E-3</v>
      </c>
      <c r="GX88" s="141">
        <f t="shared" ca="1" si="410"/>
        <v>3.6366540619267407E-3</v>
      </c>
      <c r="GY88" s="141">
        <f t="shared" ca="1" si="325"/>
        <v>16.702948834189677</v>
      </c>
      <c r="GZ88" s="141">
        <f t="shared" ca="1" si="326"/>
        <v>13.091954622936266</v>
      </c>
      <c r="HA88" s="141">
        <f t="shared" ca="1" si="411"/>
        <v>9.323991482947212E-3</v>
      </c>
      <c r="HB88" s="141">
        <f t="shared" ca="1" si="412"/>
        <v>1.2666370746999847E-2</v>
      </c>
      <c r="HC88" s="141">
        <f t="shared" ca="1" si="470"/>
        <v>33.56636933860996</v>
      </c>
      <c r="HD88" s="141">
        <f t="shared" ca="1" si="328"/>
        <v>45.598934689199453</v>
      </c>
      <c r="HE88" s="137">
        <f t="shared" si="367"/>
        <v>8.9449742076221312</v>
      </c>
      <c r="HF88" s="250">
        <f t="shared" si="368"/>
        <v>8.2431318513135796</v>
      </c>
      <c r="HG88" s="137">
        <v>2.8101201851249984</v>
      </c>
      <c r="HH88" s="251">
        <v>4.9874686744189969</v>
      </c>
      <c r="HI88" s="137">
        <f t="shared" ca="1" si="369"/>
        <v>0.77554952473937511</v>
      </c>
      <c r="HJ88" s="251">
        <f t="shared" ca="1" si="370"/>
        <v>1.2429765340408707</v>
      </c>
      <c r="HK88" s="137">
        <f t="shared" ca="1" si="371"/>
        <v>0.39759386664129487</v>
      </c>
      <c r="HL88" s="251">
        <f t="shared" ca="1" si="372"/>
        <v>0.8639634477338991</v>
      </c>
      <c r="HM88" s="137">
        <f t="shared" ca="1" si="373"/>
        <v>0.44409036640199051</v>
      </c>
      <c r="HN88" s="251">
        <f t="shared" ca="1" si="374"/>
        <v>0.9104599474945948</v>
      </c>
      <c r="HO88" s="137">
        <f t="shared" ca="1" si="375"/>
        <v>5.1681437220475801E-2</v>
      </c>
      <c r="HP88" s="251">
        <f t="shared" ca="1" si="376"/>
        <v>1.0149827943713872</v>
      </c>
      <c r="JN88" s="143">
        <f t="shared" si="413"/>
        <v>19.202989059949076</v>
      </c>
      <c r="JO88" s="143">
        <f t="shared" si="347"/>
        <v>2810.1201851249984</v>
      </c>
      <c r="JP88" s="143">
        <f t="shared" si="414"/>
        <v>3597.5032070910493</v>
      </c>
      <c r="JQ88" s="143">
        <f t="shared" si="415"/>
        <v>0.51772425572077441</v>
      </c>
      <c r="JR88" s="143">
        <f t="shared" ca="1" si="348"/>
        <v>1.0614218058797811</v>
      </c>
      <c r="JS88" s="143">
        <f t="shared" si="416"/>
        <v>16.103071899414065</v>
      </c>
      <c r="JT88" s="143">
        <f t="shared" ca="1" si="349"/>
        <v>316.25167165349535</v>
      </c>
      <c r="JU88" s="143">
        <f t="shared" si="423"/>
        <v>0.27678548144760001</v>
      </c>
      <c r="JV88" s="143">
        <f t="shared" si="417"/>
        <v>0.35433952699061849</v>
      </c>
      <c r="JW88" s="143">
        <f t="shared" ca="1" si="418"/>
        <v>0.1369535176127531</v>
      </c>
      <c r="JX88" s="143">
        <f t="shared" ca="1" si="419"/>
        <v>0.28077774680218404</v>
      </c>
      <c r="JY88" s="143">
        <f t="shared" si="420"/>
        <v>0.23009981850660571</v>
      </c>
      <c r="JZ88" s="143">
        <f t="shared" si="421"/>
        <v>0.15892285702221229</v>
      </c>
      <c r="KA88" s="143">
        <f t="shared" si="350"/>
        <v>0.26111837872415095</v>
      </c>
      <c r="KB88" s="143">
        <f t="shared" si="351"/>
        <v>0.33428257263265893</v>
      </c>
      <c r="KC88" s="143">
        <f t="shared" ca="1" si="352"/>
        <v>0.45122384623100015</v>
      </c>
      <c r="KD88" s="143">
        <f t="shared" ca="1" si="353"/>
        <v>0.69507623359966897</v>
      </c>
      <c r="KE88" s="143">
        <f t="shared" ca="1" si="354"/>
        <v>1.1148022460124891</v>
      </c>
      <c r="KF88" s="143">
        <f t="shared" ca="1" si="355"/>
        <v>0.11637594762344783</v>
      </c>
      <c r="KG88" s="142">
        <f t="shared" si="356"/>
        <v>0.15262236842215171</v>
      </c>
      <c r="KH88" s="142">
        <f t="shared" ca="1" si="357"/>
        <v>0.11982163098652657</v>
      </c>
      <c r="KI88" s="142">
        <f t="shared" ca="1" si="358"/>
        <v>368.45474902041792</v>
      </c>
      <c r="KJ88" s="142">
        <f t="shared" ca="1" si="359"/>
        <v>299.63734807046609</v>
      </c>
    </row>
    <row r="89" spans="1:296" x14ac:dyDescent="0.3">
      <c r="A89" s="201">
        <v>41435</v>
      </c>
      <c r="B89" s="196">
        <v>108</v>
      </c>
      <c r="C89" s="179">
        <v>24</v>
      </c>
      <c r="D89" s="179">
        <v>4.2</v>
      </c>
      <c r="E89" s="179">
        <v>50016</v>
      </c>
      <c r="F89" s="179">
        <v>300</v>
      </c>
      <c r="G89" s="179">
        <v>11.7</v>
      </c>
      <c r="H89" s="179">
        <v>0.85</v>
      </c>
      <c r="I89" s="179">
        <v>1.4</v>
      </c>
      <c r="J89" s="179">
        <v>1.33</v>
      </c>
      <c r="K89" s="179">
        <v>0.91</v>
      </c>
      <c r="L89" s="152">
        <v>20195.153710328043</v>
      </c>
      <c r="M89" s="155">
        <v>19</v>
      </c>
      <c r="N89" s="153">
        <v>56293.120835132897</v>
      </c>
      <c r="O89" s="178">
        <v>17</v>
      </c>
      <c r="P89" s="179">
        <v>2</v>
      </c>
      <c r="Q89" s="179">
        <v>5</v>
      </c>
      <c r="R89" s="154">
        <v>332.80340576171875</v>
      </c>
      <c r="S89" s="155">
        <v>64.567767993750749</v>
      </c>
      <c r="T89" s="152">
        <v>180</v>
      </c>
      <c r="U89" s="156">
        <v>2.5019762516021729</v>
      </c>
      <c r="V89" s="178">
        <v>17</v>
      </c>
      <c r="W89" s="179">
        <v>1250</v>
      </c>
      <c r="X89" s="155">
        <v>71333.606161922216</v>
      </c>
      <c r="Y89" s="155">
        <v>9653.5513239465654</v>
      </c>
      <c r="Z89" s="155">
        <v>281.2149658203125</v>
      </c>
      <c r="AA89" s="155">
        <v>10.837023735046387</v>
      </c>
      <c r="AB89" s="155">
        <v>14.378174781799316</v>
      </c>
      <c r="AC89" s="215">
        <v>37</v>
      </c>
      <c r="AD89" s="215">
        <v>28.427467346191406</v>
      </c>
      <c r="AE89" s="254">
        <v>20</v>
      </c>
      <c r="AF89" s="254">
        <v>10</v>
      </c>
      <c r="AG89" s="217">
        <v>5000000</v>
      </c>
      <c r="AH89" s="218">
        <v>300000</v>
      </c>
      <c r="AI89" s="219">
        <v>5000000</v>
      </c>
      <c r="AJ89" s="225">
        <f t="shared" si="330"/>
        <v>300000</v>
      </c>
      <c r="AK89" s="220">
        <v>2750000</v>
      </c>
      <c r="AL89" s="226">
        <f t="shared" si="331"/>
        <v>300000</v>
      </c>
      <c r="AM89" s="221">
        <v>14.407</v>
      </c>
      <c r="BK89" s="283"/>
      <c r="BM89" s="197">
        <f t="shared" si="332"/>
        <v>8.5725326538085937</v>
      </c>
      <c r="BN89" s="196">
        <f t="shared" si="333"/>
        <v>180</v>
      </c>
      <c r="BO89" s="197">
        <f t="shared" si="334"/>
        <v>3.5411510467529297</v>
      </c>
      <c r="BP89" s="196">
        <f t="shared" si="294"/>
        <v>12.649730353321518</v>
      </c>
      <c r="BQ89" s="115">
        <f t="shared" si="335"/>
        <v>659.74492511188635</v>
      </c>
      <c r="BR89" s="184">
        <f t="shared" si="336"/>
        <v>1.0041987768</v>
      </c>
      <c r="BS89" s="115">
        <f t="shared" si="337"/>
        <v>6863.8528613899143</v>
      </c>
      <c r="BT89" s="196">
        <v>900</v>
      </c>
      <c r="BU89" s="115">
        <f t="shared" si="424"/>
        <v>1.1850729520000001</v>
      </c>
      <c r="BV89" s="115">
        <f t="shared" si="425"/>
        <v>1.0612906427474293</v>
      </c>
      <c r="BW89" s="115">
        <f t="shared" si="426"/>
        <v>426.43289055879711</v>
      </c>
      <c r="BX89" s="115">
        <f t="shared" si="377"/>
        <v>1025.8530608459357</v>
      </c>
      <c r="BY89" s="115"/>
      <c r="BZ89" s="115">
        <f t="shared" si="378"/>
        <v>599.4201702871386</v>
      </c>
      <c r="CA89" s="115">
        <f t="shared" si="379"/>
        <v>9685.7468199566902</v>
      </c>
      <c r="CB89" s="115">
        <f t="shared" si="380"/>
        <v>2345.5467014638707</v>
      </c>
      <c r="CC89" s="115">
        <f t="shared" si="381"/>
        <v>841.4647379303351</v>
      </c>
      <c r="CD89" s="129">
        <f t="shared" si="427"/>
        <v>0.16625811109320562</v>
      </c>
      <c r="CE89" s="115">
        <f t="shared" si="382"/>
        <v>16.542056812959558</v>
      </c>
      <c r="CF89" s="115">
        <f t="shared" si="383"/>
        <v>17.93549110937521</v>
      </c>
      <c r="CG89" s="115">
        <f t="shared" si="384"/>
        <v>0.02</v>
      </c>
      <c r="CH89" s="115">
        <f t="shared" si="385"/>
        <v>0.05</v>
      </c>
      <c r="CI89" s="136">
        <v>30</v>
      </c>
      <c r="CJ89" s="115">
        <f t="shared" si="428"/>
        <v>165</v>
      </c>
      <c r="CK89" s="115">
        <f t="shared" si="386"/>
        <v>453</v>
      </c>
      <c r="CL89" s="115">
        <f t="shared" si="387"/>
        <v>605.80340576171875</v>
      </c>
      <c r="CM89" s="115">
        <f t="shared" ca="1" si="388"/>
        <v>2816.5993052117487</v>
      </c>
      <c r="CN89" s="115">
        <f t="shared" ca="1" si="429"/>
        <v>125.80344444444444</v>
      </c>
      <c r="CO89" s="115">
        <f t="shared" ca="1" si="430"/>
        <v>690.58718083896258</v>
      </c>
      <c r="CP89" s="115">
        <f t="shared" ca="1" si="431"/>
        <v>2790.6388281929471</v>
      </c>
      <c r="CQ89" s="115">
        <f t="shared" si="432"/>
        <v>1.072449112508886</v>
      </c>
      <c r="CR89" s="115">
        <f t="shared" ca="1" si="338"/>
        <v>412.14701959381597</v>
      </c>
      <c r="CS89" s="115">
        <f t="shared" ca="1" si="339"/>
        <v>20.460303015847771</v>
      </c>
      <c r="CT89" s="115">
        <f t="shared" si="433"/>
        <v>1.1063437242910172</v>
      </c>
      <c r="CU89" s="115">
        <f t="shared" ca="1" si="434"/>
        <v>1.0082706389506817</v>
      </c>
      <c r="CV89" s="115">
        <f t="shared" si="360"/>
        <v>126.4201702871386</v>
      </c>
      <c r="CW89" s="115">
        <f t="shared" si="435"/>
        <v>473</v>
      </c>
      <c r="CX89" s="115">
        <f t="shared" si="436"/>
        <v>438</v>
      </c>
      <c r="CY89" s="115">
        <f t="shared" ca="1" si="437"/>
        <v>452.53969698415222</v>
      </c>
      <c r="CZ89" s="115">
        <f t="shared" ca="1" si="438"/>
        <v>153.26370877756653</v>
      </c>
      <c r="DA89" s="115">
        <v>0.21890000000000001</v>
      </c>
      <c r="DB89" s="115">
        <v>2.7E-2</v>
      </c>
      <c r="DC89" s="115">
        <v>1.06</v>
      </c>
      <c r="DD89" s="138">
        <f t="shared" si="389"/>
        <v>8.8144996255040393</v>
      </c>
      <c r="DE89" s="138">
        <f t="shared" si="439"/>
        <v>8.8144996255040393</v>
      </c>
      <c r="DF89" s="115">
        <f t="shared" si="440"/>
        <v>605.80340576171875</v>
      </c>
      <c r="DG89" s="115">
        <v>599.4201702871386</v>
      </c>
      <c r="DH89" s="115">
        <f t="shared" si="441"/>
        <v>1.1063437242910172</v>
      </c>
      <c r="DI89" s="115">
        <f t="shared" si="299"/>
        <v>1.1046614670228512</v>
      </c>
      <c r="DJ89" s="138">
        <f t="shared" si="340"/>
        <v>2.0415098670539287</v>
      </c>
      <c r="DK89" s="138">
        <f t="shared" si="341"/>
        <v>1.9701248381284946</v>
      </c>
      <c r="DL89" s="115">
        <f t="shared" si="442"/>
        <v>605.80340576171875</v>
      </c>
      <c r="DM89" s="115">
        <f t="shared" si="471"/>
        <v>599.4201702871386</v>
      </c>
      <c r="DN89" s="115">
        <f t="shared" si="300"/>
        <v>12.764727901988076</v>
      </c>
      <c r="DO89" s="115">
        <f t="shared" si="301"/>
        <v>1.1063437242910172</v>
      </c>
      <c r="DP89" s="115">
        <f t="shared" si="443"/>
        <v>1.1046614670228512</v>
      </c>
      <c r="DQ89" s="115">
        <v>298.14999999999998</v>
      </c>
      <c r="DR89" s="138">
        <f t="shared" si="302"/>
        <v>1.3596455714579165</v>
      </c>
      <c r="DS89" s="138">
        <f t="shared" si="303"/>
        <v>1.3121031421935776</v>
      </c>
      <c r="DT89" s="115">
        <f t="shared" si="444"/>
        <v>605.80340576171875</v>
      </c>
      <c r="DU89" s="139">
        <f t="shared" si="422"/>
        <v>6.4015302091051307</v>
      </c>
      <c r="DV89" s="115">
        <f t="shared" si="445"/>
        <v>1.1063437242910172</v>
      </c>
      <c r="DW89" s="115">
        <v>298.14999999999998</v>
      </c>
      <c r="DX89" s="138">
        <f t="shared" si="342"/>
        <v>0.68186429559601214</v>
      </c>
      <c r="DY89" s="138">
        <f t="shared" si="343"/>
        <v>0.65802169593491711</v>
      </c>
      <c r="DZ89" s="138">
        <f t="shared" si="446"/>
        <v>2.3455467014638707</v>
      </c>
      <c r="EA89" s="138">
        <f t="shared" si="447"/>
        <v>2.8218939585667759</v>
      </c>
      <c r="EB89" s="115">
        <f t="shared" si="448"/>
        <v>17.93549110937521</v>
      </c>
      <c r="EC89" s="115">
        <v>30</v>
      </c>
      <c r="ED89" s="198">
        <f t="shared" ca="1" si="449"/>
        <v>125.80344444444444</v>
      </c>
      <c r="EE89" s="198">
        <v>104.83</v>
      </c>
      <c r="EF89" s="198">
        <f t="shared" ca="1" si="450"/>
        <v>0.42491111111111107</v>
      </c>
      <c r="EG89" s="199">
        <v>0.36720000000000003</v>
      </c>
      <c r="EH89" s="138">
        <f t="shared" ca="1" si="304"/>
        <v>6.7560782965113225E-2</v>
      </c>
      <c r="EI89" s="138">
        <f t="shared" ca="1" si="451"/>
        <v>6.7560782965113225E-2</v>
      </c>
      <c r="EJ89" s="115">
        <f t="shared" si="452"/>
        <v>12.764727901988076</v>
      </c>
      <c r="EK89" s="115">
        <v>435</v>
      </c>
      <c r="EL89" s="115">
        <f t="shared" ca="1" si="453"/>
        <v>452.53969698415222</v>
      </c>
      <c r="EM89" s="115">
        <f t="shared" ca="1" si="305"/>
        <v>1.0620394237317765</v>
      </c>
      <c r="EN89" s="115">
        <f t="shared" ca="1" si="306"/>
        <v>1.0674899011340009</v>
      </c>
      <c r="EO89" s="115">
        <v>298.14999999999998</v>
      </c>
      <c r="EP89" s="138">
        <f t="shared" ca="1" si="307"/>
        <v>0.32839671433426781</v>
      </c>
      <c r="EQ89" s="138">
        <f t="shared" ca="1" si="308"/>
        <v>0.40848719147726675</v>
      </c>
      <c r="ER89" s="115">
        <f t="shared" si="454"/>
        <v>0.69499340322282577</v>
      </c>
      <c r="ES89" s="115">
        <f t="shared" si="455"/>
        <v>453</v>
      </c>
      <c r="ET89" s="115">
        <f t="shared" ca="1" si="390"/>
        <v>2816.5993052117487</v>
      </c>
      <c r="EU89" s="115">
        <f t="shared" ca="1" si="391"/>
        <v>6.5855309782608691</v>
      </c>
      <c r="EV89" s="138">
        <f t="shared" ca="1" si="456"/>
        <v>0.59614721866663045</v>
      </c>
      <c r="EW89" s="138">
        <f t="shared" ca="1" si="344"/>
        <v>0.66662899286171173</v>
      </c>
      <c r="EX89" s="115">
        <v>21.47</v>
      </c>
      <c r="EY89" s="115">
        <f t="shared" ca="1" si="392"/>
        <v>119.05655389573839</v>
      </c>
      <c r="EZ89" s="115">
        <f t="shared" ca="1" si="393"/>
        <v>0.40298301688300237</v>
      </c>
      <c r="FA89" s="138">
        <f t="shared" ca="1" si="310"/>
        <v>7.6386983937169639E-2</v>
      </c>
      <c r="FB89" s="138">
        <f t="shared" ca="1" si="457"/>
        <v>7.6386983937169639E-2</v>
      </c>
      <c r="FC89" s="115">
        <f t="shared" si="458"/>
        <v>21.47</v>
      </c>
      <c r="FD89" s="115">
        <v>37</v>
      </c>
      <c r="FE89" s="115">
        <f t="shared" ca="1" si="459"/>
        <v>154.93355555555553</v>
      </c>
      <c r="FF89" s="115">
        <f t="shared" ca="1" si="460"/>
        <v>0.52252222222222222</v>
      </c>
      <c r="FG89" s="138">
        <f t="shared" ca="1" si="461"/>
        <v>8.1462225449999703E-2</v>
      </c>
      <c r="FH89" s="138">
        <f t="shared" ca="1" si="312"/>
        <v>8.1462225449999703E-2</v>
      </c>
      <c r="FI89" s="115">
        <f t="shared" si="462"/>
        <v>78.740190429687502</v>
      </c>
      <c r="FJ89" s="115">
        <f t="shared" ca="1" si="394"/>
        <v>45.438592889361921</v>
      </c>
      <c r="FK89" s="115">
        <f t="shared" ca="1" si="395"/>
        <v>0.15769405319425794</v>
      </c>
      <c r="FL89" s="138">
        <f t="shared" ca="1" si="463"/>
        <v>0.24195214293896769</v>
      </c>
      <c r="FM89" s="138">
        <f t="shared" ca="1" si="345"/>
        <v>0.29414677529868927</v>
      </c>
      <c r="FN89" s="115">
        <f t="shared" si="464"/>
        <v>78.740190429687502</v>
      </c>
      <c r="FO89" s="115">
        <f t="shared" ca="1" si="396"/>
        <v>60.258703481250343</v>
      </c>
      <c r="FP89" s="115">
        <f t="shared" ca="1" si="397"/>
        <v>0.20707343723509047</v>
      </c>
      <c r="FQ89" s="138">
        <f t="shared" ca="1" si="465"/>
        <v>0.2496409052204937</v>
      </c>
      <c r="FR89" s="138">
        <f t="shared" ca="1" si="346"/>
        <v>0.3034941801353539</v>
      </c>
      <c r="FS89" s="139">
        <f t="shared" si="468"/>
        <v>4.42744305698624</v>
      </c>
      <c r="FT89" s="249">
        <f t="shared" si="316"/>
        <v>4.022480828808769</v>
      </c>
      <c r="FU89" s="139">
        <f t="shared" ca="1" si="469"/>
        <v>0.50266242142213158</v>
      </c>
      <c r="FV89" s="249">
        <f t="shared" ca="1" si="318"/>
        <v>0.30454774081971236</v>
      </c>
      <c r="FW89" s="139">
        <f t="shared" ca="1" si="466"/>
        <v>0.59876073943532648</v>
      </c>
      <c r="FX89" s="249">
        <f t="shared" ca="1" si="319"/>
        <v>0.67090115618554624</v>
      </c>
      <c r="FY89" s="249">
        <f t="shared" si="398"/>
        <v>0.15000000000000002</v>
      </c>
      <c r="FZ89" s="139">
        <f t="shared" si="399"/>
        <v>1050000</v>
      </c>
      <c r="GA89" s="139">
        <f t="shared" si="320"/>
        <v>3.3757716049382713E-2</v>
      </c>
      <c r="GB89" s="139">
        <f t="shared" si="361"/>
        <v>121.52777777777777</v>
      </c>
      <c r="GC89" s="139">
        <f t="shared" si="400"/>
        <v>1050000</v>
      </c>
      <c r="GD89" s="139">
        <f t="shared" si="362"/>
        <v>6.7515432098765427E-2</v>
      </c>
      <c r="GE89" s="139">
        <f t="shared" si="363"/>
        <v>243.05555555555554</v>
      </c>
      <c r="GF89" s="139">
        <f t="shared" si="364"/>
        <v>4.5814043209876545E-2</v>
      </c>
      <c r="GG89" s="139">
        <f t="shared" si="401"/>
        <v>712500</v>
      </c>
      <c r="GH89" s="139">
        <f t="shared" si="365"/>
        <v>164.93055555555554</v>
      </c>
      <c r="GI89" s="137">
        <f t="shared" si="402"/>
        <v>55.993845450787965</v>
      </c>
      <c r="GJ89" s="137">
        <f t="shared" si="321"/>
        <v>0.20157784362283507</v>
      </c>
      <c r="GK89" s="251">
        <f t="shared" si="403"/>
        <v>46.906306740997955</v>
      </c>
      <c r="GL89" s="137">
        <f t="shared" si="329"/>
        <v>0.16886270426759128</v>
      </c>
      <c r="GM89" s="137">
        <f t="shared" ca="1" si="404"/>
        <v>7.0960563175086033</v>
      </c>
      <c r="GN89" s="137">
        <f t="shared" ca="1" si="322"/>
        <v>2.5545802743030768E-2</v>
      </c>
      <c r="GO89" s="137">
        <f t="shared" ca="1" si="366"/>
        <v>8.9823497689981602E-2</v>
      </c>
      <c r="GP89" s="137">
        <f t="shared" ca="1" si="405"/>
        <v>7.3261432086938889</v>
      </c>
      <c r="GQ89" s="137">
        <f t="shared" ca="1" si="323"/>
        <v>2.6374115551297789E-2</v>
      </c>
      <c r="GR89" s="137">
        <f t="shared" ca="1" si="406"/>
        <v>9.2735989983466216E-2</v>
      </c>
      <c r="GS89" s="140">
        <f t="shared" si="407"/>
        <v>6.3786172122000759E-2</v>
      </c>
      <c r="GT89" s="140">
        <f t="shared" si="408"/>
        <v>5.7951881300647941E-2</v>
      </c>
      <c r="GU89" s="140">
        <f t="shared" si="467"/>
        <v>229.63021963920272</v>
      </c>
      <c r="GV89" s="140">
        <f t="shared" si="324"/>
        <v>208.62677268233259</v>
      </c>
      <c r="GW89" s="141">
        <f t="shared" ca="1" si="409"/>
        <v>4.8230770986154806E-3</v>
      </c>
      <c r="GX89" s="141">
        <f t="shared" ca="1" si="410"/>
        <v>2.9221544551250706E-3</v>
      </c>
      <c r="GY89" s="141">
        <f t="shared" ca="1" si="325"/>
        <v>17.363077555015732</v>
      </c>
      <c r="GZ89" s="141">
        <f t="shared" ca="1" si="326"/>
        <v>10.519756038450254</v>
      </c>
      <c r="HA89" s="141">
        <f t="shared" ca="1" si="411"/>
        <v>1.120852764554362E-2</v>
      </c>
      <c r="HB89" s="141">
        <f t="shared" ca="1" si="412"/>
        <v>9.7098817331104457E-3</v>
      </c>
      <c r="HC89" s="141">
        <f t="shared" ca="1" si="470"/>
        <v>40.350699523957033</v>
      </c>
      <c r="HD89" s="141">
        <f t="shared" ca="1" si="328"/>
        <v>34.955574239197603</v>
      </c>
      <c r="HE89" s="137">
        <f t="shared" si="367"/>
        <v>6.7729897584501106</v>
      </c>
      <c r="HF89" s="250">
        <f t="shared" si="368"/>
        <v>6.8443747873755445</v>
      </c>
      <c r="HG89" s="137">
        <v>2.3455467014638707</v>
      </c>
      <c r="HH89" s="251">
        <v>2.6769088880720209</v>
      </c>
      <c r="HI89" s="137">
        <f t="shared" ca="1" si="369"/>
        <v>0.95115837998064978</v>
      </c>
      <c r="HJ89" s="251">
        <f t="shared" ca="1" si="370"/>
        <v>0.90361595071631085</v>
      </c>
      <c r="HK89" s="137">
        <f t="shared" ca="1" si="371"/>
        <v>0.5285864357015172</v>
      </c>
      <c r="HL89" s="251">
        <f t="shared" ca="1" si="372"/>
        <v>0.59906820989659848</v>
      </c>
      <c r="HM89" s="137">
        <f t="shared" ca="1" si="373"/>
        <v>0.59614721866663045</v>
      </c>
      <c r="HN89" s="251">
        <f t="shared" ca="1" si="374"/>
        <v>0.66662899286171173</v>
      </c>
      <c r="HO89" s="137">
        <f t="shared" ca="1" si="375"/>
        <v>0.24195214293896769</v>
      </c>
      <c r="HP89" s="251">
        <f t="shared" ca="1" si="376"/>
        <v>0.29414677529868927</v>
      </c>
      <c r="JN89" s="143">
        <f t="shared" si="413"/>
        <v>19.166258111093207</v>
      </c>
      <c r="JO89" s="143">
        <f t="shared" si="347"/>
        <v>2345.5467014638707</v>
      </c>
      <c r="JP89" s="143">
        <f t="shared" si="414"/>
        <v>2821.8939585667758</v>
      </c>
      <c r="JQ89" s="143">
        <f t="shared" si="415"/>
        <v>0.69499340322282577</v>
      </c>
      <c r="JR89" s="143">
        <f t="shared" ca="1" si="348"/>
        <v>0.7771616438506741</v>
      </c>
      <c r="JS89" s="143">
        <f t="shared" si="416"/>
        <v>78.740190429687502</v>
      </c>
      <c r="JT89" s="143">
        <f t="shared" ca="1" si="349"/>
        <v>95.726257349742454</v>
      </c>
      <c r="JU89" s="143">
        <f t="shared" si="423"/>
        <v>0.28206700427530285</v>
      </c>
      <c r="JV89" s="143">
        <f t="shared" si="417"/>
        <v>0.33935081095539066</v>
      </c>
      <c r="JW89" s="143">
        <f t="shared" ca="1" si="418"/>
        <v>0.2243683203376752</v>
      </c>
      <c r="JX89" s="143">
        <f t="shared" ca="1" si="419"/>
        <v>0.25089511908034096</v>
      </c>
      <c r="JY89" s="143">
        <f t="shared" si="420"/>
        <v>0.70520917744479961</v>
      </c>
      <c r="JZ89" s="143">
        <f t="shared" si="421"/>
        <v>0.67029363883303428</v>
      </c>
      <c r="KA89" s="143">
        <f t="shared" si="350"/>
        <v>0.26610094742953094</v>
      </c>
      <c r="KB89" s="143">
        <f t="shared" si="351"/>
        <v>0.32014227448621757</v>
      </c>
      <c r="KC89" s="143">
        <f t="shared" ca="1" si="352"/>
        <v>0.51256923297432433</v>
      </c>
      <c r="KD89" s="143">
        <f t="shared" ca="1" si="353"/>
        <v>0.66296772364598866</v>
      </c>
      <c r="KE89" s="143">
        <f t="shared" ca="1" si="354"/>
        <v>0.44124509802067413</v>
      </c>
      <c r="KF89" s="143">
        <f t="shared" ca="1" si="355"/>
        <v>0.40585971948360117</v>
      </c>
      <c r="KG89" s="142">
        <f t="shared" si="356"/>
        <v>0.16886270426759128</v>
      </c>
      <c r="KH89" s="142">
        <f t="shared" ca="1" si="357"/>
        <v>9.2735989983466216E-2</v>
      </c>
      <c r="KI89" s="142">
        <f t="shared" ca="1" si="358"/>
        <v>287.3439967181755</v>
      </c>
      <c r="KJ89" s="142">
        <f t="shared" ca="1" si="359"/>
        <v>254.10210295998044</v>
      </c>
    </row>
    <row r="90" spans="1:296" x14ac:dyDescent="0.3">
      <c r="A90" s="201">
        <v>41436</v>
      </c>
      <c r="B90" s="196">
        <v>109</v>
      </c>
      <c r="C90" s="179">
        <v>24</v>
      </c>
      <c r="D90" s="179">
        <v>4.2</v>
      </c>
      <c r="E90" s="179">
        <v>50016</v>
      </c>
      <c r="F90" s="179">
        <v>300</v>
      </c>
      <c r="G90" s="179">
        <v>11.7</v>
      </c>
      <c r="H90" s="179">
        <v>0.85</v>
      </c>
      <c r="I90" s="179">
        <v>1.4</v>
      </c>
      <c r="J90" s="179">
        <v>1.33</v>
      </c>
      <c r="K90" s="179">
        <v>0.91</v>
      </c>
      <c r="L90" s="152">
        <v>20796.117706440389</v>
      </c>
      <c r="M90" s="155">
        <v>19</v>
      </c>
      <c r="N90" s="153">
        <v>58228.442223377526</v>
      </c>
      <c r="O90" s="178">
        <v>17</v>
      </c>
      <c r="P90" s="179">
        <v>2</v>
      </c>
      <c r="Q90" s="179">
        <v>5</v>
      </c>
      <c r="R90" s="154">
        <v>346.82257080078125</v>
      </c>
      <c r="S90" s="155">
        <v>73.537044289318146</v>
      </c>
      <c r="T90" s="152">
        <v>180</v>
      </c>
      <c r="U90" s="156">
        <v>2.8549425601959229</v>
      </c>
      <c r="V90" s="178">
        <v>17</v>
      </c>
      <c r="W90" s="179">
        <v>1250</v>
      </c>
      <c r="X90" s="155">
        <v>88723.431794479489</v>
      </c>
      <c r="Y90" s="155">
        <v>12305.501137297601</v>
      </c>
      <c r="Z90" s="155">
        <v>368.74948120117187</v>
      </c>
      <c r="AA90" s="155">
        <v>11.779038429260254</v>
      </c>
      <c r="AB90" s="155">
        <v>15.055937767028809</v>
      </c>
      <c r="AC90" s="215">
        <v>37</v>
      </c>
      <c r="AD90" s="215">
        <v>29.038068771362305</v>
      </c>
      <c r="AE90" s="254">
        <v>20</v>
      </c>
      <c r="AF90" s="254">
        <v>10</v>
      </c>
      <c r="AG90" s="217">
        <v>5000000</v>
      </c>
      <c r="AH90" s="218">
        <v>300000</v>
      </c>
      <c r="AI90" s="219">
        <v>5000000</v>
      </c>
      <c r="AJ90" s="225">
        <f t="shared" si="330"/>
        <v>300000</v>
      </c>
      <c r="AK90" s="220">
        <v>2750000</v>
      </c>
      <c r="AL90" s="226">
        <f t="shared" si="331"/>
        <v>300000</v>
      </c>
      <c r="AM90" s="221">
        <v>14.407</v>
      </c>
      <c r="BM90" s="197">
        <f t="shared" si="332"/>
        <v>7.9619312286376953</v>
      </c>
      <c r="BN90" s="196">
        <f t="shared" si="333"/>
        <v>180</v>
      </c>
      <c r="BO90" s="197">
        <f t="shared" si="334"/>
        <v>3.2768993377685547</v>
      </c>
      <c r="BP90" s="196">
        <f t="shared" si="294"/>
        <v>12.652995690766964</v>
      </c>
      <c r="BQ90" s="115">
        <f t="shared" si="335"/>
        <v>659.74492511188635</v>
      </c>
      <c r="BR90" s="184">
        <f t="shared" si="336"/>
        <v>1.0041987768</v>
      </c>
      <c r="BS90" s="115">
        <f t="shared" si="337"/>
        <v>6863.8528613899143</v>
      </c>
      <c r="BT90" s="196">
        <v>900</v>
      </c>
      <c r="BU90" s="115">
        <f t="shared" si="424"/>
        <v>1.1850729520000001</v>
      </c>
      <c r="BV90" s="115">
        <f t="shared" si="425"/>
        <v>1.0623456587948759</v>
      </c>
      <c r="BW90" s="115">
        <f t="shared" si="426"/>
        <v>430.92117511229753</v>
      </c>
      <c r="BX90" s="115">
        <f t="shared" si="377"/>
        <v>1036.6503528679523</v>
      </c>
      <c r="BY90" s="115"/>
      <c r="BZ90" s="115">
        <f t="shared" si="378"/>
        <v>605.72917775565475</v>
      </c>
      <c r="CA90" s="115">
        <f t="shared" si="379"/>
        <v>9790.2176306197871</v>
      </c>
      <c r="CB90" s="115">
        <f t="shared" si="380"/>
        <v>2426.1850926407301</v>
      </c>
      <c r="CC90" s="115">
        <f t="shared" si="381"/>
        <v>866.50490443501621</v>
      </c>
      <c r="CD90" s="129">
        <f t="shared" si="427"/>
        <v>0.17120559207115754</v>
      </c>
      <c r="CE90" s="115">
        <f t="shared" si="382"/>
        <v>21.691145953010111</v>
      </c>
      <c r="CF90" s="115">
        <f t="shared" si="383"/>
        <v>20.426956747032818</v>
      </c>
      <c r="CG90" s="115">
        <f t="shared" si="384"/>
        <v>0.02</v>
      </c>
      <c r="CH90" s="115">
        <f t="shared" si="385"/>
        <v>0.05</v>
      </c>
      <c r="CI90" s="136">
        <v>30</v>
      </c>
      <c r="CJ90" s="115">
        <f t="shared" si="428"/>
        <v>165</v>
      </c>
      <c r="CK90" s="115">
        <f t="shared" si="386"/>
        <v>453</v>
      </c>
      <c r="CL90" s="115">
        <f t="shared" si="387"/>
        <v>619.82257080078125</v>
      </c>
      <c r="CM90" s="115">
        <f t="shared" ca="1" si="388"/>
        <v>2816.5993052117487</v>
      </c>
      <c r="CN90" s="115">
        <f t="shared" ca="1" si="429"/>
        <v>125.80344444444444</v>
      </c>
      <c r="CO90" s="115">
        <f t="shared" ca="1" si="430"/>
        <v>690.58718083896258</v>
      </c>
      <c r="CP90" s="115">
        <f t="shared" ca="1" si="431"/>
        <v>2790.6388281929471</v>
      </c>
      <c r="CQ90" s="115">
        <f t="shared" si="432"/>
        <v>1.072449112508886</v>
      </c>
      <c r="CR90" s="115">
        <f t="shared" ca="1" si="338"/>
        <v>470.29066184892901</v>
      </c>
      <c r="CS90" s="115">
        <f t="shared" ca="1" si="339"/>
        <v>23.340715282332173</v>
      </c>
      <c r="CT90" s="115">
        <f t="shared" si="433"/>
        <v>1.110052057532904</v>
      </c>
      <c r="CU90" s="115">
        <f t="shared" ca="1" si="434"/>
        <v>1.0107734330781135</v>
      </c>
      <c r="CV90" s="115">
        <f t="shared" si="360"/>
        <v>132.72917775565475</v>
      </c>
      <c r="CW90" s="115">
        <f t="shared" si="435"/>
        <v>473</v>
      </c>
      <c r="CX90" s="115">
        <f t="shared" si="436"/>
        <v>438</v>
      </c>
      <c r="CY90" s="115">
        <f t="shared" ca="1" si="437"/>
        <v>449.65928471766784</v>
      </c>
      <c r="CZ90" s="115">
        <f t="shared" ca="1" si="438"/>
        <v>170.16328608311341</v>
      </c>
      <c r="DA90" s="115">
        <v>0.21890000000000001</v>
      </c>
      <c r="DB90" s="115">
        <v>2.7E-2</v>
      </c>
      <c r="DC90" s="115">
        <v>1.06</v>
      </c>
      <c r="DD90" s="138">
        <f t="shared" si="389"/>
        <v>9.0768000266128759</v>
      </c>
      <c r="DE90" s="138">
        <f t="shared" si="439"/>
        <v>9.0768000266128759</v>
      </c>
      <c r="DF90" s="115">
        <f t="shared" si="440"/>
        <v>619.82257080078125</v>
      </c>
      <c r="DG90" s="115">
        <v>605.72917775565475</v>
      </c>
      <c r="DH90" s="115">
        <f t="shared" si="441"/>
        <v>1.110052057532904</v>
      </c>
      <c r="DI90" s="115">
        <f t="shared" si="299"/>
        <v>1.1063241388107357</v>
      </c>
      <c r="DJ90" s="138">
        <f t="shared" si="340"/>
        <v>2.2020659646641221</v>
      </c>
      <c r="DK90" s="138">
        <f t="shared" si="341"/>
        <v>2.0412012290738613</v>
      </c>
      <c r="DL90" s="115">
        <f t="shared" si="442"/>
        <v>619.82257080078125</v>
      </c>
      <c r="DM90" s="115">
        <f t="shared" si="471"/>
        <v>605.72917775565475</v>
      </c>
      <c r="DN90" s="115">
        <f t="shared" si="300"/>
        <v>12.768022924319391</v>
      </c>
      <c r="DO90" s="115">
        <f t="shared" si="301"/>
        <v>1.110052057532904</v>
      </c>
      <c r="DP90" s="115">
        <f t="shared" si="443"/>
        <v>1.1063241388107357</v>
      </c>
      <c r="DQ90" s="115">
        <v>298.14999999999998</v>
      </c>
      <c r="DR90" s="138">
        <f t="shared" si="302"/>
        <v>1.4665759324663052</v>
      </c>
      <c r="DS90" s="138">
        <f t="shared" si="303"/>
        <v>1.3594400185631919</v>
      </c>
      <c r="DT90" s="115">
        <f t="shared" si="444"/>
        <v>619.82257080078125</v>
      </c>
      <c r="DU90" s="139">
        <f t="shared" si="422"/>
        <v>6.403182667751766</v>
      </c>
      <c r="DV90" s="115">
        <f t="shared" si="445"/>
        <v>1.110052057532904</v>
      </c>
      <c r="DW90" s="115">
        <v>298.14999999999998</v>
      </c>
      <c r="DX90" s="138">
        <f t="shared" si="342"/>
        <v>0.73549003219781683</v>
      </c>
      <c r="DY90" s="138">
        <f t="shared" si="343"/>
        <v>0.68176121051066985</v>
      </c>
      <c r="DZ90" s="138">
        <f t="shared" si="446"/>
        <v>2.42618509264073</v>
      </c>
      <c r="EA90" s="138">
        <f t="shared" si="447"/>
        <v>2.9263647692298727</v>
      </c>
      <c r="EB90" s="115">
        <f t="shared" si="448"/>
        <v>20.426956747032818</v>
      </c>
      <c r="EC90" s="115">
        <v>30</v>
      </c>
      <c r="ED90" s="198">
        <f t="shared" ca="1" si="449"/>
        <v>125.80344444444444</v>
      </c>
      <c r="EE90" s="198">
        <v>104.83</v>
      </c>
      <c r="EF90" s="198">
        <f t="shared" ca="1" si="450"/>
        <v>0.42491111111111107</v>
      </c>
      <c r="EG90" s="199">
        <v>0.36720000000000003</v>
      </c>
      <c r="EH90" s="138">
        <f t="shared" ca="1" si="304"/>
        <v>7.6945826741407486E-2</v>
      </c>
      <c r="EI90" s="138">
        <f t="shared" ca="1" si="451"/>
        <v>7.6945826741407486E-2</v>
      </c>
      <c r="EJ90" s="115">
        <f t="shared" si="452"/>
        <v>12.768022924319391</v>
      </c>
      <c r="EK90" s="115">
        <v>435</v>
      </c>
      <c r="EL90" s="115">
        <f t="shared" ca="1" si="453"/>
        <v>449.65928471766784</v>
      </c>
      <c r="EM90" s="115">
        <f t="shared" ca="1" si="305"/>
        <v>1.0622547279163748</v>
      </c>
      <c r="EN90" s="115">
        <f t="shared" ca="1" si="306"/>
        <v>1.066798659325022</v>
      </c>
      <c r="EO90" s="115">
        <v>298.14999999999998</v>
      </c>
      <c r="EP90" s="138">
        <f t="shared" ca="1" si="307"/>
        <v>0.32854807710458073</v>
      </c>
      <c r="EQ90" s="138">
        <f t="shared" ca="1" si="308"/>
        <v>0.39502554660710043</v>
      </c>
      <c r="ER90" s="115">
        <f t="shared" si="454"/>
        <v>0.79303960005442309</v>
      </c>
      <c r="ES90" s="115">
        <f t="shared" si="455"/>
        <v>453</v>
      </c>
      <c r="ET90" s="115">
        <f t="shared" ca="1" si="390"/>
        <v>2816.5993052117487</v>
      </c>
      <c r="EU90" s="115">
        <f t="shared" ca="1" si="391"/>
        <v>6.5855309782608691</v>
      </c>
      <c r="EV90" s="138">
        <f t="shared" ca="1" si="456"/>
        <v>0.68024868966038865</v>
      </c>
      <c r="EW90" s="138">
        <f t="shared" ca="1" si="344"/>
        <v>0.70242440547155038</v>
      </c>
      <c r="EX90" s="115">
        <v>21.47</v>
      </c>
      <c r="EY90" s="115">
        <f t="shared" ca="1" si="392"/>
        <v>121.61198870468139</v>
      </c>
      <c r="EZ90" s="115">
        <f t="shared" ca="1" si="393"/>
        <v>0.41149751453399658</v>
      </c>
      <c r="FA90" s="138">
        <f t="shared" ca="1" si="310"/>
        <v>7.6748481504570878E-2</v>
      </c>
      <c r="FB90" s="138">
        <f t="shared" ca="1" si="457"/>
        <v>7.6748481504570878E-2</v>
      </c>
      <c r="FC90" s="115">
        <f t="shared" si="458"/>
        <v>21.47</v>
      </c>
      <c r="FD90" s="115">
        <v>37</v>
      </c>
      <c r="FE90" s="115">
        <f t="shared" ca="1" si="459"/>
        <v>154.93355555555553</v>
      </c>
      <c r="FF90" s="115">
        <f t="shared" ca="1" si="460"/>
        <v>0.52252222222222222</v>
      </c>
      <c r="FG90" s="138">
        <f t="shared" ca="1" si="461"/>
        <v>8.1462225449999703E-2</v>
      </c>
      <c r="FH90" s="138">
        <f t="shared" ca="1" si="312"/>
        <v>8.1462225449999703E-2</v>
      </c>
      <c r="FI90" s="115">
        <f t="shared" si="462"/>
        <v>103.24985473632813</v>
      </c>
      <c r="FJ90" s="115">
        <f t="shared" ca="1" si="394"/>
        <v>49.38102905294631</v>
      </c>
      <c r="FK90" s="115">
        <f t="shared" ca="1" si="395"/>
        <v>0.17082992476357353</v>
      </c>
      <c r="FL90" s="138">
        <f t="shared" ca="1" si="463"/>
        <v>0.3199472410306487</v>
      </c>
      <c r="FM90" s="138">
        <f t="shared" ca="1" si="345"/>
        <v>0.35950927181424619</v>
      </c>
      <c r="FN90" s="115">
        <f t="shared" si="464"/>
        <v>103.24985473632813</v>
      </c>
      <c r="FO90" s="115">
        <f t="shared" ca="1" si="396"/>
        <v>63.095216881434126</v>
      </c>
      <c r="FP90" s="115">
        <f t="shared" ca="1" si="397"/>
        <v>0.21652446552912394</v>
      </c>
      <c r="FQ90" s="138">
        <f t="shared" ca="1" si="465"/>
        <v>0.32927694945097358</v>
      </c>
      <c r="FR90" s="138">
        <f t="shared" ca="1" si="346"/>
        <v>0.36999261484800883</v>
      </c>
      <c r="FS90" s="139">
        <f t="shared" si="468"/>
        <v>4.4485489693080238</v>
      </c>
      <c r="FT90" s="249">
        <f t="shared" si="316"/>
        <v>4.1092340283091424</v>
      </c>
      <c r="FU90" s="139">
        <f t="shared" ca="1" si="469"/>
        <v>0.53472499244274352</v>
      </c>
      <c r="FV90" s="249">
        <f t="shared" ca="1" si="318"/>
        <v>0.33893589322594853</v>
      </c>
      <c r="FW90" s="139">
        <f t="shared" ca="1" si="466"/>
        <v>0.68486465413528474</v>
      </c>
      <c r="FX90" s="249">
        <f t="shared" ca="1" si="319"/>
        <v>0.70819400455988435</v>
      </c>
      <c r="FY90" s="249">
        <f t="shared" si="398"/>
        <v>0.15000000000000002</v>
      </c>
      <c r="FZ90" s="139">
        <f t="shared" si="399"/>
        <v>1050000</v>
      </c>
      <c r="GA90" s="139">
        <f t="shared" si="320"/>
        <v>3.3757716049382713E-2</v>
      </c>
      <c r="GB90" s="139">
        <f t="shared" si="361"/>
        <v>121.52777777777777</v>
      </c>
      <c r="GC90" s="139">
        <f t="shared" si="400"/>
        <v>1050000</v>
      </c>
      <c r="GD90" s="139">
        <f t="shared" si="362"/>
        <v>6.7515432098765427E-2</v>
      </c>
      <c r="GE90" s="139">
        <f t="shared" si="363"/>
        <v>243.05555555555554</v>
      </c>
      <c r="GF90" s="139">
        <f t="shared" si="364"/>
        <v>4.5814043209876545E-2</v>
      </c>
      <c r="GG90" s="139">
        <f t="shared" si="401"/>
        <v>712500</v>
      </c>
      <c r="GH90" s="139">
        <f t="shared" si="365"/>
        <v>164.93055555555554</v>
      </c>
      <c r="GI90" s="137">
        <f t="shared" si="402"/>
        <v>54.736965486558518</v>
      </c>
      <c r="GJ90" s="137">
        <f t="shared" si="321"/>
        <v>0.1970530757516091</v>
      </c>
      <c r="GK90" s="251">
        <f t="shared" si="403"/>
        <v>46.173187070279873</v>
      </c>
      <c r="GL90" s="137">
        <f t="shared" si="329"/>
        <v>0.16622347345300623</v>
      </c>
      <c r="GM90" s="137">
        <f t="shared" ca="1" si="404"/>
        <v>7.6008457592538807</v>
      </c>
      <c r="GN90" s="137">
        <f t="shared" ca="1" si="322"/>
        <v>2.7363044733313753E-2</v>
      </c>
      <c r="GO90" s="137">
        <f t="shared" ca="1" si="366"/>
        <v>9.6213237458909126E-2</v>
      </c>
      <c r="GP90" s="137">
        <f t="shared" ca="1" si="405"/>
        <v>7.698087701144205</v>
      </c>
      <c r="GQ90" s="137">
        <f t="shared" ca="1" si="323"/>
        <v>2.7713115724118918E-2</v>
      </c>
      <c r="GR90" s="137">
        <f t="shared" ca="1" si="406"/>
        <v>9.7444148115748655E-2</v>
      </c>
      <c r="GS90" s="140">
        <f t="shared" si="407"/>
        <v>6.4090245000820695E-2</v>
      </c>
      <c r="GT90" s="140">
        <f t="shared" si="408"/>
        <v>5.920173464584981E-2</v>
      </c>
      <c r="GU90" s="140">
        <f t="shared" si="467"/>
        <v>230.7248820029545</v>
      </c>
      <c r="GV90" s="140">
        <f t="shared" si="324"/>
        <v>213.12624472505931</v>
      </c>
      <c r="GW90" s="141">
        <f t="shared" ca="1" si="409"/>
        <v>5.1307194554376552E-3</v>
      </c>
      <c r="GX90" s="141">
        <f t="shared" ca="1" si="410"/>
        <v>3.2521109095283553E-3</v>
      </c>
      <c r="GY90" s="141">
        <f t="shared" ca="1" si="325"/>
        <v>18.470590039575558</v>
      </c>
      <c r="GZ90" s="141">
        <f t="shared" ca="1" si="326"/>
        <v>11.70759927430208</v>
      </c>
      <c r="HA90" s="141">
        <f t="shared" ca="1" si="411"/>
        <v>1.2395671098269978E-2</v>
      </c>
      <c r="HB90" s="141">
        <f t="shared" ca="1" si="412"/>
        <v>1.0477346557301393E-2</v>
      </c>
      <c r="HC90" s="141">
        <f t="shared" ca="1" si="470"/>
        <v>44.624415953771923</v>
      </c>
      <c r="HD90" s="141">
        <f t="shared" ca="1" si="328"/>
        <v>37.718447606285011</v>
      </c>
      <c r="HE90" s="137">
        <f t="shared" si="367"/>
        <v>6.8747340619487538</v>
      </c>
      <c r="HF90" s="250">
        <f t="shared" si="368"/>
        <v>7.0355987975390146</v>
      </c>
      <c r="HG90" s="137">
        <v>2.42618509264073</v>
      </c>
      <c r="HH90" s="251">
        <v>2.6061730658871567</v>
      </c>
      <c r="HI90" s="137">
        <f t="shared" ca="1" si="369"/>
        <v>1.0715503858592048</v>
      </c>
      <c r="HJ90" s="251">
        <f t="shared" ca="1" si="370"/>
        <v>0.96441447195609142</v>
      </c>
      <c r="HK90" s="137">
        <f t="shared" ca="1" si="371"/>
        <v>0.60330286291898116</v>
      </c>
      <c r="HL90" s="251">
        <f t="shared" ca="1" si="372"/>
        <v>0.6254785787301429</v>
      </c>
      <c r="HM90" s="137">
        <f t="shared" ca="1" si="373"/>
        <v>0.68024868966038865</v>
      </c>
      <c r="HN90" s="251">
        <f t="shared" ca="1" si="374"/>
        <v>0.70242440547155038</v>
      </c>
      <c r="HO90" s="137">
        <f t="shared" ca="1" si="375"/>
        <v>0.3199472410306487</v>
      </c>
      <c r="HP90" s="251">
        <f t="shared" ca="1" si="376"/>
        <v>0.35950927181424619</v>
      </c>
      <c r="JN90" s="143">
        <f t="shared" si="413"/>
        <v>19.171205592071157</v>
      </c>
      <c r="JO90" s="143">
        <f t="shared" si="347"/>
        <v>2426.1850926407301</v>
      </c>
      <c r="JP90" s="143">
        <f t="shared" si="414"/>
        <v>2926.3647692298728</v>
      </c>
      <c r="JQ90" s="143">
        <f t="shared" si="415"/>
        <v>0.79303960005442309</v>
      </c>
      <c r="JR90" s="143">
        <f t="shared" ca="1" si="348"/>
        <v>0.81889223463514393</v>
      </c>
      <c r="JS90" s="143">
        <f t="shared" si="416"/>
        <v>103.24985473632813</v>
      </c>
      <c r="JT90" s="143">
        <f t="shared" ca="1" si="349"/>
        <v>116.0168781940778</v>
      </c>
      <c r="JU90" s="143">
        <f t="shared" si="423"/>
        <v>0.28333291365446744</v>
      </c>
      <c r="JV90" s="143">
        <f t="shared" si="417"/>
        <v>0.34174451858461796</v>
      </c>
      <c r="JW90" s="143">
        <f t="shared" ca="1" si="418"/>
        <v>0.24863773642461559</v>
      </c>
      <c r="JX90" s="143">
        <f t="shared" ca="1" si="419"/>
        <v>0.25674318354519071</v>
      </c>
      <c r="JY90" s="143">
        <f t="shared" si="420"/>
        <v>0.72274650183056099</v>
      </c>
      <c r="JZ90" s="143">
        <f t="shared" si="421"/>
        <v>0.66850183349822068</v>
      </c>
      <c r="KA90" s="143">
        <f t="shared" si="350"/>
        <v>0.26729520156081837</v>
      </c>
      <c r="KB90" s="143">
        <f t="shared" si="351"/>
        <v>0.32240048923077169</v>
      </c>
      <c r="KC90" s="143">
        <f t="shared" ca="1" si="352"/>
        <v>0.53013013704064393</v>
      </c>
      <c r="KD90" s="143">
        <f t="shared" ca="1" si="353"/>
        <v>0.64855785237389108</v>
      </c>
      <c r="KE90" s="143">
        <f t="shared" ca="1" si="354"/>
        <v>0.51181204555798576</v>
      </c>
      <c r="KF90" s="143">
        <f t="shared" ca="1" si="355"/>
        <v>0.47033863628665135</v>
      </c>
      <c r="KG90" s="142">
        <f t="shared" si="356"/>
        <v>0.16622347345300623</v>
      </c>
      <c r="KH90" s="142">
        <f t="shared" ca="1" si="357"/>
        <v>9.7444148115748655E-2</v>
      </c>
      <c r="KI90" s="142">
        <f t="shared" ca="1" si="358"/>
        <v>293.81988799630199</v>
      </c>
      <c r="KJ90" s="142">
        <f t="shared" ca="1" si="359"/>
        <v>262.55229160564642</v>
      </c>
    </row>
    <row r="91" spans="1:296" x14ac:dyDescent="0.3">
      <c r="A91" s="201">
        <v>41437</v>
      </c>
      <c r="B91" s="196">
        <v>110</v>
      </c>
      <c r="C91" s="179">
        <v>24</v>
      </c>
      <c r="D91" s="179">
        <v>4.2</v>
      </c>
      <c r="E91" s="179">
        <v>50016</v>
      </c>
      <c r="F91" s="179">
        <v>300</v>
      </c>
      <c r="G91" s="179">
        <v>11.7</v>
      </c>
      <c r="H91" s="179">
        <v>0.85</v>
      </c>
      <c r="I91" s="179">
        <v>1.4</v>
      </c>
      <c r="J91" s="179">
        <v>1.33</v>
      </c>
      <c r="K91" s="179">
        <v>0.91</v>
      </c>
      <c r="L91" s="152">
        <v>21715.289565324783</v>
      </c>
      <c r="M91" s="155">
        <v>19</v>
      </c>
      <c r="N91" s="153">
        <v>61745.293890424073</v>
      </c>
      <c r="O91" s="178">
        <v>17</v>
      </c>
      <c r="P91" s="179">
        <v>2</v>
      </c>
      <c r="Q91" s="179">
        <v>5</v>
      </c>
      <c r="R91" s="154">
        <v>358.20083618164062</v>
      </c>
      <c r="S91" s="155">
        <v>81.773119049379602</v>
      </c>
      <c r="T91" s="152">
        <v>180</v>
      </c>
      <c r="U91" s="156">
        <v>3.2453639507293701</v>
      </c>
      <c r="V91" s="178">
        <v>17</v>
      </c>
      <c r="W91" s="179">
        <v>1250</v>
      </c>
      <c r="X91" s="155">
        <v>74725.635055735707</v>
      </c>
      <c r="Y91" s="155">
        <v>10654.010956376791</v>
      </c>
      <c r="Z91" s="155">
        <v>330.1583251953125</v>
      </c>
      <c r="AA91" s="155">
        <v>9.9778861999511719</v>
      </c>
      <c r="AB91" s="155">
        <v>13.733726501464844</v>
      </c>
      <c r="AC91" s="215">
        <v>37</v>
      </c>
      <c r="AD91" s="215">
        <v>27.684730529785156</v>
      </c>
      <c r="AE91" s="254">
        <v>20</v>
      </c>
      <c r="AF91" s="254">
        <v>10</v>
      </c>
      <c r="AG91" s="217">
        <v>5000000</v>
      </c>
      <c r="AH91" s="218">
        <v>300000</v>
      </c>
      <c r="AI91" s="219">
        <v>5000000</v>
      </c>
      <c r="AJ91" s="225">
        <f t="shared" si="330"/>
        <v>300000</v>
      </c>
      <c r="AK91" s="220">
        <v>2750000</v>
      </c>
      <c r="AL91" s="226">
        <f t="shared" si="331"/>
        <v>300000</v>
      </c>
      <c r="AM91" s="221">
        <v>14.407</v>
      </c>
      <c r="BM91" s="197">
        <f t="shared" si="332"/>
        <v>9.3152694702148437</v>
      </c>
      <c r="BN91" s="196">
        <f t="shared" si="333"/>
        <v>180</v>
      </c>
      <c r="BO91" s="197">
        <f t="shared" si="334"/>
        <v>3.7558403015136719</v>
      </c>
      <c r="BP91" s="196">
        <f t="shared" si="294"/>
        <v>12.657990010408463</v>
      </c>
      <c r="BQ91" s="115">
        <f t="shared" si="335"/>
        <v>659.74492511188635</v>
      </c>
      <c r="BR91" s="184">
        <f t="shared" si="336"/>
        <v>1.0041987768</v>
      </c>
      <c r="BS91" s="115">
        <f t="shared" si="337"/>
        <v>6863.8528613899143</v>
      </c>
      <c r="BT91" s="196">
        <v>900</v>
      </c>
      <c r="BU91" s="115">
        <f t="shared" si="424"/>
        <v>1.1850729520000001</v>
      </c>
      <c r="BV91" s="115">
        <f t="shared" si="425"/>
        <v>1.0639670235278451</v>
      </c>
      <c r="BW91" s="115">
        <f t="shared" si="426"/>
        <v>437.78150765660121</v>
      </c>
      <c r="BX91" s="115">
        <f t="shared" si="377"/>
        <v>1053.1539887150202</v>
      </c>
      <c r="BY91" s="115"/>
      <c r="BZ91" s="115">
        <f t="shared" si="378"/>
        <v>615.372481058419</v>
      </c>
      <c r="CA91" s="115">
        <f t="shared" si="379"/>
        <v>9950.0052882125201</v>
      </c>
      <c r="CB91" s="115">
        <f t="shared" si="380"/>
        <v>2572.7205787676698</v>
      </c>
      <c r="CC91" s="115">
        <f t="shared" si="381"/>
        <v>904.80373188853264</v>
      </c>
      <c r="CD91" s="129">
        <f t="shared" si="427"/>
        <v>0.17877274304312543</v>
      </c>
      <c r="CE91" s="115">
        <f t="shared" si="382"/>
        <v>19.421077952665442</v>
      </c>
      <c r="CF91" s="115">
        <f t="shared" si="383"/>
        <v>22.714755291494335</v>
      </c>
      <c r="CG91" s="115">
        <f t="shared" si="384"/>
        <v>0.02</v>
      </c>
      <c r="CH91" s="115">
        <f t="shared" si="385"/>
        <v>0.05</v>
      </c>
      <c r="CI91" s="136">
        <v>30</v>
      </c>
      <c r="CJ91" s="115">
        <f t="shared" si="428"/>
        <v>165</v>
      </c>
      <c r="CK91" s="115">
        <f t="shared" si="386"/>
        <v>453</v>
      </c>
      <c r="CL91" s="115">
        <f t="shared" si="387"/>
        <v>631.20083618164062</v>
      </c>
      <c r="CM91" s="115">
        <f t="shared" ca="1" si="388"/>
        <v>2816.5993052117487</v>
      </c>
      <c r="CN91" s="115">
        <f t="shared" ca="1" si="429"/>
        <v>125.80344444444444</v>
      </c>
      <c r="CO91" s="115">
        <f t="shared" ca="1" si="430"/>
        <v>690.58718083896258</v>
      </c>
      <c r="CP91" s="115">
        <f t="shared" ca="1" si="431"/>
        <v>2790.6388281929471</v>
      </c>
      <c r="CQ91" s="115">
        <f t="shared" si="432"/>
        <v>1.072449112508886</v>
      </c>
      <c r="CR91" s="115">
        <f t="shared" ca="1" si="338"/>
        <v>534.60422693212752</v>
      </c>
      <c r="CS91" s="115">
        <f t="shared" ca="1" si="339"/>
        <v>26.522154787676527</v>
      </c>
      <c r="CT91" s="115">
        <f t="shared" si="433"/>
        <v>1.1130745197538703</v>
      </c>
      <c r="CU91" s="115">
        <f t="shared" ca="1" si="434"/>
        <v>1.0130254591868744</v>
      </c>
      <c r="CV91" s="115">
        <f t="shared" si="360"/>
        <v>142.372481058419</v>
      </c>
      <c r="CW91" s="115">
        <f t="shared" si="435"/>
        <v>473</v>
      </c>
      <c r="CX91" s="115">
        <f t="shared" si="436"/>
        <v>438</v>
      </c>
      <c r="CY91" s="115">
        <f t="shared" ca="1" si="437"/>
        <v>446.47784521232347</v>
      </c>
      <c r="CZ91" s="115">
        <f t="shared" ca="1" si="438"/>
        <v>184.72299096931715</v>
      </c>
      <c r="DA91" s="115">
        <v>0.21890000000000001</v>
      </c>
      <c r="DB91" s="115">
        <v>2.7E-2</v>
      </c>
      <c r="DC91" s="115">
        <v>1.06</v>
      </c>
      <c r="DD91" s="138">
        <f t="shared" si="389"/>
        <v>9.4779873670076604</v>
      </c>
      <c r="DE91" s="138">
        <f t="shared" si="439"/>
        <v>9.4779873670076604</v>
      </c>
      <c r="DF91" s="115">
        <f t="shared" si="440"/>
        <v>631.20083618164062</v>
      </c>
      <c r="DG91" s="115">
        <v>615.372481058419</v>
      </c>
      <c r="DH91" s="115">
        <f t="shared" si="441"/>
        <v>1.1130745197538703</v>
      </c>
      <c r="DI91" s="115">
        <f t="shared" si="299"/>
        <v>1.1088729714829135</v>
      </c>
      <c r="DJ91" s="138">
        <f t="shared" si="340"/>
        <v>2.3360500365652701</v>
      </c>
      <c r="DK91" s="138">
        <f t="shared" si="341"/>
        <v>2.1516439865433497</v>
      </c>
      <c r="DL91" s="115">
        <f t="shared" si="442"/>
        <v>631.20083618164062</v>
      </c>
      <c r="DM91" s="115">
        <f t="shared" si="471"/>
        <v>615.372481058419</v>
      </c>
      <c r="DN91" s="115">
        <f t="shared" si="300"/>
        <v>12.773062646866723</v>
      </c>
      <c r="DO91" s="115">
        <f t="shared" si="301"/>
        <v>1.1130745197538703</v>
      </c>
      <c r="DP91" s="115">
        <f t="shared" si="443"/>
        <v>1.1088729714829135</v>
      </c>
      <c r="DQ91" s="115">
        <v>298.14999999999998</v>
      </c>
      <c r="DR91" s="138">
        <f t="shared" si="302"/>
        <v>1.55580932435247</v>
      </c>
      <c r="DS91" s="138">
        <f t="shared" si="303"/>
        <v>1.432994895037871</v>
      </c>
      <c r="DT91" s="115">
        <f t="shared" si="444"/>
        <v>631.20083618164062</v>
      </c>
      <c r="DU91" s="139">
        <f t="shared" si="422"/>
        <v>6.4057100961764029</v>
      </c>
      <c r="DV91" s="115">
        <f t="shared" si="445"/>
        <v>1.1130745197538703</v>
      </c>
      <c r="DW91" s="115">
        <v>298.14999999999998</v>
      </c>
      <c r="DX91" s="138">
        <f t="shared" si="342"/>
        <v>0.78024071221280011</v>
      </c>
      <c r="DY91" s="138">
        <f t="shared" si="343"/>
        <v>0.71864909150547851</v>
      </c>
      <c r="DZ91" s="138">
        <f t="shared" si="446"/>
        <v>2.5727205787676697</v>
      </c>
      <c r="EA91" s="138">
        <f t="shared" si="447"/>
        <v>3.0861524268226059</v>
      </c>
      <c r="EB91" s="115">
        <f t="shared" si="448"/>
        <v>22.714755291494335</v>
      </c>
      <c r="EC91" s="115">
        <v>30</v>
      </c>
      <c r="ED91" s="198">
        <f t="shared" ca="1" si="449"/>
        <v>125.80344444444444</v>
      </c>
      <c r="EE91" s="198">
        <v>104.83</v>
      </c>
      <c r="EF91" s="198">
        <f t="shared" ca="1" si="450"/>
        <v>0.42491111111111107</v>
      </c>
      <c r="EG91" s="199">
        <v>0.36720000000000003</v>
      </c>
      <c r="EH91" s="138">
        <f t="shared" ca="1" si="304"/>
        <v>8.5563681696573565E-2</v>
      </c>
      <c r="EI91" s="138">
        <f t="shared" ca="1" si="451"/>
        <v>8.5563681696573565E-2</v>
      </c>
      <c r="EJ91" s="115">
        <f t="shared" si="452"/>
        <v>12.773062646866723</v>
      </c>
      <c r="EK91" s="115">
        <v>435</v>
      </c>
      <c r="EL91" s="115">
        <f t="shared" ca="1" si="453"/>
        <v>446.47784521232347</v>
      </c>
      <c r="EM91" s="115">
        <f t="shared" ca="1" si="305"/>
        <v>1.062489348503004</v>
      </c>
      <c r="EN91" s="115">
        <f t="shared" ca="1" si="306"/>
        <v>1.066037224199015</v>
      </c>
      <c r="EO91" s="115">
        <v>298.14999999999998</v>
      </c>
      <c r="EP91" s="138">
        <f t="shared" ca="1" si="307"/>
        <v>0.32875035493860932</v>
      </c>
      <c r="EQ91" s="138">
        <f t="shared" ca="1" si="308"/>
        <v>0.38040506701396026</v>
      </c>
      <c r="ER91" s="115">
        <f t="shared" si="454"/>
        <v>0.90148998631371391</v>
      </c>
      <c r="ES91" s="115">
        <f t="shared" si="455"/>
        <v>453</v>
      </c>
      <c r="ET91" s="115">
        <f t="shared" ca="1" si="390"/>
        <v>2816.5993052117487</v>
      </c>
      <c r="EU91" s="115">
        <f t="shared" ca="1" si="391"/>
        <v>6.5855309782608691</v>
      </c>
      <c r="EV91" s="138">
        <f t="shared" ca="1" si="456"/>
        <v>0.77327460304602891</v>
      </c>
      <c r="EW91" s="138">
        <f t="shared" ca="1" si="344"/>
        <v>0.75580807109241677</v>
      </c>
      <c r="EX91" s="115">
        <v>21.47</v>
      </c>
      <c r="EY91" s="115">
        <f t="shared" ca="1" si="392"/>
        <v>115.9481177927653</v>
      </c>
      <c r="EZ91" s="115">
        <f t="shared" ca="1" si="393"/>
        <v>0.39262596460978189</v>
      </c>
      <c r="FA91" s="138">
        <f t="shared" ca="1" si="310"/>
        <v>7.5947257560384368E-2</v>
      </c>
      <c r="FB91" s="138">
        <f t="shared" ca="1" si="457"/>
        <v>7.5947257560384368E-2</v>
      </c>
      <c r="FC91" s="115">
        <f t="shared" si="458"/>
        <v>21.47</v>
      </c>
      <c r="FD91" s="115">
        <v>37</v>
      </c>
      <c r="FE91" s="115">
        <f t="shared" ca="1" si="459"/>
        <v>154.93355555555553</v>
      </c>
      <c r="FF91" s="115">
        <f t="shared" ca="1" si="460"/>
        <v>0.52252222222222222</v>
      </c>
      <c r="FG91" s="138">
        <f t="shared" ca="1" si="461"/>
        <v>8.1462225449999703E-2</v>
      </c>
      <c r="FH91" s="138">
        <f t="shared" ca="1" si="312"/>
        <v>8.1462225449999703E-2</v>
      </c>
      <c r="FI91" s="115">
        <f t="shared" si="462"/>
        <v>92.44433105468751</v>
      </c>
      <c r="FJ91" s="115">
        <f t="shared" ca="1" si="394"/>
        <v>41.843006845262323</v>
      </c>
      <c r="FK91" s="115">
        <f t="shared" ca="1" si="395"/>
        <v>0.14571385756598579</v>
      </c>
      <c r="FL91" s="138">
        <f t="shared" ca="1" si="463"/>
        <v>0.28187202941368661</v>
      </c>
      <c r="FM91" s="138">
        <f t="shared" ca="1" si="345"/>
        <v>0.31905204830230716</v>
      </c>
      <c r="FN91" s="115">
        <f t="shared" si="464"/>
        <v>92.44433105468751</v>
      </c>
      <c r="FO91" s="115">
        <f t="shared" ca="1" si="396"/>
        <v>57.561615822686093</v>
      </c>
      <c r="FP91" s="115">
        <f t="shared" ca="1" si="397"/>
        <v>0.19808696399264866</v>
      </c>
      <c r="FQ91" s="138">
        <f t="shared" ca="1" si="465"/>
        <v>0.29144623884059906</v>
      </c>
      <c r="FR91" s="138">
        <f t="shared" ca="1" si="346"/>
        <v>0.32988913325495606</v>
      </c>
      <c r="FS91" s="139">
        <f t="shared" si="468"/>
        <v>4.5692167516747206</v>
      </c>
      <c r="FT91" s="249">
        <f t="shared" si="316"/>
        <v>4.2401909536417044</v>
      </c>
      <c r="FU91" s="139">
        <f t="shared" ca="1" si="469"/>
        <v>0.53934804806440528</v>
      </c>
      <c r="FV91" s="249">
        <f t="shared" ca="1" si="318"/>
        <v>0.38234543862806736</v>
      </c>
      <c r="FW91" s="139">
        <f t="shared" ca="1" si="466"/>
        <v>0.77733384458332588</v>
      </c>
      <c r="FX91" s="249">
        <f t="shared" ca="1" si="319"/>
        <v>0.76113018815545042</v>
      </c>
      <c r="FY91" s="249">
        <f t="shared" si="398"/>
        <v>0.15000000000000002</v>
      </c>
      <c r="FZ91" s="139">
        <f t="shared" si="399"/>
        <v>1050000</v>
      </c>
      <c r="GA91" s="139">
        <f t="shared" si="320"/>
        <v>3.3757716049382713E-2</v>
      </c>
      <c r="GB91" s="139">
        <f t="shared" si="361"/>
        <v>121.52777777777777</v>
      </c>
      <c r="GC91" s="139">
        <f t="shared" si="400"/>
        <v>1050000</v>
      </c>
      <c r="GD91" s="139">
        <f t="shared" si="362"/>
        <v>6.7515432098765427E-2</v>
      </c>
      <c r="GE91" s="139">
        <f t="shared" si="363"/>
        <v>243.05555555555554</v>
      </c>
      <c r="GF91" s="139">
        <f t="shared" si="364"/>
        <v>4.5814043209876545E-2</v>
      </c>
      <c r="GG91" s="139">
        <f t="shared" si="401"/>
        <v>712500</v>
      </c>
      <c r="GH91" s="139">
        <f t="shared" si="365"/>
        <v>164.93055555555554</v>
      </c>
      <c r="GI91" s="137">
        <f t="shared" si="402"/>
        <v>53.115603885176746</v>
      </c>
      <c r="GJ91" s="137">
        <f t="shared" si="321"/>
        <v>0.19121617398663476</v>
      </c>
      <c r="GK91" s="251">
        <f t="shared" si="403"/>
        <v>45.139813549377727</v>
      </c>
      <c r="GL91" s="137">
        <f t="shared" si="329"/>
        <v>0.16250332877775853</v>
      </c>
      <c r="GM91" s="137">
        <f t="shared" ca="1" si="404"/>
        <v>7.7157782154952983</v>
      </c>
      <c r="GN91" s="137">
        <f t="shared" ca="1" si="322"/>
        <v>2.7776801575782852E-2</v>
      </c>
      <c r="GO91" s="137">
        <f t="shared" ca="1" si="366"/>
        <v>9.7668078677154907E-2</v>
      </c>
      <c r="GP91" s="137">
        <f t="shared" ca="1" si="405"/>
        <v>7.8351750795354302</v>
      </c>
      <c r="GQ91" s="137">
        <f t="shared" ca="1" si="323"/>
        <v>2.8206630286327323E-2</v>
      </c>
      <c r="GR91" s="137">
        <f t="shared" ca="1" si="406"/>
        <v>9.9179431386523645E-2</v>
      </c>
      <c r="GS91" s="140">
        <f t="shared" si="407"/>
        <v>6.5828705741377697E-2</v>
      </c>
      <c r="GT91" s="140">
        <f t="shared" si="408"/>
        <v>6.1088431069116031E-2</v>
      </c>
      <c r="GU91" s="140">
        <f t="shared" si="467"/>
        <v>236.9833406689597</v>
      </c>
      <c r="GV91" s="140">
        <f t="shared" si="324"/>
        <v>219.91835184881771</v>
      </c>
      <c r="GW91" s="141">
        <f t="shared" ca="1" si="409"/>
        <v>5.1750779607569472E-3</v>
      </c>
      <c r="GX91" s="141">
        <f t="shared" ca="1" si="410"/>
        <v>3.6686281890535009E-3</v>
      </c>
      <c r="GY91" s="141">
        <f t="shared" ca="1" si="325"/>
        <v>18.63028065872501</v>
      </c>
      <c r="GZ91" s="141">
        <f t="shared" ca="1" si="326"/>
        <v>13.207061480592603</v>
      </c>
      <c r="HA91" s="141">
        <f t="shared" ca="1" si="411"/>
        <v>1.3308063834738105E-2</v>
      </c>
      <c r="HB91" s="141">
        <f t="shared" ca="1" si="412"/>
        <v>1.1469189127045313E-2</v>
      </c>
      <c r="HC91" s="141">
        <f t="shared" ca="1" si="470"/>
        <v>47.90902980505718</v>
      </c>
      <c r="HD91" s="141">
        <f t="shared" ca="1" si="328"/>
        <v>41.289080857363125</v>
      </c>
      <c r="HE91" s="137">
        <f t="shared" si="367"/>
        <v>7.1419373304423903</v>
      </c>
      <c r="HF91" s="250">
        <f t="shared" si="368"/>
        <v>7.3263433804643103</v>
      </c>
      <c r="HG91" s="137">
        <v>2.5727205787676697</v>
      </c>
      <c r="HH91" s="251">
        <v>2.7264016963205342</v>
      </c>
      <c r="HI91" s="137">
        <f t="shared" ca="1" si="369"/>
        <v>1.1754042573385097</v>
      </c>
      <c r="HJ91" s="251">
        <f t="shared" ca="1" si="370"/>
        <v>1.0525898280239108</v>
      </c>
      <c r="HK91" s="137">
        <f t="shared" ca="1" si="371"/>
        <v>0.68771092134945533</v>
      </c>
      <c r="HL91" s="251">
        <f t="shared" ca="1" si="372"/>
        <v>0.67024438939584319</v>
      </c>
      <c r="HM91" s="137">
        <f t="shared" ca="1" si="373"/>
        <v>0.77327460304602891</v>
      </c>
      <c r="HN91" s="251">
        <f t="shared" ca="1" si="374"/>
        <v>0.75580807109241677</v>
      </c>
      <c r="HO91" s="137">
        <f t="shared" ca="1" si="375"/>
        <v>0.28187202941368661</v>
      </c>
      <c r="HP91" s="251">
        <f t="shared" ca="1" si="376"/>
        <v>0.31905204830230716</v>
      </c>
      <c r="JN91" s="143">
        <f t="shared" si="413"/>
        <v>19.178772743043126</v>
      </c>
      <c r="JO91" s="143">
        <f t="shared" si="347"/>
        <v>2572.7205787676698</v>
      </c>
      <c r="JP91" s="143">
        <f t="shared" si="414"/>
        <v>3086.1524268226058</v>
      </c>
      <c r="JQ91" s="143">
        <f t="shared" si="415"/>
        <v>0.90148998631371391</v>
      </c>
      <c r="JR91" s="143">
        <f t="shared" ca="1" si="348"/>
        <v>0.88112735757899963</v>
      </c>
      <c r="JS91" s="143">
        <f t="shared" si="416"/>
        <v>92.44433105468751</v>
      </c>
      <c r="JT91" s="143">
        <f t="shared" ca="1" si="349"/>
        <v>104.63809849556677</v>
      </c>
      <c r="JU91" s="143">
        <f t="shared" si="423"/>
        <v>0.28772815450108696</v>
      </c>
      <c r="JV91" s="143">
        <f t="shared" si="417"/>
        <v>0.34514939150681384</v>
      </c>
      <c r="JW91" s="143">
        <f t="shared" ca="1" si="418"/>
        <v>0.27070031560641267</v>
      </c>
      <c r="JX91" s="143">
        <f t="shared" ca="1" si="419"/>
        <v>0.26458580506414558</v>
      </c>
      <c r="JY91" s="143">
        <f t="shared" si="420"/>
        <v>0.74296533272861709</v>
      </c>
      <c r="JZ91" s="143">
        <f t="shared" si="421"/>
        <v>0.64061791869835438</v>
      </c>
      <c r="KA91" s="143">
        <f t="shared" si="350"/>
        <v>0.27144165518970459</v>
      </c>
      <c r="KB91" s="143">
        <f t="shared" si="351"/>
        <v>0.32561263349699415</v>
      </c>
      <c r="KC91" s="143">
        <f t="shared" ca="1" si="352"/>
        <v>0.56045466313486125</v>
      </c>
      <c r="KD91" s="143">
        <f t="shared" ca="1" si="353"/>
        <v>0.63675742587607242</v>
      </c>
      <c r="KE91" s="143">
        <f t="shared" ca="1" si="354"/>
        <v>0.42213368777758781</v>
      </c>
      <c r="KF91" s="143">
        <f t="shared" ca="1" si="355"/>
        <v>0.36451737623782826</v>
      </c>
      <c r="KG91" s="142">
        <f t="shared" si="356"/>
        <v>0.16250332877775853</v>
      </c>
      <c r="KH91" s="142">
        <f t="shared" ca="1" si="357"/>
        <v>9.9179431386523645E-2</v>
      </c>
      <c r="KI91" s="142">
        <f t="shared" ca="1" si="358"/>
        <v>303.52265113274188</v>
      </c>
      <c r="KJ91" s="142">
        <f t="shared" ca="1" si="359"/>
        <v>274.41449418677342</v>
      </c>
    </row>
    <row r="92" spans="1:296" x14ac:dyDescent="0.3">
      <c r="A92" s="201">
        <v>41438</v>
      </c>
      <c r="B92" s="196">
        <v>111</v>
      </c>
      <c r="C92" s="179">
        <v>24</v>
      </c>
      <c r="D92" s="179">
        <v>4.2</v>
      </c>
      <c r="E92" s="179">
        <v>50016</v>
      </c>
      <c r="F92" s="179">
        <v>300</v>
      </c>
      <c r="G92" s="179">
        <v>11.7</v>
      </c>
      <c r="H92" s="179">
        <v>0.85</v>
      </c>
      <c r="I92" s="179">
        <v>1.4</v>
      </c>
      <c r="J92" s="179">
        <v>1.33</v>
      </c>
      <c r="K92" s="179">
        <v>0.91</v>
      </c>
      <c r="L92" s="152">
        <v>28005.615404441953</v>
      </c>
      <c r="M92" s="155">
        <v>19</v>
      </c>
      <c r="N92" s="153">
        <v>78473.469166845083</v>
      </c>
      <c r="O92" s="178">
        <v>17</v>
      </c>
      <c r="P92" s="179">
        <v>2</v>
      </c>
      <c r="Q92" s="179">
        <v>5</v>
      </c>
      <c r="R92" s="154">
        <v>356.86019897460937</v>
      </c>
      <c r="S92" s="155">
        <v>64.986041417549131</v>
      </c>
      <c r="T92" s="152">
        <v>180</v>
      </c>
      <c r="U92" s="156">
        <v>2.5515737533569336</v>
      </c>
      <c r="V92" s="178">
        <v>17</v>
      </c>
      <c r="W92" s="179">
        <v>1250</v>
      </c>
      <c r="X92" s="155">
        <v>75399.854670271277</v>
      </c>
      <c r="Y92" s="155">
        <v>10993.344508251175</v>
      </c>
      <c r="Z92" s="155">
        <v>370.76113891601562</v>
      </c>
      <c r="AA92" s="155">
        <v>11.464859008789063</v>
      </c>
      <c r="AB92" s="155">
        <v>14.795223236083984</v>
      </c>
      <c r="AC92" s="215">
        <v>37</v>
      </c>
      <c r="AD92" s="215">
        <v>28.03277587890625</v>
      </c>
      <c r="AE92" s="254">
        <v>20</v>
      </c>
      <c r="AF92" s="254">
        <v>10</v>
      </c>
      <c r="AG92" s="217">
        <v>5000000</v>
      </c>
      <c r="AH92" s="218">
        <v>300000</v>
      </c>
      <c r="AI92" s="219">
        <v>5000000</v>
      </c>
      <c r="AJ92" s="225">
        <f t="shared" si="330"/>
        <v>300000</v>
      </c>
      <c r="AK92" s="220">
        <v>2750000</v>
      </c>
      <c r="AL92" s="226">
        <f t="shared" si="331"/>
        <v>300000</v>
      </c>
      <c r="AM92" s="221">
        <v>14.407</v>
      </c>
      <c r="BM92" s="197">
        <f t="shared" si="332"/>
        <v>8.96722412109375</v>
      </c>
      <c r="BN92" s="196">
        <f t="shared" si="333"/>
        <v>180</v>
      </c>
      <c r="BO92" s="197">
        <f t="shared" si="334"/>
        <v>3.3303642272949219</v>
      </c>
      <c r="BP92" s="196">
        <f t="shared" si="294"/>
        <v>12.692168491381391</v>
      </c>
      <c r="BQ92" s="115">
        <f t="shared" si="335"/>
        <v>659.74492511188635</v>
      </c>
      <c r="BR92" s="184">
        <f t="shared" si="336"/>
        <v>1.0041987768</v>
      </c>
      <c r="BS92" s="115">
        <f t="shared" si="337"/>
        <v>6863.8528613899143</v>
      </c>
      <c r="BT92" s="196">
        <v>900</v>
      </c>
      <c r="BU92" s="115">
        <f t="shared" si="424"/>
        <v>1.1850729520000001</v>
      </c>
      <c r="BV92" s="115">
        <f t="shared" si="425"/>
        <v>1.0752937485827334</v>
      </c>
      <c r="BW92" s="115">
        <f t="shared" si="426"/>
        <v>484.58509290268148</v>
      </c>
      <c r="BX92" s="115">
        <f t="shared" si="377"/>
        <v>1165.7475579407387</v>
      </c>
      <c r="BY92" s="115"/>
      <c r="BZ92" s="115">
        <f t="shared" si="378"/>
        <v>681.16246503805723</v>
      </c>
      <c r="CA92" s="115">
        <f t="shared" si="379"/>
        <v>11043.50746804154</v>
      </c>
      <c r="CB92" s="115">
        <f t="shared" si="380"/>
        <v>3269.7278819518783</v>
      </c>
      <c r="CC92" s="115">
        <f t="shared" si="381"/>
        <v>1166.9006418517481</v>
      </c>
      <c r="CD92" s="129">
        <f t="shared" si="427"/>
        <v>0.23055832027483331</v>
      </c>
      <c r="CE92" s="115">
        <f t="shared" si="382"/>
        <v>21.809478759765625</v>
      </c>
      <c r="CF92" s="115">
        <f t="shared" si="383"/>
        <v>18.051678171541425</v>
      </c>
      <c r="CG92" s="115">
        <f t="shared" si="384"/>
        <v>0.02</v>
      </c>
      <c r="CH92" s="115">
        <f t="shared" si="385"/>
        <v>0.05</v>
      </c>
      <c r="CI92" s="136">
        <v>30</v>
      </c>
      <c r="CJ92" s="115">
        <f t="shared" si="428"/>
        <v>165</v>
      </c>
      <c r="CK92" s="115">
        <f t="shared" si="386"/>
        <v>453</v>
      </c>
      <c r="CL92" s="115">
        <f t="shared" si="387"/>
        <v>629.86019897460937</v>
      </c>
      <c r="CM92" s="115">
        <f t="shared" ca="1" si="388"/>
        <v>2816.5993052117487</v>
      </c>
      <c r="CN92" s="115">
        <f t="shared" ca="1" si="429"/>
        <v>125.80344444444444</v>
      </c>
      <c r="CO92" s="115">
        <f t="shared" ca="1" si="430"/>
        <v>690.58718083896258</v>
      </c>
      <c r="CP92" s="115">
        <f t="shared" ca="1" si="431"/>
        <v>2790.6388281929471</v>
      </c>
      <c r="CQ92" s="115">
        <f t="shared" si="432"/>
        <v>1.072449112508886</v>
      </c>
      <c r="CR92" s="115">
        <f t="shared" ca="1" si="338"/>
        <v>420.31714611457488</v>
      </c>
      <c r="CS92" s="115">
        <f t="shared" ca="1" si="339"/>
        <v>20.796126164994941</v>
      </c>
      <c r="CT92" s="115">
        <f t="shared" si="433"/>
        <v>1.1127178483722173</v>
      </c>
      <c r="CU92" s="115">
        <f t="shared" ca="1" si="434"/>
        <v>1.0119215084914401</v>
      </c>
      <c r="CV92" s="115">
        <f t="shared" si="360"/>
        <v>208.16246503805723</v>
      </c>
      <c r="CW92" s="115">
        <f t="shared" si="435"/>
        <v>473</v>
      </c>
      <c r="CX92" s="115">
        <f t="shared" si="436"/>
        <v>438</v>
      </c>
      <c r="CY92" s="115">
        <f t="shared" ca="1" si="437"/>
        <v>452.20387383500508</v>
      </c>
      <c r="CZ92" s="115">
        <f t="shared" ca="1" si="438"/>
        <v>177.65632513960429</v>
      </c>
      <c r="DA92" s="115">
        <v>0.21890000000000001</v>
      </c>
      <c r="DB92" s="115">
        <v>2.7E-2</v>
      </c>
      <c r="DC92" s="115">
        <v>1.06</v>
      </c>
      <c r="DD92" s="138">
        <f t="shared" si="389"/>
        <v>12.223501243678028</v>
      </c>
      <c r="DE92" s="138">
        <f t="shared" si="439"/>
        <v>12.223501243678028</v>
      </c>
      <c r="DF92" s="115">
        <f t="shared" si="440"/>
        <v>629.86019897460937</v>
      </c>
      <c r="DG92" s="115">
        <v>681.16246503805723</v>
      </c>
      <c r="DH92" s="115">
        <f t="shared" si="441"/>
        <v>1.1127178483722173</v>
      </c>
      <c r="DI92" s="115">
        <f t="shared" si="299"/>
        <v>1.1264524340667792</v>
      </c>
      <c r="DJ92" s="138">
        <f t="shared" si="340"/>
        <v>2.3264848548862709</v>
      </c>
      <c r="DK92" s="138">
        <f t="shared" si="341"/>
        <v>2.9607980033170223</v>
      </c>
      <c r="DL92" s="115">
        <f t="shared" si="442"/>
        <v>629.86019897460937</v>
      </c>
      <c r="DM92" s="115">
        <f t="shared" si="471"/>
        <v>681.16246503805723</v>
      </c>
      <c r="DN92" s="115">
        <f t="shared" si="300"/>
        <v>12.80755184130304</v>
      </c>
      <c r="DO92" s="115">
        <f t="shared" si="301"/>
        <v>1.1127178483722173</v>
      </c>
      <c r="DP92" s="115">
        <f t="shared" si="443"/>
        <v>1.1264524340667792</v>
      </c>
      <c r="DQ92" s="115">
        <v>298.14999999999998</v>
      </c>
      <c r="DR92" s="138">
        <f t="shared" si="302"/>
        <v>1.5494389133542563</v>
      </c>
      <c r="DS92" s="138">
        <f t="shared" si="303"/>
        <v>1.971891470209137</v>
      </c>
      <c r="DT92" s="115">
        <f t="shared" si="444"/>
        <v>629.86019897460937</v>
      </c>
      <c r="DU92" s="139">
        <f t="shared" si="422"/>
        <v>6.4230064789717947</v>
      </c>
      <c r="DV92" s="115">
        <f t="shared" si="445"/>
        <v>1.1127178483722173</v>
      </c>
      <c r="DW92" s="115">
        <v>298.14999999999998</v>
      </c>
      <c r="DX92" s="138">
        <f t="shared" si="342"/>
        <v>0.77704594153201445</v>
      </c>
      <c r="DY92" s="138">
        <f t="shared" si="343"/>
        <v>0.98890653310788534</v>
      </c>
      <c r="DZ92" s="138">
        <f t="shared" si="446"/>
        <v>3.2697278819518782</v>
      </c>
      <c r="EA92" s="138">
        <f t="shared" si="447"/>
        <v>4.179654606651626</v>
      </c>
      <c r="EB92" s="115">
        <f t="shared" si="448"/>
        <v>18.051678171541425</v>
      </c>
      <c r="EC92" s="115">
        <v>30</v>
      </c>
      <c r="ED92" s="198">
        <f t="shared" ca="1" si="449"/>
        <v>125.80344444444444</v>
      </c>
      <c r="EE92" s="198">
        <v>104.83</v>
      </c>
      <c r="EF92" s="198">
        <f t="shared" ca="1" si="450"/>
        <v>0.42491111111111107</v>
      </c>
      <c r="EG92" s="199">
        <v>0.36720000000000003</v>
      </c>
      <c r="EH92" s="138">
        <f t="shared" ca="1" si="304"/>
        <v>6.7998445298555685E-2</v>
      </c>
      <c r="EI92" s="138">
        <f t="shared" ca="1" si="451"/>
        <v>6.7998445298555685E-2</v>
      </c>
      <c r="EJ92" s="115">
        <f t="shared" si="452"/>
        <v>12.80755184130304</v>
      </c>
      <c r="EK92" s="115">
        <v>435</v>
      </c>
      <c r="EL92" s="115">
        <f t="shared" ca="1" si="453"/>
        <v>452.20387383500508</v>
      </c>
      <c r="EM92" s="115">
        <f t="shared" ca="1" si="305"/>
        <v>1.062064667450904</v>
      </c>
      <c r="EN92" s="115">
        <f t="shared" ca="1" si="306"/>
        <v>1.0674092201255052</v>
      </c>
      <c r="EO92" s="115">
        <v>298.14999999999998</v>
      </c>
      <c r="EP92" s="138">
        <f t="shared" ca="1" si="307"/>
        <v>0.32950627286940576</v>
      </c>
      <c r="EQ92" s="138">
        <f t="shared" ca="1" si="308"/>
        <v>0.40826147688783182</v>
      </c>
      <c r="ER92" s="115">
        <f t="shared" si="454"/>
        <v>0.70877048704359269</v>
      </c>
      <c r="ES92" s="115">
        <f t="shared" si="455"/>
        <v>453</v>
      </c>
      <c r="ET92" s="115">
        <f t="shared" ca="1" si="390"/>
        <v>2816.5993052117487</v>
      </c>
      <c r="EU92" s="115">
        <f t="shared" ca="1" si="391"/>
        <v>6.5855309782608691</v>
      </c>
      <c r="EV92" s="138">
        <f t="shared" ca="1" si="456"/>
        <v>0.60796484191744282</v>
      </c>
      <c r="EW92" s="138">
        <f t="shared" ca="1" si="344"/>
        <v>1.1076939598869042</v>
      </c>
      <c r="EX92" s="115">
        <v>21.47</v>
      </c>
      <c r="EY92" s="115">
        <f t="shared" ca="1" si="392"/>
        <v>117.40472625054254</v>
      </c>
      <c r="EZ92" s="115">
        <f t="shared" ca="1" si="393"/>
        <v>0.39747926364474823</v>
      </c>
      <c r="FA92" s="138">
        <f t="shared" ca="1" si="310"/>
        <v>7.6153312675662763E-2</v>
      </c>
      <c r="FB92" s="138">
        <f t="shared" ca="1" si="457"/>
        <v>7.6153312675662763E-2</v>
      </c>
      <c r="FC92" s="115">
        <f t="shared" si="458"/>
        <v>21.47</v>
      </c>
      <c r="FD92" s="115">
        <v>37</v>
      </c>
      <c r="FE92" s="115">
        <f t="shared" ca="1" si="459"/>
        <v>154.93355555555553</v>
      </c>
      <c r="FF92" s="115">
        <f t="shared" ca="1" si="460"/>
        <v>0.52252222222222222</v>
      </c>
      <c r="FG92" s="138">
        <f t="shared" ca="1" si="461"/>
        <v>8.1462225449999703E-2</v>
      </c>
      <c r="FH92" s="138">
        <f t="shared" ca="1" si="312"/>
        <v>8.1462225449999703E-2</v>
      </c>
      <c r="FI92" s="115">
        <f t="shared" si="462"/>
        <v>103.81311889648438</v>
      </c>
      <c r="FJ92" s="115">
        <f t="shared" ca="1" si="394"/>
        <v>48.066153269449877</v>
      </c>
      <c r="FK92" s="115">
        <f t="shared" ca="1" si="395"/>
        <v>0.16644886728922526</v>
      </c>
      <c r="FL92" s="138">
        <f t="shared" ca="1" si="463"/>
        <v>0.32079328071574781</v>
      </c>
      <c r="FM92" s="138">
        <f t="shared" ca="1" si="345"/>
        <v>0.6277552156209284</v>
      </c>
      <c r="FN92" s="115">
        <f t="shared" si="464"/>
        <v>103.81311889648438</v>
      </c>
      <c r="FO92" s="115">
        <f t="shared" ca="1" si="396"/>
        <v>62.004097601148821</v>
      </c>
      <c r="FP92" s="115">
        <f t="shared" ca="1" si="397"/>
        <v>0.21288894623650445</v>
      </c>
      <c r="FQ92" s="138">
        <f t="shared" ca="1" si="465"/>
        <v>0.33032693705922028</v>
      </c>
      <c r="FR92" s="138">
        <f t="shared" ca="1" si="346"/>
        <v>0.64641147450577552</v>
      </c>
      <c r="FS92" s="139">
        <f t="shared" si="468"/>
        <v>6.6272885068398786</v>
      </c>
      <c r="FT92" s="249">
        <f t="shared" si="316"/>
        <v>5.0830486337093799</v>
      </c>
      <c r="FU92" s="139">
        <f t="shared" ca="1" si="469"/>
        <v>0.67996624386596327</v>
      </c>
      <c r="FV92" s="249">
        <f t="shared" ca="1" si="318"/>
        <v>0.52393447873295673</v>
      </c>
      <c r="FW92" s="139">
        <f t="shared" ca="1" si="466"/>
        <v>0.6121895854865782</v>
      </c>
      <c r="FX92" s="249">
        <f t="shared" ca="1" si="319"/>
        <v>1.1210413059974145</v>
      </c>
      <c r="FY92" s="249">
        <f t="shared" si="398"/>
        <v>0.15000000000000002</v>
      </c>
      <c r="FZ92" s="139">
        <f t="shared" si="399"/>
        <v>1050000</v>
      </c>
      <c r="GA92" s="139">
        <f t="shared" si="320"/>
        <v>3.3757716049382713E-2</v>
      </c>
      <c r="GB92" s="139">
        <f t="shared" si="361"/>
        <v>121.52777777777777</v>
      </c>
      <c r="GC92" s="139">
        <f t="shared" si="400"/>
        <v>1050000</v>
      </c>
      <c r="GD92" s="139">
        <f t="shared" si="362"/>
        <v>6.7515432098765427E-2</v>
      </c>
      <c r="GE92" s="139">
        <f t="shared" si="363"/>
        <v>243.05555555555554</v>
      </c>
      <c r="GF92" s="139">
        <f t="shared" si="364"/>
        <v>4.5814043209876545E-2</v>
      </c>
      <c r="GG92" s="139">
        <f t="shared" si="401"/>
        <v>712500</v>
      </c>
      <c r="GH92" s="139">
        <f t="shared" si="365"/>
        <v>164.93055555555554</v>
      </c>
      <c r="GI92" s="137">
        <f t="shared" si="402"/>
        <v>53.932326337027241</v>
      </c>
      <c r="GJ92" s="137">
        <f t="shared" si="321"/>
        <v>0.19415637481329653</v>
      </c>
      <c r="GK92" s="251">
        <f t="shared" si="403"/>
        <v>40.004616976524325</v>
      </c>
      <c r="GL92" s="137">
        <f t="shared" si="329"/>
        <v>0.14401662111548644</v>
      </c>
      <c r="GM92" s="137">
        <f t="shared" ca="1" si="404"/>
        <v>9.524185471431073</v>
      </c>
      <c r="GN92" s="137">
        <f t="shared" ca="1" si="322"/>
        <v>3.4287067697151591E-2</v>
      </c>
      <c r="GO92" s="137">
        <f t="shared" ca="1" si="366"/>
        <v>0.12055930976494934</v>
      </c>
      <c r="GP92" s="137">
        <f t="shared" ca="1" si="405"/>
        <v>10.226559164350123</v>
      </c>
      <c r="GQ92" s="137">
        <f t="shared" ca="1" si="323"/>
        <v>3.6815612991660147E-2</v>
      </c>
      <c r="GR92" s="137">
        <f t="shared" ca="1" si="406"/>
        <v>0.1294501160044309</v>
      </c>
      <c r="GS92" s="140">
        <f t="shared" si="407"/>
        <v>9.547934551804213E-2</v>
      </c>
      <c r="GT92" s="140">
        <f t="shared" si="408"/>
        <v>7.3231481665851042E-2</v>
      </c>
      <c r="GU92" s="140">
        <f t="shared" si="467"/>
        <v>343.72564386495168</v>
      </c>
      <c r="GV92" s="140">
        <f t="shared" si="324"/>
        <v>263.63333399706374</v>
      </c>
      <c r="GW92" s="141">
        <f t="shared" ca="1" si="409"/>
        <v>6.5243182678010369E-3</v>
      </c>
      <c r="GX92" s="141">
        <f t="shared" ca="1" si="410"/>
        <v>5.0271838073804006E-3</v>
      </c>
      <c r="GY92" s="141">
        <f t="shared" ca="1" si="325"/>
        <v>23.487545764083734</v>
      </c>
      <c r="GZ92" s="141">
        <f t="shared" ca="1" si="326"/>
        <v>18.097861706569443</v>
      </c>
      <c r="HA92" s="141">
        <f t="shared" ca="1" si="411"/>
        <v>1.3270975286696388E-2</v>
      </c>
      <c r="HB92" s="141">
        <f t="shared" ca="1" si="412"/>
        <v>1.6176971573450535E-2</v>
      </c>
      <c r="HC92" s="141">
        <f t="shared" ca="1" si="470"/>
        <v>47.775511032106998</v>
      </c>
      <c r="HD92" s="141">
        <f t="shared" ca="1" si="328"/>
        <v>58.237097664421924</v>
      </c>
      <c r="HE92" s="137">
        <f t="shared" si="367"/>
        <v>9.8970163887917568</v>
      </c>
      <c r="HF92" s="250">
        <f t="shared" si="368"/>
        <v>9.2627032403610059</v>
      </c>
      <c r="HG92" s="137">
        <v>3.2697278819518782</v>
      </c>
      <c r="HH92" s="251">
        <v>5.3488134740972688</v>
      </c>
      <c r="HI92" s="137">
        <f t="shared" ca="1" si="369"/>
        <v>1.1411774364664244</v>
      </c>
      <c r="HJ92" s="251">
        <f t="shared" ca="1" si="370"/>
        <v>1.5636299933213051</v>
      </c>
      <c r="HK92" s="137">
        <f t="shared" ca="1" si="371"/>
        <v>0.53996639661888712</v>
      </c>
      <c r="HL92" s="251">
        <f t="shared" ca="1" si="372"/>
        <v>1.0396955145883486</v>
      </c>
      <c r="HM92" s="137">
        <f t="shared" ca="1" si="373"/>
        <v>0.60796484191744282</v>
      </c>
      <c r="HN92" s="251">
        <f t="shared" ca="1" si="374"/>
        <v>1.1076939598869042</v>
      </c>
      <c r="HO92" s="137">
        <f t="shared" ca="1" si="375"/>
        <v>0.32079328071574781</v>
      </c>
      <c r="HP92" s="251">
        <f t="shared" ca="1" si="376"/>
        <v>0.6277552156209284</v>
      </c>
      <c r="JN92" s="143">
        <f t="shared" si="413"/>
        <v>19.230558320274834</v>
      </c>
      <c r="JO92" s="143">
        <f t="shared" si="347"/>
        <v>3269.7278819518783</v>
      </c>
      <c r="JP92" s="143">
        <f t="shared" si="414"/>
        <v>4179.6546066516257</v>
      </c>
      <c r="JQ92" s="143">
        <f t="shared" si="415"/>
        <v>0.70877048704359269</v>
      </c>
      <c r="JR92" s="143">
        <f t="shared" ca="1" si="348"/>
        <v>1.291358863726692</v>
      </c>
      <c r="JS92" s="143">
        <f t="shared" si="416"/>
        <v>103.81311889648438</v>
      </c>
      <c r="JT92" s="143">
        <f t="shared" ca="1" si="349"/>
        <v>203.15022400637355</v>
      </c>
      <c r="JU92" s="143">
        <f t="shared" si="423"/>
        <v>0.28354490957830553</v>
      </c>
      <c r="JV92" s="143">
        <f t="shared" si="417"/>
        <v>0.36245211537423749</v>
      </c>
      <c r="JW92" s="143">
        <f t="shared" ca="1" si="418"/>
        <v>0.16510657086527386</v>
      </c>
      <c r="JX92" s="143">
        <f t="shared" ca="1" si="419"/>
        <v>0.3008192886751464</v>
      </c>
      <c r="JY92" s="143">
        <f t="shared" si="420"/>
        <v>0.75977387215474057</v>
      </c>
      <c r="JZ92" s="143">
        <f t="shared" si="421"/>
        <v>0.56138568203419226</v>
      </c>
      <c r="KA92" s="143">
        <f t="shared" si="350"/>
        <v>0.26749519771538255</v>
      </c>
      <c r="KB92" s="143">
        <f t="shared" si="351"/>
        <v>0.34193595790022402</v>
      </c>
      <c r="KC92" s="143">
        <f t="shared" ca="1" si="352"/>
        <v>0.44261984530906778</v>
      </c>
      <c r="KD92" s="143">
        <f t="shared" ca="1" si="353"/>
        <v>0.66492425895459595</v>
      </c>
      <c r="KE92" s="143">
        <f t="shared" ca="1" si="354"/>
        <v>0.56672261324330264</v>
      </c>
      <c r="KF92" s="143">
        <f t="shared" ca="1" si="355"/>
        <v>0.5276510393331415</v>
      </c>
      <c r="KG92" s="142">
        <f t="shared" si="356"/>
        <v>0.14401662111548644</v>
      </c>
      <c r="KH92" s="142">
        <f t="shared" ca="1" si="357"/>
        <v>0.1294501160044309</v>
      </c>
      <c r="KI92" s="142">
        <f t="shared" ca="1" si="358"/>
        <v>414.98870066114239</v>
      </c>
      <c r="KJ92" s="142">
        <f t="shared" ca="1" si="359"/>
        <v>339.96829336805513</v>
      </c>
    </row>
    <row r="93" spans="1:296" x14ac:dyDescent="0.3">
      <c r="A93" s="201">
        <v>41439</v>
      </c>
      <c r="B93" s="196">
        <v>112</v>
      </c>
      <c r="C93" s="179">
        <v>24</v>
      </c>
      <c r="D93" s="179">
        <v>4.2</v>
      </c>
      <c r="E93" s="179">
        <v>50016</v>
      </c>
      <c r="F93" s="179">
        <v>300</v>
      </c>
      <c r="G93" s="179">
        <v>11.7</v>
      </c>
      <c r="H93" s="179">
        <v>0.85</v>
      </c>
      <c r="I93" s="179">
        <v>1.4</v>
      </c>
      <c r="J93" s="179">
        <v>1.33</v>
      </c>
      <c r="K93" s="179">
        <v>0.91</v>
      </c>
      <c r="L93" s="152">
        <v>21122.896450690925</v>
      </c>
      <c r="M93" s="155">
        <v>19</v>
      </c>
      <c r="N93" s="153">
        <v>57609.696388140321</v>
      </c>
      <c r="O93" s="178">
        <v>17</v>
      </c>
      <c r="P93" s="179">
        <v>2</v>
      </c>
      <c r="Q93" s="179">
        <v>5</v>
      </c>
      <c r="R93" s="154">
        <v>347.8153076171875</v>
      </c>
      <c r="S93" s="155">
        <v>74.659314303804422</v>
      </c>
      <c r="T93" s="152">
        <v>180</v>
      </c>
      <c r="U93" s="156">
        <v>2.9152061939239502</v>
      </c>
      <c r="V93" s="178">
        <v>17</v>
      </c>
      <c r="W93" s="179">
        <v>1250</v>
      </c>
      <c r="X93" s="155">
        <v>87461.590508550406</v>
      </c>
      <c r="Y93" s="155">
        <v>12353.470170104876</v>
      </c>
      <c r="Z93" s="155">
        <v>367.75796508789062</v>
      </c>
      <c r="AA93" s="155">
        <v>11.31281852722168</v>
      </c>
      <c r="AB93" s="155">
        <v>15.310908317565918</v>
      </c>
      <c r="AC93" s="215">
        <v>37</v>
      </c>
      <c r="AD93" s="215">
        <v>28.347749710083008</v>
      </c>
      <c r="AE93" s="254">
        <v>20</v>
      </c>
      <c r="AF93" s="254">
        <v>10</v>
      </c>
      <c r="AG93" s="217">
        <v>5000000</v>
      </c>
      <c r="AH93" s="218">
        <v>300000</v>
      </c>
      <c r="AI93" s="219">
        <v>5000000</v>
      </c>
      <c r="AJ93" s="225">
        <f t="shared" si="330"/>
        <v>300000</v>
      </c>
      <c r="AK93" s="220">
        <v>2750000</v>
      </c>
      <c r="AL93" s="226">
        <f t="shared" si="331"/>
        <v>300000</v>
      </c>
      <c r="AM93" s="221">
        <v>14.407</v>
      </c>
      <c r="BM93" s="197">
        <f t="shared" si="332"/>
        <v>8.6522502899169922</v>
      </c>
      <c r="BN93" s="196">
        <f t="shared" si="333"/>
        <v>180</v>
      </c>
      <c r="BO93" s="197">
        <f t="shared" si="334"/>
        <v>3.9980897903442383</v>
      </c>
      <c r="BP93" s="196">
        <f t="shared" si="294"/>
        <v>12.654771242841433</v>
      </c>
      <c r="BQ93" s="115">
        <f t="shared" si="335"/>
        <v>659.74492511188635</v>
      </c>
      <c r="BR93" s="184">
        <f t="shared" si="336"/>
        <v>1.0041987768</v>
      </c>
      <c r="BS93" s="115">
        <f t="shared" si="337"/>
        <v>6863.8528613899143</v>
      </c>
      <c r="BT93" s="196">
        <v>900</v>
      </c>
      <c r="BU93" s="115">
        <f t="shared" si="424"/>
        <v>1.1850729520000001</v>
      </c>
      <c r="BV93" s="115">
        <f t="shared" si="425"/>
        <v>1.062921017351544</v>
      </c>
      <c r="BW93" s="115">
        <f t="shared" si="426"/>
        <v>433.36074181745732</v>
      </c>
      <c r="BX93" s="115">
        <f t="shared" si="377"/>
        <v>1042.5191238446621</v>
      </c>
      <c r="BY93" s="115"/>
      <c r="BZ93" s="115">
        <f t="shared" si="378"/>
        <v>609.15838202720477</v>
      </c>
      <c r="CA93" s="115">
        <f t="shared" si="379"/>
        <v>9847.0244285979861</v>
      </c>
      <c r="CB93" s="115">
        <f t="shared" si="380"/>
        <v>2400.4040161725134</v>
      </c>
      <c r="CC93" s="115">
        <f t="shared" si="381"/>
        <v>880.12068544545525</v>
      </c>
      <c r="CD93" s="129">
        <f t="shared" si="427"/>
        <v>0.17389582248701813</v>
      </c>
      <c r="CE93" s="115">
        <f t="shared" si="382"/>
        <v>21.632821475758274</v>
      </c>
      <c r="CF93" s="115">
        <f t="shared" si="383"/>
        <v>20.738698417723452</v>
      </c>
      <c r="CG93" s="115">
        <f t="shared" si="384"/>
        <v>0.02</v>
      </c>
      <c r="CH93" s="115">
        <f t="shared" si="385"/>
        <v>0.05</v>
      </c>
      <c r="CI93" s="136">
        <v>30</v>
      </c>
      <c r="CJ93" s="115">
        <f t="shared" si="428"/>
        <v>165</v>
      </c>
      <c r="CK93" s="115">
        <f t="shared" si="386"/>
        <v>453</v>
      </c>
      <c r="CL93" s="115">
        <f t="shared" si="387"/>
        <v>620.8153076171875</v>
      </c>
      <c r="CM93" s="115">
        <f t="shared" ca="1" si="388"/>
        <v>2816.5993052117487</v>
      </c>
      <c r="CN93" s="115">
        <f t="shared" ca="1" si="429"/>
        <v>125.80344444444444</v>
      </c>
      <c r="CO93" s="115">
        <f t="shared" ca="1" si="430"/>
        <v>690.58718083896258</v>
      </c>
      <c r="CP93" s="115">
        <f t="shared" ca="1" si="431"/>
        <v>2790.6388281929471</v>
      </c>
      <c r="CQ93" s="115">
        <f t="shared" si="432"/>
        <v>1.072449112508886</v>
      </c>
      <c r="CR93" s="115">
        <f t="shared" ca="1" si="338"/>
        <v>480.21780524806991</v>
      </c>
      <c r="CS93" s="115">
        <f t="shared" ca="1" si="339"/>
        <v>23.830059422642261</v>
      </c>
      <c r="CT93" s="115">
        <f t="shared" si="433"/>
        <v>1.1103153288511196</v>
      </c>
      <c r="CU93" s="115">
        <f t="shared" ca="1" si="434"/>
        <v>1.0109986657190022</v>
      </c>
      <c r="CV93" s="115">
        <f t="shared" si="360"/>
        <v>136.15838202720477</v>
      </c>
      <c r="CW93" s="115">
        <f t="shared" si="435"/>
        <v>473</v>
      </c>
      <c r="CX93" s="115">
        <f t="shared" si="436"/>
        <v>438</v>
      </c>
      <c r="CY93" s="115">
        <f t="shared" ca="1" si="437"/>
        <v>449.16994057735775</v>
      </c>
      <c r="CZ93" s="115">
        <f t="shared" ca="1" si="438"/>
        <v>171.64536703982975</v>
      </c>
      <c r="DA93" s="115">
        <v>0.21890000000000001</v>
      </c>
      <c r="DB93" s="115">
        <v>2.7E-2</v>
      </c>
      <c r="DC93" s="115">
        <v>1.06</v>
      </c>
      <c r="DD93" s="138">
        <f t="shared" si="389"/>
        <v>9.2194278649613413</v>
      </c>
      <c r="DE93" s="138">
        <f t="shared" si="439"/>
        <v>9.2194278649613413</v>
      </c>
      <c r="DF93" s="115">
        <f t="shared" si="440"/>
        <v>620.8153076171875</v>
      </c>
      <c r="DG93" s="115">
        <v>609.15838202720477</v>
      </c>
      <c r="DH93" s="115">
        <f t="shared" si="441"/>
        <v>1.1103153288511196</v>
      </c>
      <c r="DI93" s="115">
        <f t="shared" si="299"/>
        <v>1.1072295101896912</v>
      </c>
      <c r="DJ93" s="138">
        <f t="shared" si="340"/>
        <v>2.2138736968538457</v>
      </c>
      <c r="DK93" s="138">
        <f t="shared" si="341"/>
        <v>2.0802268650792453</v>
      </c>
      <c r="DL93" s="115">
        <f t="shared" si="442"/>
        <v>620.8153076171875</v>
      </c>
      <c r="DM93" s="115">
        <f t="shared" si="471"/>
        <v>609.15838202720477</v>
      </c>
      <c r="DN93" s="115">
        <f t="shared" si="300"/>
        <v>12.769814617776355</v>
      </c>
      <c r="DO93" s="115">
        <f t="shared" si="301"/>
        <v>1.1103153288511196</v>
      </c>
      <c r="DP93" s="115">
        <f t="shared" si="443"/>
        <v>1.1072295101896912</v>
      </c>
      <c r="DQ93" s="115">
        <v>298.14999999999998</v>
      </c>
      <c r="DR93" s="138">
        <f t="shared" si="302"/>
        <v>1.4744398821046614</v>
      </c>
      <c r="DS93" s="138">
        <f t="shared" si="303"/>
        <v>1.3854310921427773</v>
      </c>
      <c r="DT93" s="115">
        <f t="shared" si="444"/>
        <v>620.8153076171875</v>
      </c>
      <c r="DU93" s="139">
        <f t="shared" si="422"/>
        <v>6.4040812047106641</v>
      </c>
      <c r="DV93" s="115">
        <f t="shared" si="445"/>
        <v>1.1103153288511196</v>
      </c>
      <c r="DW93" s="115">
        <v>298.14999999999998</v>
      </c>
      <c r="DX93" s="138">
        <f t="shared" si="342"/>
        <v>0.73943381474918446</v>
      </c>
      <c r="DY93" s="138">
        <f t="shared" si="343"/>
        <v>0.69479577293646788</v>
      </c>
      <c r="DZ93" s="138">
        <f t="shared" si="446"/>
        <v>2.4004040161725135</v>
      </c>
      <c r="EA93" s="138">
        <f t="shared" si="447"/>
        <v>2.9831715672080716</v>
      </c>
      <c r="EB93" s="115">
        <f t="shared" si="448"/>
        <v>20.738698417723452</v>
      </c>
      <c r="EC93" s="115">
        <v>30</v>
      </c>
      <c r="ED93" s="198">
        <f t="shared" ca="1" si="449"/>
        <v>125.80344444444444</v>
      </c>
      <c r="EE93" s="198">
        <v>104.83</v>
      </c>
      <c r="EF93" s="198">
        <f t="shared" ca="1" si="450"/>
        <v>0.42491111111111107</v>
      </c>
      <c r="EG93" s="199">
        <v>0.36720000000000003</v>
      </c>
      <c r="EH93" s="138">
        <f t="shared" ca="1" si="304"/>
        <v>7.8120119166759719E-2</v>
      </c>
      <c r="EI93" s="138">
        <f t="shared" ca="1" si="451"/>
        <v>7.8120119166759719E-2</v>
      </c>
      <c r="EJ93" s="115">
        <f t="shared" si="452"/>
        <v>12.769814617776355</v>
      </c>
      <c r="EK93" s="115">
        <v>435</v>
      </c>
      <c r="EL93" s="115">
        <f t="shared" ca="1" si="453"/>
        <v>449.16994057735775</v>
      </c>
      <c r="EM93" s="115">
        <f t="shared" ca="1" si="305"/>
        <v>1.0622910324183383</v>
      </c>
      <c r="EN93" s="115">
        <f t="shared" ca="1" si="306"/>
        <v>1.0666814009412688</v>
      </c>
      <c r="EO93" s="115">
        <v>298.14999999999998</v>
      </c>
      <c r="EP93" s="138">
        <f t="shared" ca="1" si="307"/>
        <v>0.32860541145292044</v>
      </c>
      <c r="EQ93" s="138">
        <f t="shared" ca="1" si="308"/>
        <v>0.39279406531741295</v>
      </c>
      <c r="ER93" s="115">
        <f t="shared" si="454"/>
        <v>0.80977949831220841</v>
      </c>
      <c r="ES93" s="115">
        <f t="shared" si="455"/>
        <v>453</v>
      </c>
      <c r="ET93" s="115">
        <f t="shared" ca="1" si="390"/>
        <v>2816.5993052117487</v>
      </c>
      <c r="EU93" s="115">
        <f t="shared" ca="1" si="391"/>
        <v>6.5855309782608691</v>
      </c>
      <c r="EV93" s="138">
        <f t="shared" ca="1" si="456"/>
        <v>0.69460773787705421</v>
      </c>
      <c r="EW93" s="138">
        <f t="shared" ca="1" si="344"/>
        <v>0.72084435022127735</v>
      </c>
      <c r="EX93" s="115">
        <v>21.47</v>
      </c>
      <c r="EY93" s="115">
        <f t="shared" ca="1" si="392"/>
        <v>118.72292673110962</v>
      </c>
      <c r="EZ93" s="115">
        <f t="shared" ca="1" si="393"/>
        <v>0.40187139873504635</v>
      </c>
      <c r="FA93" s="138">
        <f t="shared" ca="1" si="310"/>
        <v>7.6339788286546986E-2</v>
      </c>
      <c r="FB93" s="138">
        <f t="shared" ca="1" si="457"/>
        <v>7.6339788286546986E-2</v>
      </c>
      <c r="FC93" s="115">
        <f t="shared" si="458"/>
        <v>21.47</v>
      </c>
      <c r="FD93" s="115">
        <v>37</v>
      </c>
      <c r="FE93" s="115">
        <f t="shared" ca="1" si="459"/>
        <v>154.93355555555553</v>
      </c>
      <c r="FF93" s="115">
        <f t="shared" ca="1" si="460"/>
        <v>0.52252222222222222</v>
      </c>
      <c r="FG93" s="138">
        <f t="shared" ca="1" si="461"/>
        <v>8.1462225449999703E-2</v>
      </c>
      <c r="FH93" s="138">
        <f t="shared" ca="1" si="312"/>
        <v>8.1462225449999703E-2</v>
      </c>
      <c r="FI93" s="115">
        <f t="shared" si="462"/>
        <v>102.97223022460939</v>
      </c>
      <c r="FJ93" s="115">
        <f t="shared" ca="1" si="394"/>
        <v>47.429846960703536</v>
      </c>
      <c r="FK93" s="115">
        <f t="shared" ca="1" si="395"/>
        <v>0.16432874724070232</v>
      </c>
      <c r="FL93" s="138">
        <f t="shared" ca="1" si="463"/>
        <v>0.31776313494694175</v>
      </c>
      <c r="FM93" s="138">
        <f t="shared" ca="1" si="345"/>
        <v>0.29315238623776352</v>
      </c>
      <c r="FN93" s="115">
        <f t="shared" si="464"/>
        <v>102.97223022460939</v>
      </c>
      <c r="FO93" s="115">
        <f t="shared" ca="1" si="396"/>
        <v>64.162296965493098</v>
      </c>
      <c r="FP93" s="115">
        <f t="shared" ca="1" si="397"/>
        <v>0.22007988820605809</v>
      </c>
      <c r="FQ93" s="138">
        <f t="shared" ca="1" si="465"/>
        <v>0.32911554797824272</v>
      </c>
      <c r="FR93" s="138">
        <f t="shared" ca="1" si="346"/>
        <v>0.30362555509744965</v>
      </c>
      <c r="FS93" s="139">
        <f t="shared" si="468"/>
        <v>4.605150151934982</v>
      </c>
      <c r="FT93" s="249">
        <f t="shared" si="316"/>
        <v>4.1560294326740248</v>
      </c>
      <c r="FU93" s="139">
        <f t="shared" ca="1" si="469"/>
        <v>0.52934685194144637</v>
      </c>
      <c r="FV93" s="249">
        <f t="shared" ca="1" si="318"/>
        <v>0.34991279577084677</v>
      </c>
      <c r="FW93" s="139">
        <f t="shared" ca="1" si="466"/>
        <v>0.70083771374490234</v>
      </c>
      <c r="FX93" s="249">
        <f t="shared" ca="1" si="319"/>
        <v>0.72619508191751081</v>
      </c>
      <c r="FY93" s="249">
        <f t="shared" si="398"/>
        <v>0.15000000000000002</v>
      </c>
      <c r="FZ93" s="139">
        <f t="shared" si="399"/>
        <v>1050000</v>
      </c>
      <c r="GA93" s="139">
        <f t="shared" si="320"/>
        <v>3.3757716049382713E-2</v>
      </c>
      <c r="GB93" s="139">
        <f t="shared" si="361"/>
        <v>121.52777777777777</v>
      </c>
      <c r="GC93" s="139">
        <f t="shared" si="400"/>
        <v>1050000</v>
      </c>
      <c r="GD93" s="139">
        <f t="shared" si="362"/>
        <v>6.7515432098765427E-2</v>
      </c>
      <c r="GE93" s="139">
        <f t="shared" si="363"/>
        <v>243.05555555555554</v>
      </c>
      <c r="GF93" s="139">
        <f t="shared" si="364"/>
        <v>4.5814043209876545E-2</v>
      </c>
      <c r="GG93" s="139">
        <f t="shared" si="401"/>
        <v>712500</v>
      </c>
      <c r="GH93" s="139">
        <f t="shared" si="365"/>
        <v>164.93055555555554</v>
      </c>
      <c r="GI93" s="137">
        <f t="shared" si="402"/>
        <v>56.110027329510885</v>
      </c>
      <c r="GJ93" s="137">
        <f t="shared" si="321"/>
        <v>0.20199609838623758</v>
      </c>
      <c r="GK93" s="251">
        <f t="shared" si="403"/>
        <v>45.794276922040524</v>
      </c>
      <c r="GL93" s="137">
        <f t="shared" si="329"/>
        <v>0.16485939691934456</v>
      </c>
      <c r="GM93" s="137">
        <f t="shared" ca="1" si="404"/>
        <v>7.6813763465842246</v>
      </c>
      <c r="GN93" s="137">
        <f t="shared" ca="1" si="322"/>
        <v>2.7652954847702988E-2</v>
      </c>
      <c r="GO93" s="137">
        <f t="shared" ca="1" si="366"/>
        <v>9.7232611982078027E-2</v>
      </c>
      <c r="GP93" s="137">
        <f t="shared" ca="1" si="405"/>
        <v>7.5768921914846175</v>
      </c>
      <c r="GQ93" s="137">
        <f t="shared" ca="1" si="323"/>
        <v>2.7276811889344405E-2</v>
      </c>
      <c r="GR93" s="137">
        <f t="shared" ca="1" si="406"/>
        <v>9.5910027740310849E-2</v>
      </c>
      <c r="GS93" s="140">
        <f t="shared" si="407"/>
        <v>6.6346398238927295E-2</v>
      </c>
      <c r="GT93" s="140">
        <f t="shared" si="408"/>
        <v>5.9875916036534672E-2</v>
      </c>
      <c r="GU93" s="140">
        <f t="shared" si="467"/>
        <v>238.84703366013827</v>
      </c>
      <c r="GV93" s="140">
        <f t="shared" si="324"/>
        <v>215.55329773152482</v>
      </c>
      <c r="GW93" s="141">
        <f t="shared" ca="1" si="409"/>
        <v>5.0791158638829976E-3</v>
      </c>
      <c r="GX93" s="141">
        <f t="shared" ca="1" si="410"/>
        <v>3.3574349700146123E-3</v>
      </c>
      <c r="GY93" s="141">
        <f t="shared" ca="1" si="325"/>
        <v>18.284817109978793</v>
      </c>
      <c r="GZ93" s="141">
        <f t="shared" ca="1" si="326"/>
        <v>12.086765892052604</v>
      </c>
      <c r="HA93" s="141">
        <f t="shared" ca="1" si="411"/>
        <v>1.2498640423492238E-2</v>
      </c>
      <c r="HB93" s="141">
        <f t="shared" ca="1" si="412"/>
        <v>1.076135321659628E-2</v>
      </c>
      <c r="HC93" s="141">
        <f t="shared" ca="1" si="470"/>
        <v>44.995105524572054</v>
      </c>
      <c r="HD93" s="141">
        <f t="shared" ca="1" si="328"/>
        <v>38.74087157974661</v>
      </c>
      <c r="HE93" s="137">
        <f t="shared" si="367"/>
        <v>7.005554168107496</v>
      </c>
      <c r="HF93" s="250">
        <f t="shared" si="368"/>
        <v>7.139200999882096</v>
      </c>
      <c r="HG93" s="137">
        <v>2.4004040161725135</v>
      </c>
      <c r="HH93" s="251">
        <v>2.7182974797087938</v>
      </c>
      <c r="HI93" s="137">
        <f t="shared" ca="1" si="369"/>
        <v>1.0816458167872485</v>
      </c>
      <c r="HJ93" s="251">
        <f t="shared" ca="1" si="370"/>
        <v>0.99263702682536437</v>
      </c>
      <c r="HK93" s="137">
        <f t="shared" ca="1" si="371"/>
        <v>0.61648761871029445</v>
      </c>
      <c r="HL93" s="251">
        <f t="shared" ca="1" si="372"/>
        <v>0.64272423105451759</v>
      </c>
      <c r="HM93" s="137">
        <f t="shared" ca="1" si="373"/>
        <v>0.69460773787705421</v>
      </c>
      <c r="HN93" s="251">
        <f t="shared" ca="1" si="374"/>
        <v>0.72084435022127735</v>
      </c>
      <c r="HO93" s="137">
        <f t="shared" ca="1" si="375"/>
        <v>0.31776313494694175</v>
      </c>
      <c r="HP93" s="251">
        <f t="shared" ca="1" si="376"/>
        <v>0.29315238623776352</v>
      </c>
      <c r="JN93" s="143">
        <f t="shared" si="413"/>
        <v>19.173895822487019</v>
      </c>
      <c r="JO93" s="143">
        <f t="shared" si="347"/>
        <v>2400.4040161725134</v>
      </c>
      <c r="JP93" s="143">
        <f t="shared" si="414"/>
        <v>2983.1715672080718</v>
      </c>
      <c r="JQ93" s="143">
        <f t="shared" si="415"/>
        <v>0.80977949831220841</v>
      </c>
      <c r="JR93" s="143">
        <f t="shared" ca="1" si="348"/>
        <v>0.84036635996516251</v>
      </c>
      <c r="JS93" s="143">
        <f t="shared" si="416"/>
        <v>102.97223022460939</v>
      </c>
      <c r="JT93" s="143">
        <f t="shared" ca="1" si="349"/>
        <v>94.997032967996645</v>
      </c>
      <c r="JU93" s="143">
        <f t="shared" si="423"/>
        <v>0.2759854835258298</v>
      </c>
      <c r="JV93" s="143">
        <f t="shared" si="417"/>
        <v>0.34298894763941146</v>
      </c>
      <c r="JW93" s="143">
        <f t="shared" ca="1" si="418"/>
        <v>0.2499669336538852</v>
      </c>
      <c r="JX93" s="143">
        <f t="shared" ca="1" si="419"/>
        <v>0.25940864467944241</v>
      </c>
      <c r="JY93" s="143">
        <f t="shared" si="420"/>
        <v>0.73603187971118367</v>
      </c>
      <c r="JZ93" s="143">
        <f t="shared" si="421"/>
        <v>0.81774347534764347</v>
      </c>
      <c r="KA93" s="143">
        <f t="shared" si="350"/>
        <v>0.26036366370361302</v>
      </c>
      <c r="KB93" s="143">
        <f t="shared" si="351"/>
        <v>0.3235744789051051</v>
      </c>
      <c r="KC93" s="143">
        <f t="shared" ca="1" si="352"/>
        <v>0.53802502412031772</v>
      </c>
      <c r="KD93" s="143">
        <f t="shared" ca="1" si="353"/>
        <v>0.64749169503586601</v>
      </c>
      <c r="KE93" s="143">
        <f t="shared" ca="1" si="354"/>
        <v>0.40667917581343965</v>
      </c>
      <c r="KF93" s="143">
        <f t="shared" ca="1" si="355"/>
        <v>0.45747134334859069</v>
      </c>
      <c r="KG93" s="142">
        <f t="shared" si="356"/>
        <v>0.16485939691934456</v>
      </c>
      <c r="KH93" s="142">
        <f t="shared" ca="1" si="357"/>
        <v>9.5910027740310849E-2</v>
      </c>
      <c r="KI93" s="142">
        <f t="shared" ca="1" si="358"/>
        <v>302.12695629468914</v>
      </c>
      <c r="KJ93" s="142">
        <f t="shared" ca="1" si="359"/>
        <v>266.38093520332404</v>
      </c>
    </row>
    <row r="94" spans="1:296" x14ac:dyDescent="0.3">
      <c r="A94" s="201">
        <v>41442</v>
      </c>
      <c r="B94" s="196">
        <v>113</v>
      </c>
      <c r="C94" s="179">
        <v>24</v>
      </c>
      <c r="D94" s="179">
        <v>4.2</v>
      </c>
      <c r="E94" s="179">
        <v>50016</v>
      </c>
      <c r="F94" s="179">
        <v>300</v>
      </c>
      <c r="G94" s="179">
        <v>11.7</v>
      </c>
      <c r="H94" s="179">
        <v>0.85</v>
      </c>
      <c r="I94" s="179">
        <v>1.4</v>
      </c>
      <c r="J94" s="179">
        <v>1.33</v>
      </c>
      <c r="K94" s="179">
        <v>0.91</v>
      </c>
      <c r="L94" s="152">
        <v>20830.226669251919</v>
      </c>
      <c r="M94" s="155">
        <v>19</v>
      </c>
      <c r="N94" s="153">
        <v>56218.939164929092</v>
      </c>
      <c r="O94" s="178">
        <v>17</v>
      </c>
      <c r="P94" s="179">
        <v>2</v>
      </c>
      <c r="Q94" s="179">
        <v>5</v>
      </c>
      <c r="R94" s="154">
        <v>338.5867919921875</v>
      </c>
      <c r="S94" s="155">
        <v>66.5646816061344</v>
      </c>
      <c r="T94" s="152">
        <v>180</v>
      </c>
      <c r="U94" s="156">
        <v>2.5893332958221436</v>
      </c>
      <c r="V94" s="178">
        <v>17</v>
      </c>
      <c r="W94" s="179">
        <v>1250</v>
      </c>
      <c r="X94" s="155">
        <v>70030.952055618167</v>
      </c>
      <c r="Y94" s="155">
        <v>9930.2026777062565</v>
      </c>
      <c r="Z94" s="155">
        <v>320.80728149414062</v>
      </c>
      <c r="AA94" s="155">
        <v>11.415499687194824</v>
      </c>
      <c r="AB94" s="155">
        <v>14.930461883544922</v>
      </c>
      <c r="AC94" s="215">
        <v>37</v>
      </c>
      <c r="AD94" s="215">
        <v>27.879693984985352</v>
      </c>
      <c r="AE94" s="254">
        <v>20</v>
      </c>
      <c r="AF94" s="254">
        <v>10</v>
      </c>
      <c r="AG94" s="217">
        <v>5000000</v>
      </c>
      <c r="AH94" s="218">
        <v>300000</v>
      </c>
      <c r="AI94" s="219">
        <v>5000000</v>
      </c>
      <c r="AJ94" s="225">
        <f t="shared" si="330"/>
        <v>300000</v>
      </c>
      <c r="AK94" s="220">
        <v>2750000</v>
      </c>
      <c r="AL94" s="226">
        <f t="shared" si="331"/>
        <v>300000</v>
      </c>
      <c r="AM94" s="221">
        <v>14.407</v>
      </c>
      <c r="BM94" s="197">
        <f t="shared" si="332"/>
        <v>9.1203060150146484</v>
      </c>
      <c r="BN94" s="196">
        <f t="shared" si="333"/>
        <v>180</v>
      </c>
      <c r="BO94" s="197">
        <f t="shared" si="334"/>
        <v>3.5149621963500977</v>
      </c>
      <c r="BP94" s="196">
        <f t="shared" si="294"/>
        <v>12.653181021792143</v>
      </c>
      <c r="BQ94" s="115">
        <f t="shared" si="335"/>
        <v>659.74492511188635</v>
      </c>
      <c r="BR94" s="184">
        <f t="shared" si="336"/>
        <v>1.0041987768</v>
      </c>
      <c r="BS94" s="115">
        <f t="shared" si="337"/>
        <v>6863.8528613899143</v>
      </c>
      <c r="BT94" s="196">
        <v>900</v>
      </c>
      <c r="BU94" s="115">
        <f t="shared" si="424"/>
        <v>1.1850729520000001</v>
      </c>
      <c r="BV94" s="115">
        <f t="shared" si="425"/>
        <v>1.0624056592179878</v>
      </c>
      <c r="BW94" s="115">
        <f t="shared" si="426"/>
        <v>431.17584757571331</v>
      </c>
      <c r="BX94" s="115">
        <f t="shared" si="377"/>
        <v>1037.2630085328703</v>
      </c>
      <c r="BY94" s="115"/>
      <c r="BZ94" s="115">
        <f t="shared" si="378"/>
        <v>606.08716095715704</v>
      </c>
      <c r="CA94" s="115">
        <f t="shared" si="379"/>
        <v>9796.1470889880948</v>
      </c>
      <c r="CB94" s="115">
        <f t="shared" si="380"/>
        <v>2342.4557985387123</v>
      </c>
      <c r="CC94" s="115">
        <f t="shared" si="381"/>
        <v>867.92611121882999</v>
      </c>
      <c r="CD94" s="129">
        <f t="shared" si="427"/>
        <v>0.17148639665475887</v>
      </c>
      <c r="CE94" s="115">
        <f t="shared" si="382"/>
        <v>18.871016558478861</v>
      </c>
      <c r="CF94" s="115">
        <f t="shared" si="383"/>
        <v>18.490189335037336</v>
      </c>
      <c r="CG94" s="115">
        <f t="shared" si="384"/>
        <v>0.02</v>
      </c>
      <c r="CH94" s="115">
        <f t="shared" si="385"/>
        <v>0.05</v>
      </c>
      <c r="CI94" s="136">
        <v>30</v>
      </c>
      <c r="CJ94" s="115">
        <f t="shared" si="428"/>
        <v>165</v>
      </c>
      <c r="CK94" s="115">
        <f t="shared" si="386"/>
        <v>453</v>
      </c>
      <c r="CL94" s="115">
        <f t="shared" si="387"/>
        <v>611.5867919921875</v>
      </c>
      <c r="CM94" s="115">
        <f t="shared" ca="1" si="388"/>
        <v>2816.5993052117487</v>
      </c>
      <c r="CN94" s="115">
        <f t="shared" ca="1" si="429"/>
        <v>125.80344444444444</v>
      </c>
      <c r="CO94" s="115">
        <f t="shared" ca="1" si="430"/>
        <v>690.58718083896258</v>
      </c>
      <c r="CP94" s="115">
        <f t="shared" ca="1" si="431"/>
        <v>2790.6388281929471</v>
      </c>
      <c r="CQ94" s="115">
        <f t="shared" si="432"/>
        <v>1.072449112508886</v>
      </c>
      <c r="CR94" s="115">
        <f t="shared" ca="1" si="338"/>
        <v>426.53722229567245</v>
      </c>
      <c r="CS94" s="115">
        <f t="shared" ca="1" si="339"/>
        <v>21.168904360063262</v>
      </c>
      <c r="CT94" s="115">
        <f t="shared" si="433"/>
        <v>1.1078713317841402</v>
      </c>
      <c r="CU94" s="115">
        <f t="shared" ca="1" si="434"/>
        <v>1.0092177568910143</v>
      </c>
      <c r="CV94" s="115">
        <f t="shared" si="360"/>
        <v>133.08716095715704</v>
      </c>
      <c r="CW94" s="115">
        <f t="shared" si="435"/>
        <v>473</v>
      </c>
      <c r="CX94" s="115">
        <f t="shared" si="436"/>
        <v>438</v>
      </c>
      <c r="CY94" s="115">
        <f t="shared" ca="1" si="437"/>
        <v>451.83109563993673</v>
      </c>
      <c r="CZ94" s="115">
        <f t="shared" ca="1" si="438"/>
        <v>159.75569635225077</v>
      </c>
      <c r="DA94" s="115">
        <v>0.21890000000000001</v>
      </c>
      <c r="DB94" s="115">
        <v>2.7E-2</v>
      </c>
      <c r="DC94" s="115">
        <v>1.06</v>
      </c>
      <c r="DD94" s="138">
        <f t="shared" si="389"/>
        <v>9.0916874319894845</v>
      </c>
      <c r="DE94" s="138">
        <f t="shared" si="439"/>
        <v>9.0916874319894845</v>
      </c>
      <c r="DF94" s="115">
        <f t="shared" si="440"/>
        <v>611.5867919921875</v>
      </c>
      <c r="DG94" s="115">
        <v>606.08716095715704</v>
      </c>
      <c r="DH94" s="115">
        <f t="shared" si="441"/>
        <v>1.1078713317841402</v>
      </c>
      <c r="DI94" s="115">
        <f t="shared" si="299"/>
        <v>1.1064185996589435</v>
      </c>
      <c r="DJ94" s="138">
        <f t="shared" si="340"/>
        <v>2.1075548522549514</v>
      </c>
      <c r="DK94" s="138">
        <f t="shared" si="341"/>
        <v>2.0452623329763151</v>
      </c>
      <c r="DL94" s="115">
        <f t="shared" si="442"/>
        <v>611.5867919921875</v>
      </c>
      <c r="DM94" s="115">
        <f t="shared" si="471"/>
        <v>606.08716095715704</v>
      </c>
      <c r="DN94" s="115">
        <f t="shared" si="300"/>
        <v>12.768209940172071</v>
      </c>
      <c r="DO94" s="115">
        <f t="shared" si="301"/>
        <v>1.1078713317841402</v>
      </c>
      <c r="DP94" s="115">
        <f t="shared" si="443"/>
        <v>1.1064185996589435</v>
      </c>
      <c r="DQ94" s="115">
        <v>298.14999999999998</v>
      </c>
      <c r="DR94" s="138">
        <f t="shared" si="302"/>
        <v>1.403631531601798</v>
      </c>
      <c r="DS94" s="138">
        <f t="shared" si="303"/>
        <v>1.362144713762226</v>
      </c>
      <c r="DT94" s="115">
        <f t="shared" si="444"/>
        <v>611.5867919921875</v>
      </c>
      <c r="DU94" s="139">
        <f t="shared" si="422"/>
        <v>6.4032764564826898</v>
      </c>
      <c r="DV94" s="115">
        <f t="shared" si="445"/>
        <v>1.1078713317841402</v>
      </c>
      <c r="DW94" s="115">
        <v>298.14999999999998</v>
      </c>
      <c r="DX94" s="138">
        <f t="shared" si="342"/>
        <v>0.70392332065315377</v>
      </c>
      <c r="DY94" s="138">
        <f t="shared" si="343"/>
        <v>0.6831176192140892</v>
      </c>
      <c r="DZ94" s="138">
        <f t="shared" si="446"/>
        <v>2.3424557985387122</v>
      </c>
      <c r="EA94" s="138">
        <f t="shared" si="447"/>
        <v>2.9322942275981805</v>
      </c>
      <c r="EB94" s="115">
        <f t="shared" si="448"/>
        <v>18.490189335037336</v>
      </c>
      <c r="EC94" s="115">
        <v>30</v>
      </c>
      <c r="ED94" s="198">
        <f t="shared" ca="1" si="449"/>
        <v>125.80344444444444</v>
      </c>
      <c r="EE94" s="198">
        <v>104.83</v>
      </c>
      <c r="EF94" s="198">
        <f t="shared" ca="1" si="450"/>
        <v>0.42491111111111107</v>
      </c>
      <c r="EG94" s="199">
        <v>0.36720000000000003</v>
      </c>
      <c r="EH94" s="138">
        <f t="shared" ca="1" si="304"/>
        <v>6.9650262768401291E-2</v>
      </c>
      <c r="EI94" s="138">
        <f t="shared" ca="1" si="451"/>
        <v>6.9650262768401291E-2</v>
      </c>
      <c r="EJ94" s="115">
        <f t="shared" si="452"/>
        <v>12.768209940172071</v>
      </c>
      <c r="EK94" s="115">
        <v>435</v>
      </c>
      <c r="EL94" s="115">
        <f t="shared" ca="1" si="453"/>
        <v>451.83109563993673</v>
      </c>
      <c r="EM94" s="115">
        <f t="shared" ca="1" si="305"/>
        <v>1.0620926451931036</v>
      </c>
      <c r="EN94" s="115">
        <f t="shared" ca="1" si="306"/>
        <v>1.0673196885081924</v>
      </c>
      <c r="EO94" s="115">
        <v>298.14999999999998</v>
      </c>
      <c r="EP94" s="138">
        <f t="shared" ca="1" si="307"/>
        <v>0.32850275761054293</v>
      </c>
      <c r="EQ94" s="138">
        <f t="shared" ca="1" si="308"/>
        <v>0.40524396611143065</v>
      </c>
      <c r="ER94" s="115">
        <f t="shared" si="454"/>
        <v>0.71925924883948433</v>
      </c>
      <c r="ES94" s="115">
        <f t="shared" si="455"/>
        <v>453</v>
      </c>
      <c r="ET94" s="115">
        <f t="shared" ca="1" si="390"/>
        <v>2816.5993052117487</v>
      </c>
      <c r="EU94" s="115">
        <f t="shared" ca="1" si="391"/>
        <v>6.5855309782608691</v>
      </c>
      <c r="EV94" s="138">
        <f t="shared" ca="1" si="456"/>
        <v>0.61696182828145996</v>
      </c>
      <c r="EW94" s="138">
        <f t="shared" ca="1" si="344"/>
        <v>0.70294555428776995</v>
      </c>
      <c r="EX94" s="115">
        <v>21.47</v>
      </c>
      <c r="EY94" s="115">
        <f t="shared" ca="1" si="392"/>
        <v>116.76406151538424</v>
      </c>
      <c r="EZ94" s="115">
        <f t="shared" ca="1" si="393"/>
        <v>0.39534462167951795</v>
      </c>
      <c r="FA94" s="138">
        <f t="shared" ca="1" si="310"/>
        <v>7.6062682798324385E-2</v>
      </c>
      <c r="FB94" s="138">
        <f t="shared" ca="1" si="457"/>
        <v>7.6062682798324385E-2</v>
      </c>
      <c r="FC94" s="115">
        <f t="shared" si="458"/>
        <v>21.47</v>
      </c>
      <c r="FD94" s="115">
        <v>37</v>
      </c>
      <c r="FE94" s="115">
        <f t="shared" ca="1" si="459"/>
        <v>154.93355555555553</v>
      </c>
      <c r="FF94" s="115">
        <f t="shared" ca="1" si="460"/>
        <v>0.52252222222222222</v>
      </c>
      <c r="FG94" s="138">
        <f t="shared" ca="1" si="461"/>
        <v>8.1462225449999703E-2</v>
      </c>
      <c r="FH94" s="138">
        <f t="shared" ca="1" si="312"/>
        <v>8.1462225449999703E-2</v>
      </c>
      <c r="FI94" s="115">
        <f t="shared" si="462"/>
        <v>89.826038818359379</v>
      </c>
      <c r="FJ94" s="115">
        <f t="shared" ca="1" si="394"/>
        <v>47.859579024208927</v>
      </c>
      <c r="FK94" s="115">
        <f t="shared" ca="1" si="395"/>
        <v>0.16576057897143895</v>
      </c>
      <c r="FL94" s="138">
        <f t="shared" ca="1" si="463"/>
        <v>0.27744949507033506</v>
      </c>
      <c r="FM94" s="138">
        <f t="shared" ca="1" si="345"/>
        <v>0.31258076717951638</v>
      </c>
      <c r="FN94" s="115">
        <f t="shared" si="464"/>
        <v>89.826038818359379</v>
      </c>
      <c r="FO94" s="115">
        <f t="shared" ca="1" si="396"/>
        <v>62.570086367289228</v>
      </c>
      <c r="FP94" s="115">
        <f t="shared" ca="1" si="397"/>
        <v>0.21477477404276529</v>
      </c>
      <c r="FQ94" s="138">
        <f t="shared" ca="1" si="465"/>
        <v>0.28615589129923341</v>
      </c>
      <c r="FR94" s="138">
        <f t="shared" ca="1" si="346"/>
        <v>0.32238958666180811</v>
      </c>
      <c r="FS94" s="139">
        <f t="shared" si="468"/>
        <v>4.6416767811958213</v>
      </c>
      <c r="FT94" s="249">
        <f t="shared" si="316"/>
        <v>4.1141308714149893</v>
      </c>
      <c r="FU94" s="139">
        <f t="shared" ca="1" si="469"/>
        <v>0.52781720847819635</v>
      </c>
      <c r="FV94" s="249">
        <f t="shared" ca="1" si="318"/>
        <v>0.32360545613142677</v>
      </c>
      <c r="FW94" s="139">
        <f t="shared" ca="1" si="466"/>
        <v>0.62026868185868311</v>
      </c>
      <c r="FX94" s="249">
        <f t="shared" ca="1" si="319"/>
        <v>0.70735483111838637</v>
      </c>
      <c r="FY94" s="249">
        <f t="shared" si="398"/>
        <v>0.15000000000000002</v>
      </c>
      <c r="FZ94" s="139">
        <f t="shared" si="399"/>
        <v>1050000</v>
      </c>
      <c r="GA94" s="139">
        <f t="shared" si="320"/>
        <v>3.3757716049382713E-2</v>
      </c>
      <c r="GB94" s="139">
        <f t="shared" si="361"/>
        <v>121.52777777777777</v>
      </c>
      <c r="GC94" s="139">
        <f t="shared" si="400"/>
        <v>1050000</v>
      </c>
      <c r="GD94" s="139">
        <f t="shared" si="362"/>
        <v>6.7515432098765427E-2</v>
      </c>
      <c r="GE94" s="139">
        <f t="shared" si="363"/>
        <v>243.05555555555554</v>
      </c>
      <c r="GF94" s="139">
        <f t="shared" si="364"/>
        <v>4.5814043209876545E-2</v>
      </c>
      <c r="GG94" s="139">
        <f t="shared" si="401"/>
        <v>712500</v>
      </c>
      <c r="GH94" s="139">
        <f t="shared" si="365"/>
        <v>164.93055555555554</v>
      </c>
      <c r="GI94" s="137">
        <f t="shared" si="402"/>
        <v>57.366339296326039</v>
      </c>
      <c r="GJ94" s="137">
        <f t="shared" si="321"/>
        <v>0.20651882146677208</v>
      </c>
      <c r="GK94" s="251">
        <f t="shared" si="403"/>
        <v>46.133011202517906</v>
      </c>
      <c r="GL94" s="137">
        <f t="shared" si="329"/>
        <v>0.16607884032906314</v>
      </c>
      <c r="GM94" s="137">
        <f t="shared" ca="1" si="404"/>
        <v>7.4398486058404067</v>
      </c>
      <c r="GN94" s="137">
        <f t="shared" ca="1" si="322"/>
        <v>2.6783454981025252E-2</v>
      </c>
      <c r="GO94" s="137">
        <f t="shared" ca="1" si="366"/>
        <v>9.417529880810567E-2</v>
      </c>
      <c r="GP94" s="137">
        <f t="shared" ca="1" si="405"/>
        <v>7.5676621318869977</v>
      </c>
      <c r="GQ94" s="137">
        <f t="shared" ca="1" si="323"/>
        <v>2.7243583674792973E-2</v>
      </c>
      <c r="GR94" s="137">
        <f t="shared" ca="1" si="406"/>
        <v>9.5793191542872622E-2</v>
      </c>
      <c r="GS94" s="140">
        <f t="shared" si="407"/>
        <v>6.6872637386688208E-2</v>
      </c>
      <c r="GT94" s="140">
        <f t="shared" si="408"/>
        <v>5.9272283464475752E-2</v>
      </c>
      <c r="GU94" s="140">
        <f t="shared" si="467"/>
        <v>240.74149459207754</v>
      </c>
      <c r="GV94" s="140">
        <f t="shared" si="324"/>
        <v>213.38022047211271</v>
      </c>
      <c r="GW94" s="141">
        <f t="shared" ca="1" si="409"/>
        <v>5.0644388400152189E-3</v>
      </c>
      <c r="GX94" s="141">
        <f t="shared" ca="1" si="410"/>
        <v>3.1050144151193197E-3</v>
      </c>
      <c r="GY94" s="141">
        <f t="shared" ca="1" si="325"/>
        <v>18.23197982405479</v>
      </c>
      <c r="GZ94" s="141">
        <f t="shared" ca="1" si="326"/>
        <v>11.178051894429551</v>
      </c>
      <c r="HA94" s="141">
        <f t="shared" ca="1" si="411"/>
        <v>1.1691049481211906E-2</v>
      </c>
      <c r="HB94" s="141">
        <f t="shared" ca="1" si="412"/>
        <v>1.0255238009489565E-2</v>
      </c>
      <c r="HC94" s="141">
        <f t="shared" ca="1" si="470"/>
        <v>42.087778132362857</v>
      </c>
      <c r="HD94" s="141">
        <f t="shared" ca="1" si="328"/>
        <v>36.918856834162433</v>
      </c>
      <c r="HE94" s="137">
        <f t="shared" si="367"/>
        <v>6.9841325797345331</v>
      </c>
      <c r="HF94" s="250">
        <f t="shared" si="368"/>
        <v>7.0464250990131694</v>
      </c>
      <c r="HG94" s="137">
        <v>2.3424557985387122</v>
      </c>
      <c r="HH94" s="251">
        <v>2.8073447554576707</v>
      </c>
      <c r="HI94" s="137">
        <f t="shared" ca="1" si="369"/>
        <v>0.99838756549036733</v>
      </c>
      <c r="HJ94" s="251">
        <f t="shared" ca="1" si="370"/>
        <v>0.95690074765079536</v>
      </c>
      <c r="HK94" s="137">
        <f t="shared" ca="1" si="371"/>
        <v>0.54731156551305871</v>
      </c>
      <c r="HL94" s="251">
        <f t="shared" ca="1" si="372"/>
        <v>0.6332952915193687</v>
      </c>
      <c r="HM94" s="137">
        <f t="shared" ca="1" si="373"/>
        <v>0.61696182828145996</v>
      </c>
      <c r="HN94" s="251">
        <f t="shared" ca="1" si="374"/>
        <v>0.70294555428776995</v>
      </c>
      <c r="HO94" s="137">
        <f t="shared" ca="1" si="375"/>
        <v>0.27744949507033506</v>
      </c>
      <c r="HP94" s="251">
        <f t="shared" ca="1" si="376"/>
        <v>0.31258076717951638</v>
      </c>
      <c r="JN94" s="143">
        <f t="shared" si="413"/>
        <v>19.17148639665476</v>
      </c>
      <c r="JO94" s="143">
        <f t="shared" si="347"/>
        <v>2342.4557985387123</v>
      </c>
      <c r="JP94" s="143">
        <f t="shared" si="414"/>
        <v>2932.2942275981804</v>
      </c>
      <c r="JQ94" s="143">
        <f t="shared" si="415"/>
        <v>0.71925924883948433</v>
      </c>
      <c r="JR94" s="143">
        <f t="shared" ca="1" si="348"/>
        <v>0.81949979427482511</v>
      </c>
      <c r="JS94" s="143">
        <f t="shared" si="416"/>
        <v>89.826038818359379</v>
      </c>
      <c r="JT94" s="143">
        <f t="shared" ca="1" si="349"/>
        <v>101.20001162525773</v>
      </c>
      <c r="JU94" s="143">
        <f t="shared" si="423"/>
        <v>0.27310696336903134</v>
      </c>
      <c r="JV94" s="143">
        <f t="shared" si="417"/>
        <v>0.34187623634284064</v>
      </c>
      <c r="JW94" s="143">
        <f t="shared" ca="1" si="418"/>
        <v>0.22513809833857062</v>
      </c>
      <c r="JX94" s="143">
        <f t="shared" ca="1" si="419"/>
        <v>0.25651477623620883</v>
      </c>
      <c r="JY94" s="143">
        <f t="shared" si="420"/>
        <v>0.73891265976106502</v>
      </c>
      <c r="JZ94" s="143">
        <f t="shared" si="421"/>
        <v>0.59530064713635233</v>
      </c>
      <c r="KA94" s="143">
        <f t="shared" si="350"/>
        <v>0.25764807865002959</v>
      </c>
      <c r="KB94" s="143">
        <f t="shared" si="351"/>
        <v>0.32252475126683083</v>
      </c>
      <c r="KC94" s="143">
        <f t="shared" ca="1" si="352"/>
        <v>0.50906605678615247</v>
      </c>
      <c r="KD94" s="143">
        <f t="shared" ca="1" si="353"/>
        <v>0.6618192044202259</v>
      </c>
      <c r="KE94" s="143">
        <f t="shared" ca="1" si="354"/>
        <v>0.44467279901389478</v>
      </c>
      <c r="KF94" s="143">
        <f t="shared" ca="1" si="355"/>
        <v>0.44970285413469974</v>
      </c>
      <c r="KG94" s="142">
        <f t="shared" si="356"/>
        <v>0.16607884032906314</v>
      </c>
      <c r="KH94" s="142">
        <f t="shared" ca="1" si="357"/>
        <v>9.5793191542872622E-2</v>
      </c>
      <c r="KI94" s="142">
        <f t="shared" ca="1" si="358"/>
        <v>301.06125254849519</v>
      </c>
      <c r="KJ94" s="142">
        <f t="shared" ca="1" si="359"/>
        <v>261.47712920070472</v>
      </c>
    </row>
    <row r="95" spans="1:296" x14ac:dyDescent="0.3">
      <c r="A95" s="201">
        <v>41443</v>
      </c>
      <c r="B95" s="196">
        <v>114</v>
      </c>
      <c r="C95" s="179">
        <v>24</v>
      </c>
      <c r="D95" s="179">
        <v>4.2</v>
      </c>
      <c r="E95" s="179">
        <v>50016</v>
      </c>
      <c r="F95" s="179">
        <v>300</v>
      </c>
      <c r="G95" s="179">
        <v>11.7</v>
      </c>
      <c r="H95" s="179">
        <v>0.85</v>
      </c>
      <c r="I95" s="179">
        <v>1.4</v>
      </c>
      <c r="J95" s="179">
        <v>1.33</v>
      </c>
      <c r="K95" s="179">
        <v>0.91</v>
      </c>
      <c r="L95" s="152">
        <v>20021.572161108255</v>
      </c>
      <c r="M95" s="155">
        <v>19</v>
      </c>
      <c r="N95" s="153">
        <v>57181.015000626445</v>
      </c>
      <c r="O95" s="178">
        <v>17</v>
      </c>
      <c r="P95" s="179">
        <v>2</v>
      </c>
      <c r="Q95" s="179">
        <v>5</v>
      </c>
      <c r="R95" s="154">
        <v>343.01724243164063</v>
      </c>
      <c r="S95" s="155">
        <v>69.499613290216075</v>
      </c>
      <c r="T95" s="152">
        <v>180</v>
      </c>
      <c r="U95" s="156">
        <v>2.7603809833526611</v>
      </c>
      <c r="V95" s="178">
        <v>17</v>
      </c>
      <c r="W95" s="179">
        <v>1250</v>
      </c>
      <c r="X95" s="155">
        <v>78095.967739984393</v>
      </c>
      <c r="Y95" s="155">
        <v>11457.523938914761</v>
      </c>
      <c r="Z95" s="155">
        <v>362.32382202148437</v>
      </c>
      <c r="AA95" s="155">
        <v>11.474227905273438</v>
      </c>
      <c r="AB95" s="155">
        <v>14.587173461914063</v>
      </c>
      <c r="AC95" s="215">
        <v>37</v>
      </c>
      <c r="AD95" s="215">
        <v>27.804269790649414</v>
      </c>
      <c r="AE95" s="254">
        <v>20</v>
      </c>
      <c r="AF95" s="254">
        <v>10</v>
      </c>
      <c r="AG95" s="217">
        <v>5000000</v>
      </c>
      <c r="AH95" s="218">
        <v>300000</v>
      </c>
      <c r="AI95" s="219">
        <v>5000000</v>
      </c>
      <c r="AJ95" s="225">
        <f t="shared" si="330"/>
        <v>300000</v>
      </c>
      <c r="AK95" s="220">
        <v>2750000</v>
      </c>
      <c r="AL95" s="226">
        <f t="shared" si="331"/>
        <v>300000</v>
      </c>
      <c r="AM95" s="221">
        <v>14.407</v>
      </c>
      <c r="BK95" s="283"/>
      <c r="BM95" s="197">
        <f t="shared" si="332"/>
        <v>9.1957302093505859</v>
      </c>
      <c r="BN95" s="196">
        <f t="shared" si="333"/>
        <v>180</v>
      </c>
      <c r="BO95" s="197">
        <f t="shared" si="334"/>
        <v>3.112945556640625</v>
      </c>
      <c r="BP95" s="196">
        <f t="shared" si="294"/>
        <v>12.648787198097287</v>
      </c>
      <c r="BQ95" s="115">
        <f t="shared" si="335"/>
        <v>659.74492511188635</v>
      </c>
      <c r="BR95" s="184">
        <f t="shared" si="336"/>
        <v>1.0041987768</v>
      </c>
      <c r="BS95" s="115">
        <f t="shared" si="337"/>
        <v>6863.8528613899143</v>
      </c>
      <c r="BT95" s="196">
        <v>900</v>
      </c>
      <c r="BU95" s="115">
        <f t="shared" si="424"/>
        <v>1.1850729520000001</v>
      </c>
      <c r="BV95" s="115">
        <f t="shared" si="425"/>
        <v>1.0609866692895322</v>
      </c>
      <c r="BW95" s="115">
        <f t="shared" si="426"/>
        <v>425.13606977240318</v>
      </c>
      <c r="BX95" s="115">
        <f t="shared" si="377"/>
        <v>1022.7333493918131</v>
      </c>
      <c r="BY95" s="115"/>
      <c r="BZ95" s="115">
        <f t="shared" si="378"/>
        <v>597.59727961940996</v>
      </c>
      <c r="CA95" s="115">
        <f t="shared" si="379"/>
        <v>9655.571625967601</v>
      </c>
      <c r="CB95" s="115">
        <f t="shared" si="380"/>
        <v>2382.5422916927687</v>
      </c>
      <c r="CC95" s="115">
        <f t="shared" si="381"/>
        <v>834.23217337951064</v>
      </c>
      <c r="CD95" s="129">
        <f t="shared" si="427"/>
        <v>0.1648290880261935</v>
      </c>
      <c r="CE95" s="115">
        <f t="shared" si="382"/>
        <v>21.313166001263788</v>
      </c>
      <c r="CF95" s="115">
        <f t="shared" si="383"/>
        <v>19.305448136171133</v>
      </c>
      <c r="CG95" s="115">
        <f t="shared" si="384"/>
        <v>0.02</v>
      </c>
      <c r="CH95" s="115">
        <f t="shared" si="385"/>
        <v>0.05</v>
      </c>
      <c r="CI95" s="136">
        <v>30</v>
      </c>
      <c r="CJ95" s="115">
        <f t="shared" si="428"/>
        <v>165</v>
      </c>
      <c r="CK95" s="115">
        <f t="shared" si="386"/>
        <v>453</v>
      </c>
      <c r="CL95" s="115">
        <f t="shared" si="387"/>
        <v>616.01724243164062</v>
      </c>
      <c r="CM95" s="115">
        <f t="shared" ca="1" si="388"/>
        <v>2816.5993052117487</v>
      </c>
      <c r="CN95" s="115">
        <f t="shared" ca="1" si="429"/>
        <v>125.80344444444444</v>
      </c>
      <c r="CO95" s="115">
        <f t="shared" ca="1" si="430"/>
        <v>690.58718083896258</v>
      </c>
      <c r="CP95" s="115">
        <f t="shared" ca="1" si="431"/>
        <v>2790.6388281929471</v>
      </c>
      <c r="CQ95" s="115">
        <f t="shared" si="432"/>
        <v>1.072449112508886</v>
      </c>
      <c r="CR95" s="115">
        <f t="shared" ca="1" si="338"/>
        <v>454.71366664800138</v>
      </c>
      <c r="CS95" s="115">
        <f t="shared" ca="1" si="339"/>
        <v>22.575131404471762</v>
      </c>
      <c r="CT95" s="115">
        <f t="shared" si="433"/>
        <v>1.109043696560944</v>
      </c>
      <c r="CU95" s="115">
        <f t="shared" ca="1" si="434"/>
        <v>1.0100845761369872</v>
      </c>
      <c r="CV95" s="115">
        <f t="shared" si="360"/>
        <v>124.59727961940996</v>
      </c>
      <c r="CW95" s="115">
        <f t="shared" si="435"/>
        <v>473</v>
      </c>
      <c r="CX95" s="115">
        <f t="shared" si="436"/>
        <v>438</v>
      </c>
      <c r="CY95" s="115">
        <f t="shared" ca="1" si="437"/>
        <v>450.42486859552821</v>
      </c>
      <c r="CZ95" s="115">
        <f t="shared" ca="1" si="438"/>
        <v>165.59237383611242</v>
      </c>
      <c r="DA95" s="115">
        <v>0.21890000000000001</v>
      </c>
      <c r="DB95" s="115">
        <v>2.7E-2</v>
      </c>
      <c r="DC95" s="115">
        <v>1.06</v>
      </c>
      <c r="DD95" s="138">
        <f t="shared" si="389"/>
        <v>8.7387371667211795</v>
      </c>
      <c r="DE95" s="138">
        <f t="shared" si="439"/>
        <v>8.7387371667211795</v>
      </c>
      <c r="DF95" s="115">
        <f t="shared" si="440"/>
        <v>616.01724243164062</v>
      </c>
      <c r="DG95" s="115">
        <v>597.59727961940996</v>
      </c>
      <c r="DH95" s="115">
        <f t="shared" si="441"/>
        <v>1.109043696560944</v>
      </c>
      <c r="DI95" s="115">
        <f t="shared" si="299"/>
        <v>1.1041818130347325</v>
      </c>
      <c r="DJ95" s="138">
        <f t="shared" si="340"/>
        <v>2.1574786247682542</v>
      </c>
      <c r="DK95" s="138">
        <f t="shared" si="341"/>
        <v>1.9497638912714099</v>
      </c>
      <c r="DL95" s="115">
        <f t="shared" si="442"/>
        <v>616.01724243164062</v>
      </c>
      <c r="DM95" s="115">
        <f t="shared" si="471"/>
        <v>597.59727961940996</v>
      </c>
      <c r="DN95" s="115">
        <f t="shared" si="300"/>
        <v>12.763776172625445</v>
      </c>
      <c r="DO95" s="115">
        <f t="shared" si="301"/>
        <v>1.109043696560944</v>
      </c>
      <c r="DP95" s="115">
        <f t="shared" si="443"/>
        <v>1.1041818130347325</v>
      </c>
      <c r="DQ95" s="115">
        <v>298.14999999999998</v>
      </c>
      <c r="DR95" s="138">
        <f t="shared" si="302"/>
        <v>1.4368807640956573</v>
      </c>
      <c r="DS95" s="138">
        <f t="shared" si="303"/>
        <v>1.2985427515867594</v>
      </c>
      <c r="DT95" s="115">
        <f t="shared" si="444"/>
        <v>616.01724243164062</v>
      </c>
      <c r="DU95" s="139">
        <f t="shared" si="422"/>
        <v>6.4010529154007472</v>
      </c>
      <c r="DV95" s="115">
        <f t="shared" si="445"/>
        <v>1.109043696560944</v>
      </c>
      <c r="DW95" s="115">
        <v>298.14999999999998</v>
      </c>
      <c r="DX95" s="138">
        <f t="shared" si="342"/>
        <v>0.72059786067259679</v>
      </c>
      <c r="DY95" s="138">
        <f t="shared" si="343"/>
        <v>0.6512211396846509</v>
      </c>
      <c r="DZ95" s="138">
        <f t="shared" si="446"/>
        <v>2.3825422916927685</v>
      </c>
      <c r="EA95" s="138">
        <f t="shared" si="447"/>
        <v>2.7917187645776869</v>
      </c>
      <c r="EB95" s="115">
        <f t="shared" si="448"/>
        <v>19.305448136171133</v>
      </c>
      <c r="EC95" s="115">
        <v>30</v>
      </c>
      <c r="ED95" s="198">
        <f t="shared" ca="1" si="449"/>
        <v>125.80344444444444</v>
      </c>
      <c r="EE95" s="198">
        <v>104.83</v>
      </c>
      <c r="EF95" s="198">
        <f t="shared" ca="1" si="450"/>
        <v>0.42491111111111107</v>
      </c>
      <c r="EG95" s="199">
        <v>0.36720000000000003</v>
      </c>
      <c r="EH95" s="138">
        <f t="shared" ca="1" si="304"/>
        <v>7.272124212368683E-2</v>
      </c>
      <c r="EI95" s="138">
        <f t="shared" ca="1" si="451"/>
        <v>7.272124212368683E-2</v>
      </c>
      <c r="EJ95" s="115">
        <f t="shared" si="452"/>
        <v>12.763776172625445</v>
      </c>
      <c r="EK95" s="115">
        <v>435</v>
      </c>
      <c r="EL95" s="115">
        <f t="shared" ca="1" si="453"/>
        <v>450.42486859552821</v>
      </c>
      <c r="EM95" s="115">
        <f t="shared" ca="1" si="305"/>
        <v>1.0621977704328041</v>
      </c>
      <c r="EN95" s="115">
        <f t="shared" ca="1" si="306"/>
        <v>1.0669822131785061</v>
      </c>
      <c r="EO95" s="115">
        <v>298.14999999999998</v>
      </c>
      <c r="EP95" s="138">
        <f t="shared" ca="1" si="307"/>
        <v>0.32842118855558816</v>
      </c>
      <c r="EQ95" s="138">
        <f t="shared" ca="1" si="308"/>
        <v>0.39848103592873174</v>
      </c>
      <c r="ER95" s="115">
        <f t="shared" si="454"/>
        <v>0.76677249537573922</v>
      </c>
      <c r="ES95" s="115">
        <f t="shared" si="455"/>
        <v>453</v>
      </c>
      <c r="ET95" s="115">
        <f t="shared" ca="1" si="390"/>
        <v>2816.5993052117487</v>
      </c>
      <c r="EU95" s="115">
        <f t="shared" ca="1" si="391"/>
        <v>6.5855309782608691</v>
      </c>
      <c r="EV95" s="138">
        <f t="shared" ca="1" si="456"/>
        <v>0.6577174522068987</v>
      </c>
      <c r="EW95" s="138">
        <f t="shared" ca="1" si="344"/>
        <v>0.65857097533788189</v>
      </c>
      <c r="EX95" s="115">
        <v>21.47</v>
      </c>
      <c r="EY95" s="115">
        <f t="shared" ca="1" si="392"/>
        <v>116.44840288162231</v>
      </c>
      <c r="EZ95" s="115">
        <f t="shared" ca="1" si="393"/>
        <v>0.39429287319183348</v>
      </c>
      <c r="FA95" s="138">
        <f t="shared" ca="1" si="310"/>
        <v>7.6018029016574881E-2</v>
      </c>
      <c r="FB95" s="138">
        <f t="shared" ca="1" si="457"/>
        <v>7.6018029016574881E-2</v>
      </c>
      <c r="FC95" s="115">
        <f t="shared" si="458"/>
        <v>21.47</v>
      </c>
      <c r="FD95" s="115">
        <v>37</v>
      </c>
      <c r="FE95" s="115">
        <f t="shared" ca="1" si="459"/>
        <v>154.93355555555553</v>
      </c>
      <c r="FF95" s="115">
        <f t="shared" ca="1" si="460"/>
        <v>0.52252222222222222</v>
      </c>
      <c r="FG95" s="138">
        <f t="shared" ca="1" si="461"/>
        <v>8.1462225449999703E-2</v>
      </c>
      <c r="FH95" s="138">
        <f t="shared" ca="1" si="312"/>
        <v>8.1462225449999703E-2</v>
      </c>
      <c r="FI95" s="115">
        <f t="shared" si="462"/>
        <v>101.45067016601564</v>
      </c>
      <c r="FJ95" s="115">
        <f t="shared" ca="1" si="394"/>
        <v>48.105363142225485</v>
      </c>
      <c r="FK95" s="115">
        <f t="shared" ca="1" si="395"/>
        <v>0.16657951134575738</v>
      </c>
      <c r="FL95" s="138">
        <f t="shared" ca="1" si="463"/>
        <v>0.31351927916427791</v>
      </c>
      <c r="FM95" s="138">
        <f t="shared" ca="1" si="345"/>
        <v>0.31696251283345256</v>
      </c>
      <c r="FN95" s="115">
        <f t="shared" si="464"/>
        <v>101.45067016601564</v>
      </c>
      <c r="FO95" s="115">
        <f t="shared" ca="1" si="396"/>
        <v>61.133386179606127</v>
      </c>
      <c r="FP95" s="115">
        <f t="shared" ca="1" si="397"/>
        <v>0.20998780771891276</v>
      </c>
      <c r="FQ95" s="138">
        <f t="shared" ca="1" si="465"/>
        <v>0.32222775130031261</v>
      </c>
      <c r="FR95" s="138">
        <f t="shared" ca="1" si="346"/>
        <v>0.32576662599209288</v>
      </c>
      <c r="FS95" s="139">
        <f t="shared" si="468"/>
        <v>4.1987162502601567</v>
      </c>
      <c r="FT95" s="249">
        <f t="shared" si="316"/>
        <v>3.9972545108720832</v>
      </c>
      <c r="FU95" s="139">
        <f t="shared" ca="1" si="469"/>
        <v>0.52346336545685745</v>
      </c>
      <c r="FV95" s="249">
        <f t="shared" ca="1" si="318"/>
        <v>0.31421198244383275</v>
      </c>
      <c r="FW95" s="139">
        <f t="shared" ca="1" si="466"/>
        <v>0.6609817279095086</v>
      </c>
      <c r="FX95" s="249">
        <f t="shared" ca="1" si="319"/>
        <v>0.6619308920630973</v>
      </c>
      <c r="FY95" s="249">
        <f t="shared" si="398"/>
        <v>0.15000000000000002</v>
      </c>
      <c r="FZ95" s="139">
        <f t="shared" si="399"/>
        <v>1050000</v>
      </c>
      <c r="GA95" s="139">
        <f t="shared" si="320"/>
        <v>3.3757716049382713E-2</v>
      </c>
      <c r="GB95" s="139">
        <f t="shared" si="361"/>
        <v>121.52777777777777</v>
      </c>
      <c r="GC95" s="139">
        <f t="shared" si="400"/>
        <v>1050000</v>
      </c>
      <c r="GD95" s="139">
        <f t="shared" si="362"/>
        <v>6.7515432098765427E-2</v>
      </c>
      <c r="GE95" s="139">
        <f t="shared" si="363"/>
        <v>243.05555555555554</v>
      </c>
      <c r="GF95" s="139">
        <f t="shared" si="364"/>
        <v>4.5814043209876545E-2</v>
      </c>
      <c r="GG95" s="139">
        <f t="shared" si="401"/>
        <v>712500</v>
      </c>
      <c r="GH95" s="139">
        <f t="shared" si="365"/>
        <v>164.93055555555554</v>
      </c>
      <c r="GI95" s="137">
        <f t="shared" si="402"/>
        <v>53.965005495011901</v>
      </c>
      <c r="GJ95" s="137">
        <f t="shared" si="321"/>
        <v>0.19427401978204129</v>
      </c>
      <c r="GK95" s="251">
        <f t="shared" si="403"/>
        <v>47.127402551485183</v>
      </c>
      <c r="GL95" s="137">
        <f t="shared" si="329"/>
        <v>0.16965864918534532</v>
      </c>
      <c r="GM95" s="137">
        <f t="shared" ca="1" si="404"/>
        <v>7.3706930951328182</v>
      </c>
      <c r="GN95" s="137">
        <f t="shared" ca="1" si="322"/>
        <v>2.6534495142477934E-2</v>
      </c>
      <c r="GO95" s="137">
        <f t="shared" ca="1" si="366"/>
        <v>9.3299912596617213E-2</v>
      </c>
      <c r="GP95" s="137">
        <f t="shared" ca="1" si="405"/>
        <v>7.3583332173935023</v>
      </c>
      <c r="GQ95" s="137">
        <f t="shared" ca="1" si="323"/>
        <v>2.6489999582616396E-2</v>
      </c>
      <c r="GR95" s="137">
        <f t="shared" ca="1" si="406"/>
        <v>9.3143458448018274E-2</v>
      </c>
      <c r="GS95" s="140">
        <f t="shared" si="407"/>
        <v>6.0490905017498084E-2</v>
      </c>
      <c r="GT95" s="140">
        <f t="shared" si="408"/>
        <v>5.7588445738134098E-2</v>
      </c>
      <c r="GU95" s="140">
        <f t="shared" si="467"/>
        <v>217.76725806299311</v>
      </c>
      <c r="GV95" s="140">
        <f t="shared" si="324"/>
        <v>207.31840465728274</v>
      </c>
      <c r="GW95" s="141">
        <f t="shared" ca="1" si="409"/>
        <v>5.0226634462872044E-3</v>
      </c>
      <c r="GX95" s="141">
        <f t="shared" ca="1" si="410"/>
        <v>3.0148834526914866E-3</v>
      </c>
      <c r="GY95" s="141">
        <f t="shared" ca="1" si="325"/>
        <v>18.081588406633937</v>
      </c>
      <c r="GZ95" s="141">
        <f t="shared" ca="1" si="326"/>
        <v>10.853580429689352</v>
      </c>
      <c r="HA95" s="141">
        <f t="shared" ca="1" si="411"/>
        <v>1.201722095322061E-2</v>
      </c>
      <c r="HB95" s="141">
        <f t="shared" ca="1" si="412"/>
        <v>9.7576781258777046E-3</v>
      </c>
      <c r="HC95" s="141">
        <f t="shared" ca="1" si="470"/>
        <v>43.261995431594201</v>
      </c>
      <c r="HD95" s="141">
        <f t="shared" ca="1" si="328"/>
        <v>35.127641253159737</v>
      </c>
      <c r="HE95" s="137">
        <f t="shared" si="367"/>
        <v>6.5812585419529253</v>
      </c>
      <c r="HF95" s="250">
        <f t="shared" si="368"/>
        <v>6.78897327544977</v>
      </c>
      <c r="HG95" s="137">
        <v>2.3825422916927685</v>
      </c>
      <c r="HH95" s="251">
        <v>2.3733697160568972</v>
      </c>
      <c r="HI95" s="137">
        <f t="shared" ca="1" si="369"/>
        <v>1.0383997281669255</v>
      </c>
      <c r="HJ95" s="251">
        <f t="shared" ca="1" si="370"/>
        <v>0.90006171565802762</v>
      </c>
      <c r="HK95" s="137">
        <f t="shared" ca="1" si="371"/>
        <v>0.5849962100832119</v>
      </c>
      <c r="HL95" s="251">
        <f t="shared" ca="1" si="372"/>
        <v>0.58584973321419509</v>
      </c>
      <c r="HM95" s="137">
        <f t="shared" ca="1" si="373"/>
        <v>0.6577174522068987</v>
      </c>
      <c r="HN95" s="251">
        <f t="shared" ca="1" si="374"/>
        <v>0.65857097533788189</v>
      </c>
      <c r="HO95" s="137">
        <f t="shared" ca="1" si="375"/>
        <v>0.31351927916427791</v>
      </c>
      <c r="HP95" s="251">
        <f t="shared" ca="1" si="376"/>
        <v>0.31696251283345256</v>
      </c>
      <c r="JN95" s="143">
        <f t="shared" si="413"/>
        <v>19.164829088026192</v>
      </c>
      <c r="JO95" s="143">
        <f t="shared" si="347"/>
        <v>2382.5422916927687</v>
      </c>
      <c r="JP95" s="143">
        <f t="shared" si="414"/>
        <v>2791.7187645776867</v>
      </c>
      <c r="JQ95" s="143">
        <f t="shared" si="415"/>
        <v>0.76677249537573922</v>
      </c>
      <c r="JR95" s="143">
        <f t="shared" ca="1" si="348"/>
        <v>0.76776753976571099</v>
      </c>
      <c r="JS95" s="143">
        <f t="shared" si="416"/>
        <v>101.45067016601564</v>
      </c>
      <c r="JT95" s="143">
        <f t="shared" ca="1" si="349"/>
        <v>102.56485479991471</v>
      </c>
      <c r="JU95" s="143">
        <f t="shared" si="423"/>
        <v>0.28899997574156516</v>
      </c>
      <c r="JV95" s="143">
        <f t="shared" si="417"/>
        <v>0.3386326689995488</v>
      </c>
      <c r="JW95" s="143">
        <f t="shared" ca="1" si="418"/>
        <v>0.24968122459581485</v>
      </c>
      <c r="JX95" s="143">
        <f t="shared" ca="1" si="419"/>
        <v>0.25000523713318895</v>
      </c>
      <c r="JY95" s="143">
        <f t="shared" si="420"/>
        <v>0.76451707169243799</v>
      </c>
      <c r="JZ95" s="143">
        <f t="shared" si="421"/>
        <v>0.48561858777328903</v>
      </c>
      <c r="KA95" s="143">
        <f t="shared" si="350"/>
        <v>0.27264148654864639</v>
      </c>
      <c r="KB95" s="143">
        <f t="shared" si="351"/>
        <v>0.31946478207504603</v>
      </c>
      <c r="KC95" s="143">
        <f t="shared" ca="1" si="352"/>
        <v>0.52775601654051041</v>
      </c>
      <c r="KD95" s="143">
        <f t="shared" ca="1" si="353"/>
        <v>0.65089951391376</v>
      </c>
      <c r="KE95" s="143">
        <f t="shared" ca="1" si="354"/>
        <v>0.48128831166729441</v>
      </c>
      <c r="KF95" s="143">
        <f t="shared" ca="1" si="355"/>
        <v>0.47667775594565476</v>
      </c>
      <c r="KG95" s="142">
        <f t="shared" si="356"/>
        <v>0.16965864918534532</v>
      </c>
      <c r="KH95" s="142">
        <f t="shared" ca="1" si="357"/>
        <v>9.3143458448018274E-2</v>
      </c>
      <c r="KI95" s="142">
        <f t="shared" ca="1" si="358"/>
        <v>279.11084190122125</v>
      </c>
      <c r="KJ95" s="142">
        <f t="shared" ca="1" si="359"/>
        <v>253.29962634013182</v>
      </c>
    </row>
    <row r="96" spans="1:296" x14ac:dyDescent="0.3">
      <c r="A96" s="201">
        <v>41444</v>
      </c>
      <c r="B96" s="196">
        <v>115</v>
      </c>
      <c r="C96" s="179">
        <v>24</v>
      </c>
      <c r="D96" s="179">
        <v>4.2</v>
      </c>
      <c r="E96" s="179">
        <v>50016</v>
      </c>
      <c r="F96" s="179">
        <v>300</v>
      </c>
      <c r="G96" s="179">
        <v>11.7</v>
      </c>
      <c r="H96" s="179">
        <v>0.85</v>
      </c>
      <c r="I96" s="179">
        <v>1.4</v>
      </c>
      <c r="J96" s="179">
        <v>1.33</v>
      </c>
      <c r="K96" s="179">
        <v>0.91</v>
      </c>
      <c r="L96" s="152">
        <v>20641.556988880038</v>
      </c>
      <c r="M96" s="155">
        <v>19</v>
      </c>
      <c r="N96" s="153">
        <v>57821.83722307533</v>
      </c>
      <c r="O96" s="178">
        <v>17</v>
      </c>
      <c r="P96" s="179">
        <v>2</v>
      </c>
      <c r="Q96" s="179">
        <v>5</v>
      </c>
      <c r="R96" s="154">
        <v>350.44534301757812</v>
      </c>
      <c r="S96" s="155">
        <v>72.773806622688426</v>
      </c>
      <c r="T96" s="152">
        <v>180</v>
      </c>
      <c r="U96" s="156">
        <v>2.9898631572723389</v>
      </c>
      <c r="V96" s="178">
        <v>17</v>
      </c>
      <c r="W96" s="179">
        <v>1250</v>
      </c>
      <c r="X96" s="155">
        <v>78225.53525416553</v>
      </c>
      <c r="Y96" s="155">
        <v>11266.320898458362</v>
      </c>
      <c r="Z96" s="155">
        <v>348.603759765625</v>
      </c>
      <c r="AA96" s="155">
        <v>11.246381759643555</v>
      </c>
      <c r="AB96" s="155">
        <v>14.322981834411621</v>
      </c>
      <c r="AC96" s="215">
        <v>37</v>
      </c>
      <c r="AD96" s="215">
        <v>28.133842468261719</v>
      </c>
      <c r="AE96" s="254">
        <v>20</v>
      </c>
      <c r="AF96" s="254">
        <v>10</v>
      </c>
      <c r="AG96" s="217">
        <v>5000000</v>
      </c>
      <c r="AH96" s="218">
        <v>300000</v>
      </c>
      <c r="AI96" s="219">
        <v>5000000</v>
      </c>
      <c r="AJ96" s="225">
        <f t="shared" si="330"/>
        <v>300000</v>
      </c>
      <c r="AK96" s="220">
        <v>2750000</v>
      </c>
      <c r="AL96" s="226">
        <f t="shared" si="331"/>
        <v>300000</v>
      </c>
      <c r="AM96" s="221">
        <v>14.407</v>
      </c>
      <c r="BM96" s="197">
        <f t="shared" si="332"/>
        <v>8.8661575317382812</v>
      </c>
      <c r="BN96" s="196">
        <f t="shared" si="333"/>
        <v>180</v>
      </c>
      <c r="BO96" s="197">
        <f t="shared" si="334"/>
        <v>3.0766000747680664</v>
      </c>
      <c r="BP96" s="196">
        <f t="shared" si="294"/>
        <v>12.652155885218029</v>
      </c>
      <c r="BQ96" s="115">
        <f t="shared" si="335"/>
        <v>659.74492511188635</v>
      </c>
      <c r="BR96" s="184">
        <f t="shared" si="336"/>
        <v>1.0041987768</v>
      </c>
      <c r="BS96" s="115">
        <f t="shared" si="337"/>
        <v>6863.8528613899143</v>
      </c>
      <c r="BT96" s="196">
        <v>900</v>
      </c>
      <c r="BU96" s="115">
        <f t="shared" si="424"/>
        <v>1.1850729520000001</v>
      </c>
      <c r="BV96" s="115">
        <f t="shared" si="425"/>
        <v>1.0620739358753368</v>
      </c>
      <c r="BW96" s="115">
        <f t="shared" si="426"/>
        <v>429.76706356022669</v>
      </c>
      <c r="BX96" s="115">
        <f t="shared" si="377"/>
        <v>1033.873951482266</v>
      </c>
      <c r="BY96" s="115"/>
      <c r="BZ96" s="115">
        <f t="shared" si="378"/>
        <v>604.10688792203928</v>
      </c>
      <c r="CA96" s="115">
        <f t="shared" si="379"/>
        <v>9763.3489936221413</v>
      </c>
      <c r="CB96" s="115">
        <f t="shared" si="380"/>
        <v>2409.2432176281386</v>
      </c>
      <c r="CC96" s="115">
        <f t="shared" si="381"/>
        <v>860.0648745366683</v>
      </c>
      <c r="CD96" s="129">
        <f t="shared" si="427"/>
        <v>0.16993315942125636</v>
      </c>
      <c r="CE96" s="115">
        <f t="shared" si="382"/>
        <v>20.506103515625</v>
      </c>
      <c r="CF96" s="115">
        <f t="shared" si="383"/>
        <v>20.214946284080121</v>
      </c>
      <c r="CG96" s="115">
        <f t="shared" si="384"/>
        <v>0.02</v>
      </c>
      <c r="CH96" s="115">
        <f t="shared" si="385"/>
        <v>0.05</v>
      </c>
      <c r="CI96" s="136">
        <v>30</v>
      </c>
      <c r="CJ96" s="115">
        <f t="shared" si="428"/>
        <v>165</v>
      </c>
      <c r="CK96" s="115">
        <f t="shared" si="386"/>
        <v>453</v>
      </c>
      <c r="CL96" s="115">
        <f t="shared" si="387"/>
        <v>623.44534301757812</v>
      </c>
      <c r="CM96" s="115">
        <f t="shared" ca="1" si="388"/>
        <v>2816.5993052117487</v>
      </c>
      <c r="CN96" s="115">
        <f t="shared" ca="1" si="429"/>
        <v>125.80344444444444</v>
      </c>
      <c r="CO96" s="115">
        <f t="shared" ca="1" si="430"/>
        <v>690.58718083896258</v>
      </c>
      <c r="CP96" s="115">
        <f t="shared" ca="1" si="431"/>
        <v>2790.6388281929471</v>
      </c>
      <c r="CQ96" s="115">
        <f t="shared" si="432"/>
        <v>1.072449112508886</v>
      </c>
      <c r="CR96" s="115">
        <f t="shared" ca="1" si="338"/>
        <v>492.51594153783662</v>
      </c>
      <c r="CS96" s="115">
        <f t="shared" ca="1" si="339"/>
        <v>24.445387370918798</v>
      </c>
      <c r="CT96" s="115">
        <f t="shared" si="433"/>
        <v>1.1110132178159648</v>
      </c>
      <c r="CU96" s="115">
        <f t="shared" ca="1" si="434"/>
        <v>1.0114950569000991</v>
      </c>
      <c r="CV96" s="115">
        <f t="shared" si="360"/>
        <v>131.10688792203928</v>
      </c>
      <c r="CW96" s="115">
        <f t="shared" si="435"/>
        <v>473</v>
      </c>
      <c r="CX96" s="115">
        <f t="shared" si="436"/>
        <v>438</v>
      </c>
      <c r="CY96" s="115">
        <f t="shared" ca="1" si="437"/>
        <v>448.55461262908119</v>
      </c>
      <c r="CZ96" s="115">
        <f t="shared" ca="1" si="438"/>
        <v>174.89073038849693</v>
      </c>
      <c r="DA96" s="115">
        <v>0.21890000000000001</v>
      </c>
      <c r="DB96" s="115">
        <v>2.7E-2</v>
      </c>
      <c r="DC96" s="115">
        <v>1.06</v>
      </c>
      <c r="DD96" s="138">
        <f t="shared" si="389"/>
        <v>9.0093395157103711</v>
      </c>
      <c r="DE96" s="138">
        <f t="shared" si="439"/>
        <v>9.0093395157103711</v>
      </c>
      <c r="DF96" s="115">
        <f t="shared" si="440"/>
        <v>623.44534301757812</v>
      </c>
      <c r="DG96" s="115">
        <v>604.10688792203928</v>
      </c>
      <c r="DH96" s="115">
        <f t="shared" si="441"/>
        <v>1.1110132178159648</v>
      </c>
      <c r="DI96" s="115">
        <f t="shared" si="299"/>
        <v>1.1058962232430045</v>
      </c>
      <c r="DJ96" s="138">
        <f t="shared" si="340"/>
        <v>2.2439775110268498</v>
      </c>
      <c r="DK96" s="138">
        <f t="shared" si="341"/>
        <v>2.0228350705926643</v>
      </c>
      <c r="DL96" s="115">
        <f t="shared" si="442"/>
        <v>623.44534301757812</v>
      </c>
      <c r="DM96" s="115">
        <f t="shared" si="471"/>
        <v>604.10688792203928</v>
      </c>
      <c r="DN96" s="115">
        <f t="shared" si="300"/>
        <v>12.767175484174556</v>
      </c>
      <c r="DO96" s="115">
        <f t="shared" si="301"/>
        <v>1.1110132178159648</v>
      </c>
      <c r="DP96" s="115">
        <f t="shared" si="443"/>
        <v>1.1058962232430045</v>
      </c>
      <c r="DQ96" s="115">
        <v>298.14999999999998</v>
      </c>
      <c r="DR96" s="138">
        <f t="shared" si="302"/>
        <v>1.4944890223438818</v>
      </c>
      <c r="DS96" s="138">
        <f t="shared" si="303"/>
        <v>1.3472081570147143</v>
      </c>
      <c r="DT96" s="115">
        <f t="shared" si="444"/>
        <v>623.44534301757812</v>
      </c>
      <c r="DU96" s="139">
        <f t="shared" si="422"/>
        <v>6.4027576752466988</v>
      </c>
      <c r="DV96" s="115">
        <f t="shared" si="445"/>
        <v>1.1110132178159648</v>
      </c>
      <c r="DW96" s="115">
        <v>298.14999999999998</v>
      </c>
      <c r="DX96" s="138">
        <f t="shared" si="342"/>
        <v>0.7494884886829678</v>
      </c>
      <c r="DY96" s="138">
        <f t="shared" si="343"/>
        <v>0.67562691357794968</v>
      </c>
      <c r="DZ96" s="138">
        <f t="shared" si="446"/>
        <v>2.4092432176281386</v>
      </c>
      <c r="EA96" s="138">
        <f t="shared" si="447"/>
        <v>2.899496132232227</v>
      </c>
      <c r="EB96" s="115">
        <f t="shared" si="448"/>
        <v>20.214946284080121</v>
      </c>
      <c r="EC96" s="115">
        <v>30</v>
      </c>
      <c r="ED96" s="198">
        <f t="shared" ca="1" si="449"/>
        <v>125.80344444444444</v>
      </c>
      <c r="EE96" s="198">
        <v>104.83</v>
      </c>
      <c r="EF96" s="198">
        <f t="shared" ca="1" si="450"/>
        <v>0.42491111111111107</v>
      </c>
      <c r="EG96" s="199">
        <v>0.36720000000000003</v>
      </c>
      <c r="EH96" s="138">
        <f t="shared" ca="1" si="304"/>
        <v>7.6147209475421765E-2</v>
      </c>
      <c r="EI96" s="138">
        <f t="shared" ca="1" si="451"/>
        <v>7.6147209475421765E-2</v>
      </c>
      <c r="EJ96" s="115">
        <f t="shared" si="452"/>
        <v>12.767175484174556</v>
      </c>
      <c r="EK96" s="115">
        <v>435</v>
      </c>
      <c r="EL96" s="115">
        <f t="shared" ca="1" si="453"/>
        <v>448.55461262908119</v>
      </c>
      <c r="EM96" s="115">
        <f t="shared" ca="1" si="305"/>
        <v>1.0623365715341975</v>
      </c>
      <c r="EN96" s="115">
        <f t="shared" ca="1" si="306"/>
        <v>1.0665340261344198</v>
      </c>
      <c r="EO96" s="115">
        <v>298.14999999999998</v>
      </c>
      <c r="EP96" s="138">
        <f t="shared" ca="1" si="307"/>
        <v>0.32855158267538515</v>
      </c>
      <c r="EQ96" s="138">
        <f t="shared" ca="1" si="308"/>
        <v>0.38984535768440087</v>
      </c>
      <c r="ER96" s="115">
        <f t="shared" si="454"/>
        <v>0.83051754368676078</v>
      </c>
      <c r="ES96" s="115">
        <f t="shared" si="455"/>
        <v>453</v>
      </c>
      <c r="ET96" s="115">
        <f t="shared" ca="1" si="390"/>
        <v>2816.5993052117487</v>
      </c>
      <c r="EU96" s="115">
        <f t="shared" ca="1" si="391"/>
        <v>6.5855309782608691</v>
      </c>
      <c r="EV96" s="138">
        <f t="shared" ca="1" si="456"/>
        <v>0.71239629243497149</v>
      </c>
      <c r="EW96" s="138">
        <f t="shared" ca="1" si="344"/>
        <v>0.69439366635135569</v>
      </c>
      <c r="EX96" s="115">
        <v>21.47</v>
      </c>
      <c r="EY96" s="115">
        <f t="shared" ca="1" si="392"/>
        <v>117.82770115661621</v>
      </c>
      <c r="EZ96" s="115">
        <f t="shared" ca="1" si="393"/>
        <v>0.39888858108520509</v>
      </c>
      <c r="FA96" s="138">
        <f t="shared" ca="1" si="310"/>
        <v>7.6213147659158181E-2</v>
      </c>
      <c r="FB96" s="138">
        <f t="shared" ca="1" si="457"/>
        <v>7.6213147659158181E-2</v>
      </c>
      <c r="FC96" s="115">
        <f t="shared" si="458"/>
        <v>21.47</v>
      </c>
      <c r="FD96" s="115">
        <v>37</v>
      </c>
      <c r="FE96" s="115">
        <f t="shared" ca="1" si="459"/>
        <v>154.93355555555553</v>
      </c>
      <c r="FF96" s="115">
        <f t="shared" ca="1" si="460"/>
        <v>0.52252222222222222</v>
      </c>
      <c r="FG96" s="138">
        <f t="shared" ca="1" si="461"/>
        <v>8.1462225449999703E-2</v>
      </c>
      <c r="FH96" s="138">
        <f t="shared" ca="1" si="312"/>
        <v>8.1462225449999703E-2</v>
      </c>
      <c r="FI96" s="115">
        <f t="shared" si="462"/>
        <v>97.609052734375013</v>
      </c>
      <c r="FJ96" s="115">
        <f t="shared" ca="1" si="394"/>
        <v>47.151801706526022</v>
      </c>
      <c r="FK96" s="115">
        <f t="shared" ca="1" si="395"/>
        <v>0.16340232342614069</v>
      </c>
      <c r="FL96" s="138">
        <f t="shared" ca="1" si="463"/>
        <v>0.30103402750513536</v>
      </c>
      <c r="FM96" s="138">
        <f t="shared" ca="1" si="345"/>
        <v>0.35532267793021249</v>
      </c>
      <c r="FN96" s="115">
        <f t="shared" si="464"/>
        <v>97.609052734375013</v>
      </c>
      <c r="FO96" s="115">
        <f t="shared" ca="1" si="396"/>
        <v>60.027714863883126</v>
      </c>
      <c r="FP96" s="115">
        <f t="shared" ca="1" si="397"/>
        <v>0.20630380224651759</v>
      </c>
      <c r="FQ96" s="138">
        <f t="shared" ca="1" si="465"/>
        <v>0.30931491082742346</v>
      </c>
      <c r="FR96" s="138">
        <f t="shared" ca="1" si="346"/>
        <v>0.36509694053463798</v>
      </c>
      <c r="FS96" s="139">
        <f t="shared" si="468"/>
        <v>4.3561187870553821</v>
      </c>
      <c r="FT96" s="249">
        <f t="shared" si="316"/>
        <v>4.0870083128854793</v>
      </c>
      <c r="FU96" s="139">
        <f t="shared" ca="1" si="469"/>
        <v>0.52968835670894698</v>
      </c>
      <c r="FV96" s="249">
        <f t="shared" ca="1" si="318"/>
        <v>0.33911634245437949</v>
      </c>
      <c r="FW96" s="139">
        <f t="shared" ca="1" si="466"/>
        <v>0.71542809796641804</v>
      </c>
      <c r="FX96" s="249">
        <f t="shared" ca="1" si="319"/>
        <v>0.69891885116493957</v>
      </c>
      <c r="FY96" s="249">
        <f t="shared" si="398"/>
        <v>0.15000000000000002</v>
      </c>
      <c r="FZ96" s="139">
        <f t="shared" si="399"/>
        <v>1050000</v>
      </c>
      <c r="GA96" s="139">
        <f t="shared" si="320"/>
        <v>3.3757716049382713E-2</v>
      </c>
      <c r="GB96" s="139">
        <f t="shared" si="361"/>
        <v>121.52777777777777</v>
      </c>
      <c r="GC96" s="139">
        <f t="shared" si="400"/>
        <v>1050000</v>
      </c>
      <c r="GD96" s="139">
        <f t="shared" si="362"/>
        <v>6.7515432098765427E-2</v>
      </c>
      <c r="GE96" s="139">
        <f t="shared" si="363"/>
        <v>243.05555555555554</v>
      </c>
      <c r="GF96" s="139">
        <f t="shared" si="364"/>
        <v>4.5814043209876545E-2</v>
      </c>
      <c r="GG96" s="139">
        <f t="shared" si="401"/>
        <v>712500</v>
      </c>
      <c r="GH96" s="139">
        <f t="shared" si="365"/>
        <v>164.93055555555554</v>
      </c>
      <c r="GI96" s="137">
        <f t="shared" si="402"/>
        <v>54.467845126922626</v>
      </c>
      <c r="GJ96" s="137">
        <f t="shared" si="321"/>
        <v>0.19608424245691988</v>
      </c>
      <c r="GK96" s="251">
        <f t="shared" si="403"/>
        <v>46.357118430337039</v>
      </c>
      <c r="GL96" s="137">
        <f t="shared" si="329"/>
        <v>0.166885626349212</v>
      </c>
      <c r="GM96" s="137">
        <f t="shared" ca="1" si="404"/>
        <v>7.500791075926414</v>
      </c>
      <c r="GN96" s="137">
        <f t="shared" ca="1" si="322"/>
        <v>2.7002847873334877E-2</v>
      </c>
      <c r="GO96" s="137">
        <f t="shared" ca="1" si="366"/>
        <v>9.4946722480080445E-2</v>
      </c>
      <c r="GP96" s="137">
        <f t="shared" ca="1" si="405"/>
        <v>7.6436567663646846</v>
      </c>
      <c r="GQ96" s="137">
        <f t="shared" ca="1" si="323"/>
        <v>2.7517164358912646E-2</v>
      </c>
      <c r="GR96" s="137">
        <f t="shared" ca="1" si="406"/>
        <v>9.6755148941324365E-2</v>
      </c>
      <c r="GS96" s="140">
        <f t="shared" si="407"/>
        <v>6.2758603365106899E-2</v>
      </c>
      <c r="GT96" s="140">
        <f t="shared" si="408"/>
        <v>5.8881528763741101E-2</v>
      </c>
      <c r="GU96" s="140">
        <f t="shared" si="467"/>
        <v>225.93097211438484</v>
      </c>
      <c r="GV96" s="140">
        <f t="shared" si="324"/>
        <v>211.97350354946795</v>
      </c>
      <c r="GW96" s="141">
        <f t="shared" ca="1" si="409"/>
        <v>5.0823926233004614E-3</v>
      </c>
      <c r="GX96" s="141">
        <f t="shared" ca="1" si="410"/>
        <v>3.2538423310630032E-3</v>
      </c>
      <c r="GY96" s="141">
        <f t="shared" ca="1" si="325"/>
        <v>18.296613443881661</v>
      </c>
      <c r="GZ96" s="141">
        <f t="shared" ca="1" si="326"/>
        <v>11.713832391826811</v>
      </c>
      <c r="HA96" s="141">
        <f t="shared" ca="1" si="411"/>
        <v>1.2579455900940954E-2</v>
      </c>
      <c r="HB96" s="141">
        <f t="shared" ca="1" si="412"/>
        <v>1.0384592317265665E-2</v>
      </c>
      <c r="HC96" s="141">
        <f t="shared" ca="1" si="470"/>
        <v>45.28604124338743</v>
      </c>
      <c r="HD96" s="141">
        <f t="shared" ca="1" si="328"/>
        <v>37.38453234215639</v>
      </c>
      <c r="HE96" s="137">
        <f t="shared" si="367"/>
        <v>6.7653620046835208</v>
      </c>
      <c r="HF96" s="250">
        <f t="shared" si="368"/>
        <v>6.9865044451177063</v>
      </c>
      <c r="HG96" s="137">
        <v>2.4092432176281386</v>
      </c>
      <c r="HH96" s="251">
        <v>2.4601695711618321</v>
      </c>
      <c r="HI96" s="137">
        <f t="shared" ca="1" si="369"/>
        <v>1.1046436646594811</v>
      </c>
      <c r="HJ96" s="251">
        <f t="shared" ca="1" si="370"/>
        <v>0.95736279933031343</v>
      </c>
      <c r="HK96" s="137">
        <f t="shared" ca="1" si="371"/>
        <v>0.63624908295954974</v>
      </c>
      <c r="HL96" s="251">
        <f t="shared" ca="1" si="372"/>
        <v>0.61824645687593394</v>
      </c>
      <c r="HM96" s="137">
        <f t="shared" ca="1" si="373"/>
        <v>0.71239629243497149</v>
      </c>
      <c r="HN96" s="251">
        <f t="shared" ca="1" si="374"/>
        <v>0.69439366635135569</v>
      </c>
      <c r="HO96" s="137">
        <f t="shared" ca="1" si="375"/>
        <v>0.30103402750513536</v>
      </c>
      <c r="HP96" s="251">
        <f t="shared" ca="1" si="376"/>
        <v>0.35532267793021249</v>
      </c>
      <c r="JN96" s="143">
        <f t="shared" si="413"/>
        <v>19.169933159421255</v>
      </c>
      <c r="JO96" s="143">
        <f t="shared" si="347"/>
        <v>2409.2432176281386</v>
      </c>
      <c r="JP96" s="143">
        <f t="shared" si="414"/>
        <v>2899.496132232227</v>
      </c>
      <c r="JQ96" s="143">
        <f t="shared" si="415"/>
        <v>0.83051754368676078</v>
      </c>
      <c r="JR96" s="143">
        <f t="shared" ca="1" si="348"/>
        <v>0.80952993194081591</v>
      </c>
      <c r="JS96" s="143">
        <f t="shared" si="416"/>
        <v>97.609052734375013</v>
      </c>
      <c r="JT96" s="143">
        <f t="shared" ca="1" si="349"/>
        <v>115.21192569241298</v>
      </c>
      <c r="JU96" s="143">
        <f t="shared" si="423"/>
        <v>0.28346115786096715</v>
      </c>
      <c r="JV96" s="143">
        <f t="shared" si="417"/>
        <v>0.34114219969251797</v>
      </c>
      <c r="JW96" s="143">
        <f t="shared" ca="1" si="418"/>
        <v>0.26233293126693041</v>
      </c>
      <c r="JX96" s="143">
        <f t="shared" ca="1" si="419"/>
        <v>0.25570364119177391</v>
      </c>
      <c r="JY96" s="143">
        <f t="shared" si="420"/>
        <v>0.75051365600806907</v>
      </c>
      <c r="JZ96" s="143">
        <f t="shared" si="421"/>
        <v>0.50522993476366618</v>
      </c>
      <c r="KA96" s="143">
        <f t="shared" si="350"/>
        <v>0.2674161866612898</v>
      </c>
      <c r="KB96" s="143">
        <f t="shared" si="351"/>
        <v>0.321832263860866</v>
      </c>
      <c r="KC96" s="143">
        <f t="shared" ca="1" si="352"/>
        <v>0.54569744594568492</v>
      </c>
      <c r="KD96" s="143">
        <f t="shared" ca="1" si="353"/>
        <v>0.64578073987040718</v>
      </c>
      <c r="KE96" s="143">
        <f t="shared" ca="1" si="354"/>
        <v>0.51170207210735563</v>
      </c>
      <c r="KF96" s="143">
        <f t="shared" ca="1" si="355"/>
        <v>0.42256540453937602</v>
      </c>
      <c r="KG96" s="142">
        <f t="shared" si="356"/>
        <v>0.166885626349212</v>
      </c>
      <c r="KH96" s="142">
        <f t="shared" ca="1" si="357"/>
        <v>9.6755148941324365E-2</v>
      </c>
      <c r="KI96" s="142">
        <f t="shared" ca="1" si="358"/>
        <v>289.51362680165391</v>
      </c>
      <c r="KJ96" s="142">
        <f t="shared" ca="1" si="359"/>
        <v>261.07186828345112</v>
      </c>
    </row>
    <row r="97" spans="1:296" x14ac:dyDescent="0.3">
      <c r="A97" s="201">
        <v>41445</v>
      </c>
      <c r="B97" s="196">
        <v>116</v>
      </c>
      <c r="C97" s="179">
        <v>24</v>
      </c>
      <c r="D97" s="179">
        <v>4.2</v>
      </c>
      <c r="E97" s="179">
        <v>50016</v>
      </c>
      <c r="F97" s="179">
        <v>300</v>
      </c>
      <c r="G97" s="179">
        <v>11.7</v>
      </c>
      <c r="H97" s="179">
        <v>0.85</v>
      </c>
      <c r="I97" s="179">
        <v>1.4</v>
      </c>
      <c r="J97" s="179">
        <v>1.33</v>
      </c>
      <c r="K97" s="179">
        <v>0.91</v>
      </c>
      <c r="L97" s="152">
        <v>20145.841138631105</v>
      </c>
      <c r="M97" s="155">
        <v>19</v>
      </c>
      <c r="N97" s="153">
        <v>57071.530832335353</v>
      </c>
      <c r="O97" s="178">
        <v>17</v>
      </c>
      <c r="P97" s="179">
        <v>2</v>
      </c>
      <c r="Q97" s="179">
        <v>5</v>
      </c>
      <c r="R97" s="154">
        <v>372.32077026367187</v>
      </c>
      <c r="S97" s="155">
        <v>64.320799649460241</v>
      </c>
      <c r="T97" s="152">
        <v>180</v>
      </c>
      <c r="U97" s="156">
        <v>2.9132781028747559</v>
      </c>
      <c r="V97" s="178">
        <v>17</v>
      </c>
      <c r="W97" s="179">
        <v>1250</v>
      </c>
      <c r="X97" s="155">
        <v>64073.501977011561</v>
      </c>
      <c r="Y97" s="155">
        <v>9570.842578612268</v>
      </c>
      <c r="Z97" s="155">
        <v>305.318603515625</v>
      </c>
      <c r="AA97" s="155">
        <v>11.888471603393555</v>
      </c>
      <c r="AB97" s="155">
        <v>15.102356910705566</v>
      </c>
      <c r="AC97" s="215">
        <v>37</v>
      </c>
      <c r="AD97" s="215">
        <v>27.94599723815918</v>
      </c>
      <c r="AE97" s="254">
        <v>20</v>
      </c>
      <c r="AF97" s="254">
        <v>10</v>
      </c>
      <c r="AG97" s="217">
        <v>5000000</v>
      </c>
      <c r="AH97" s="218">
        <v>300000</v>
      </c>
      <c r="AI97" s="219">
        <v>5000000</v>
      </c>
      <c r="AJ97" s="225">
        <f t="shared" si="330"/>
        <v>300000</v>
      </c>
      <c r="AK97" s="220">
        <v>2750000</v>
      </c>
      <c r="AL97" s="226">
        <f t="shared" si="331"/>
        <v>300000</v>
      </c>
      <c r="AM97" s="221">
        <v>14.407</v>
      </c>
      <c r="BM97" s="197">
        <f t="shared" si="332"/>
        <v>9.0540027618408203</v>
      </c>
      <c r="BN97" s="196">
        <f t="shared" si="333"/>
        <v>180</v>
      </c>
      <c r="BO97" s="197">
        <f t="shared" si="334"/>
        <v>3.2138853073120117</v>
      </c>
      <c r="BP97" s="196">
        <f t="shared" ref="BP97:BP122" si="472">0.66*JN97</f>
        <v>12.649462413498274</v>
      </c>
      <c r="BQ97" s="115">
        <f t="shared" si="335"/>
        <v>659.74492511188635</v>
      </c>
      <c r="BR97" s="184">
        <f t="shared" si="336"/>
        <v>1.0041987768</v>
      </c>
      <c r="BS97" s="115">
        <f t="shared" si="337"/>
        <v>6863.8528613899143</v>
      </c>
      <c r="BT97" s="196">
        <v>900</v>
      </c>
      <c r="BU97" s="115">
        <f t="shared" si="424"/>
        <v>1.1850729520000001</v>
      </c>
      <c r="BV97" s="115">
        <f t="shared" si="425"/>
        <v>1.0612042526231149</v>
      </c>
      <c r="BW97" s="115">
        <f t="shared" si="426"/>
        <v>426.06449798060066</v>
      </c>
      <c r="BX97" s="115">
        <f t="shared" si="377"/>
        <v>1024.9668331127968</v>
      </c>
      <c r="BY97" s="115"/>
      <c r="BZ97" s="115">
        <f t="shared" si="378"/>
        <v>598.90233513219619</v>
      </c>
      <c r="CA97" s="115">
        <f t="shared" si="379"/>
        <v>9677.1743857103993</v>
      </c>
      <c r="CB97" s="115">
        <f t="shared" si="380"/>
        <v>2377.9804513473064</v>
      </c>
      <c r="CC97" s="115">
        <f t="shared" si="381"/>
        <v>839.41004744296276</v>
      </c>
      <c r="CD97" s="129">
        <f t="shared" si="427"/>
        <v>0.16585214166405055</v>
      </c>
      <c r="CE97" s="115">
        <f t="shared" si="382"/>
        <v>17.959917853860293</v>
      </c>
      <c r="CF97" s="115">
        <f t="shared" si="383"/>
        <v>17.866888791516736</v>
      </c>
      <c r="CG97" s="115">
        <f t="shared" si="384"/>
        <v>0.02</v>
      </c>
      <c r="CH97" s="115">
        <f t="shared" si="385"/>
        <v>0.05</v>
      </c>
      <c r="CI97" s="136">
        <v>30</v>
      </c>
      <c r="CJ97" s="115">
        <f t="shared" si="428"/>
        <v>165</v>
      </c>
      <c r="CK97" s="115">
        <f t="shared" si="386"/>
        <v>453</v>
      </c>
      <c r="CL97" s="115">
        <f t="shared" si="387"/>
        <v>645.32077026367187</v>
      </c>
      <c r="CM97" s="115">
        <f t="shared" ca="1" si="388"/>
        <v>2816.5993052117487</v>
      </c>
      <c r="CN97" s="115">
        <f t="shared" ca="1" si="429"/>
        <v>125.80344444444444</v>
      </c>
      <c r="CO97" s="115">
        <f t="shared" ca="1" si="430"/>
        <v>690.58718083896258</v>
      </c>
      <c r="CP97" s="115">
        <f t="shared" ca="1" si="431"/>
        <v>2790.6388281929471</v>
      </c>
      <c r="CQ97" s="115">
        <f t="shared" si="432"/>
        <v>1.072449112508886</v>
      </c>
      <c r="CR97" s="115">
        <f t="shared" ca="1" si="338"/>
        <v>479.9001935285653</v>
      </c>
      <c r="CS97" s="115">
        <f t="shared" ca="1" si="339"/>
        <v>23.824293015150342</v>
      </c>
      <c r="CT97" s="115">
        <f t="shared" si="433"/>
        <v>1.1168393408478743</v>
      </c>
      <c r="CU97" s="115">
        <f t="shared" ca="1" si="434"/>
        <v>1.014852658144394</v>
      </c>
      <c r="CV97" s="115">
        <f t="shared" si="360"/>
        <v>125.90233513219619</v>
      </c>
      <c r="CW97" s="115">
        <f t="shared" si="435"/>
        <v>473</v>
      </c>
      <c r="CX97" s="115">
        <f t="shared" si="436"/>
        <v>438</v>
      </c>
      <c r="CY97" s="115">
        <f t="shared" ca="1" si="437"/>
        <v>449.17570698484968</v>
      </c>
      <c r="CZ97" s="115">
        <f t="shared" ca="1" si="438"/>
        <v>196.14506327882219</v>
      </c>
      <c r="DA97" s="115">
        <v>0.21890000000000001</v>
      </c>
      <c r="DB97" s="115">
        <v>2.7E-2</v>
      </c>
      <c r="DC97" s="115">
        <v>1.06</v>
      </c>
      <c r="DD97" s="138">
        <f t="shared" si="389"/>
        <v>8.7929763605173008</v>
      </c>
      <c r="DE97" s="138">
        <f t="shared" si="439"/>
        <v>8.7929763605173008</v>
      </c>
      <c r="DF97" s="115">
        <f t="shared" si="440"/>
        <v>645.32077026367187</v>
      </c>
      <c r="DG97" s="115">
        <v>598.90233513219619</v>
      </c>
      <c r="DH97" s="115">
        <f t="shared" si="441"/>
        <v>1.1168393408478743</v>
      </c>
      <c r="DI97" s="115">
        <f t="shared" si="299"/>
        <v>1.1045251752447764</v>
      </c>
      <c r="DJ97" s="138">
        <f t="shared" si="340"/>
        <v>2.5034213739221562</v>
      </c>
      <c r="DK97" s="138">
        <f t="shared" si="341"/>
        <v>1.9643327982060983</v>
      </c>
      <c r="DL97" s="115">
        <f t="shared" si="442"/>
        <v>645.32077026367187</v>
      </c>
      <c r="DM97" s="115">
        <f t="shared" si="471"/>
        <v>598.90233513219619</v>
      </c>
      <c r="DN97" s="115">
        <f t="shared" si="300"/>
        <v>12.764457526348258</v>
      </c>
      <c r="DO97" s="115">
        <f t="shared" si="301"/>
        <v>1.1168393408478743</v>
      </c>
      <c r="DP97" s="115">
        <f t="shared" si="443"/>
        <v>1.1045251752447764</v>
      </c>
      <c r="DQ97" s="115">
        <v>298.14999999999998</v>
      </c>
      <c r="DR97" s="138">
        <f t="shared" si="302"/>
        <v>1.6672786350321562</v>
      </c>
      <c r="DS97" s="138">
        <f t="shared" si="303"/>
        <v>1.3082456436052614</v>
      </c>
      <c r="DT97" s="115">
        <f t="shared" si="444"/>
        <v>645.32077026367187</v>
      </c>
      <c r="DU97" s="139">
        <f t="shared" si="422"/>
        <v>6.4013946153157928</v>
      </c>
      <c r="DV97" s="115">
        <f t="shared" si="445"/>
        <v>1.1168393408478743</v>
      </c>
      <c r="DW97" s="115">
        <v>298.14999999999998</v>
      </c>
      <c r="DX97" s="138">
        <f t="shared" si="342"/>
        <v>0.83614273889000024</v>
      </c>
      <c r="DY97" s="138">
        <f t="shared" si="343"/>
        <v>0.65608715460083677</v>
      </c>
      <c r="DZ97" s="138">
        <f t="shared" si="446"/>
        <v>2.3779804513473066</v>
      </c>
      <c r="EA97" s="138">
        <f t="shared" si="447"/>
        <v>2.813321524320485</v>
      </c>
      <c r="EB97" s="115">
        <f t="shared" si="448"/>
        <v>17.866888791516736</v>
      </c>
      <c r="EC97" s="115">
        <v>30</v>
      </c>
      <c r="ED97" s="198">
        <f t="shared" ca="1" si="449"/>
        <v>125.80344444444444</v>
      </c>
      <c r="EE97" s="198">
        <v>104.83</v>
      </c>
      <c r="EF97" s="198">
        <f t="shared" ca="1" si="450"/>
        <v>0.42491111111111107</v>
      </c>
      <c r="EG97" s="199">
        <v>0.36720000000000003</v>
      </c>
      <c r="EH97" s="138">
        <f t="shared" ca="1" si="304"/>
        <v>6.7302366494692872E-2</v>
      </c>
      <c r="EI97" s="138">
        <f t="shared" ca="1" si="451"/>
        <v>6.7302366494692872E-2</v>
      </c>
      <c r="EJ97" s="115">
        <f t="shared" si="452"/>
        <v>12.764457526348258</v>
      </c>
      <c r="EK97" s="115">
        <v>435</v>
      </c>
      <c r="EL97" s="115">
        <f t="shared" ca="1" si="453"/>
        <v>449.17570698484968</v>
      </c>
      <c r="EM97" s="115">
        <f t="shared" ca="1" si="305"/>
        <v>1.0622906050681069</v>
      </c>
      <c r="EN97" s="115">
        <f t="shared" ca="1" si="306"/>
        <v>1.0666827824121023</v>
      </c>
      <c r="EO97" s="115">
        <v>298.14999999999998</v>
      </c>
      <c r="EP97" s="138">
        <f t="shared" ca="1" si="307"/>
        <v>0.32846742537531837</v>
      </c>
      <c r="EQ97" s="138">
        <f t="shared" ca="1" si="308"/>
        <v>0.39265619002733476</v>
      </c>
      <c r="ER97" s="115">
        <f t="shared" si="454"/>
        <v>0.80924391746520996</v>
      </c>
      <c r="ES97" s="115">
        <f t="shared" si="455"/>
        <v>453</v>
      </c>
      <c r="ET97" s="115">
        <f t="shared" ca="1" si="390"/>
        <v>2816.5993052117487</v>
      </c>
      <c r="EU97" s="115">
        <f t="shared" ca="1" si="391"/>
        <v>6.5855309782608691</v>
      </c>
      <c r="EV97" s="138">
        <f t="shared" ca="1" si="456"/>
        <v>0.69414833059228198</v>
      </c>
      <c r="EW97" s="138">
        <f t="shared" ca="1" si="344"/>
        <v>0.67018243326115112</v>
      </c>
      <c r="EX97" s="115">
        <v>21.47</v>
      </c>
      <c r="EY97" s="115">
        <f t="shared" ca="1" si="392"/>
        <v>117.04154799694484</v>
      </c>
      <c r="EZ97" s="115">
        <f t="shared" ca="1" si="393"/>
        <v>0.39626918370988634</v>
      </c>
      <c r="FA97" s="138">
        <f t="shared" ca="1" si="310"/>
        <v>7.610193666139288E-2</v>
      </c>
      <c r="FB97" s="138">
        <f t="shared" ca="1" si="457"/>
        <v>7.610193666139288E-2</v>
      </c>
      <c r="FC97" s="115">
        <f t="shared" si="458"/>
        <v>21.47</v>
      </c>
      <c r="FD97" s="115">
        <v>37</v>
      </c>
      <c r="FE97" s="115">
        <f t="shared" ca="1" si="459"/>
        <v>154.93355555555553</v>
      </c>
      <c r="FF97" s="115">
        <f t="shared" ca="1" si="460"/>
        <v>0.52252222222222222</v>
      </c>
      <c r="FG97" s="138">
        <f t="shared" ca="1" si="461"/>
        <v>8.1462225449999703E-2</v>
      </c>
      <c r="FH97" s="138">
        <f t="shared" ca="1" si="312"/>
        <v>8.1462225449999703E-2</v>
      </c>
      <c r="FI97" s="115">
        <f t="shared" si="462"/>
        <v>85.489208984375011</v>
      </c>
      <c r="FJ97" s="115">
        <f t="shared" ca="1" si="394"/>
        <v>49.839019045935743</v>
      </c>
      <c r="FK97" s="115">
        <f t="shared" ca="1" si="395"/>
        <v>0.17235590958065458</v>
      </c>
      <c r="FL97" s="138">
        <f t="shared" ca="1" si="463"/>
        <v>0.2651691122755041</v>
      </c>
      <c r="FM97" s="138">
        <f t="shared" ca="1" si="345"/>
        <v>0.3198715957438687</v>
      </c>
      <c r="FN97" s="115">
        <f t="shared" si="464"/>
        <v>85.489208984375011</v>
      </c>
      <c r="FO97" s="115">
        <f t="shared" ca="1" si="396"/>
        <v>63.289486155403992</v>
      </c>
      <c r="FP97" s="115">
        <f t="shared" ca="1" si="397"/>
        <v>0.21717175469928318</v>
      </c>
      <c r="FQ97" s="138">
        <f t="shared" ca="1" si="465"/>
        <v>0.27274541281289338</v>
      </c>
      <c r="FR97" s="138">
        <f t="shared" ca="1" si="346"/>
        <v>0.32901083267057357</v>
      </c>
      <c r="FS97" s="139">
        <f t="shared" si="468"/>
        <v>3.9115745352478375</v>
      </c>
      <c r="FT97" s="249">
        <f t="shared" si="316"/>
        <v>4.0153220379907175</v>
      </c>
      <c r="FU97" s="139">
        <f t="shared" ca="1" si="469"/>
        <v>0.71196524555924867</v>
      </c>
      <c r="FV97" s="249">
        <f t="shared" ca="1" si="318"/>
        <v>0.31270938681146832</v>
      </c>
      <c r="FW97" s="139">
        <f t="shared" ca="1" si="466"/>
        <v>0.69636434234106448</v>
      </c>
      <c r="FX97" s="249">
        <f t="shared" ca="1" si="319"/>
        <v>0.6739613813992491</v>
      </c>
      <c r="FY97" s="249">
        <f t="shared" si="398"/>
        <v>0.15000000000000002</v>
      </c>
      <c r="FZ97" s="139">
        <f t="shared" si="399"/>
        <v>1050000</v>
      </c>
      <c r="GA97" s="139">
        <f t="shared" si="320"/>
        <v>3.3757716049382713E-2</v>
      </c>
      <c r="GB97" s="139">
        <f t="shared" si="361"/>
        <v>121.52777777777777</v>
      </c>
      <c r="GC97" s="139">
        <f t="shared" si="400"/>
        <v>1050000</v>
      </c>
      <c r="GD97" s="139">
        <f t="shared" si="362"/>
        <v>6.7515432098765427E-2</v>
      </c>
      <c r="GE97" s="139">
        <f t="shared" si="363"/>
        <v>243.05555555555554</v>
      </c>
      <c r="GF97" s="139">
        <f t="shared" si="364"/>
        <v>4.5814043209876545E-2</v>
      </c>
      <c r="GG97" s="139">
        <f t="shared" si="401"/>
        <v>712500</v>
      </c>
      <c r="GH97" s="139">
        <f t="shared" si="365"/>
        <v>164.93055555555554</v>
      </c>
      <c r="GI97" s="137">
        <f t="shared" si="402"/>
        <v>52.301243549244965</v>
      </c>
      <c r="GJ97" s="137">
        <f t="shared" si="321"/>
        <v>0.18828447677728039</v>
      </c>
      <c r="GK97" s="251">
        <f t="shared" si="403"/>
        <v>46.968674824153311</v>
      </c>
      <c r="GL97" s="137">
        <f t="shared" si="329"/>
        <v>0.16908722936695059</v>
      </c>
      <c r="GM97" s="137">
        <f t="shared" ca="1" si="404"/>
        <v>7.2635310179809016</v>
      </c>
      <c r="GN97" s="137">
        <f t="shared" ca="1" si="322"/>
        <v>2.6148711664731039E-2</v>
      </c>
      <c r="GO97" s="137">
        <f t="shared" ca="1" si="366"/>
        <v>9.1943430607352467E-2</v>
      </c>
      <c r="GP97" s="137">
        <f t="shared" ca="1" si="405"/>
        <v>7.4021664314070161</v>
      </c>
      <c r="GQ97" s="137">
        <f t="shared" ca="1" si="323"/>
        <v>2.6647799153065047E-2</v>
      </c>
      <c r="GR97" s="137">
        <f t="shared" ca="1" si="406"/>
        <v>9.3698309258315918E-2</v>
      </c>
      <c r="GS97" s="140">
        <f t="shared" si="407"/>
        <v>5.6354054329315596E-2</v>
      </c>
      <c r="GT97" s="140">
        <f t="shared" si="408"/>
        <v>5.7848744601332262E-2</v>
      </c>
      <c r="GU97" s="140">
        <f t="shared" si="467"/>
        <v>202.87459558553616</v>
      </c>
      <c r="GV97" s="140">
        <f t="shared" si="324"/>
        <v>208.25548056479613</v>
      </c>
      <c r="GW97" s="141">
        <f t="shared" ca="1" si="409"/>
        <v>6.8313506729862144E-3</v>
      </c>
      <c r="GX97" s="141">
        <f t="shared" ca="1" si="410"/>
        <v>3.0004659544380203E-3</v>
      </c>
      <c r="GY97" s="141">
        <f t="shared" ca="1" si="325"/>
        <v>24.592862422750372</v>
      </c>
      <c r="GZ97" s="141">
        <f t="shared" ca="1" si="326"/>
        <v>10.801677435976872</v>
      </c>
      <c r="HA97" s="141">
        <f t="shared" ca="1" si="411"/>
        <v>1.4270619152612728E-2</v>
      </c>
      <c r="HB97" s="141">
        <f t="shared" ca="1" si="412"/>
        <v>9.8209308638450045E-3</v>
      </c>
      <c r="HC97" s="141">
        <f t="shared" ca="1" si="470"/>
        <v>51.374228949405818</v>
      </c>
      <c r="HD97" s="141">
        <f t="shared" ca="1" si="328"/>
        <v>35.355351109842019</v>
      </c>
      <c r="HE97" s="137">
        <f t="shared" si="367"/>
        <v>6.2895549865951441</v>
      </c>
      <c r="HF97" s="250">
        <f t="shared" si="368"/>
        <v>6.8286435623112025</v>
      </c>
      <c r="HG97" s="137">
        <v>2.3779804513473066</v>
      </c>
      <c r="HH97" s="251">
        <v>1.759022718369446</v>
      </c>
      <c r="HI97" s="137">
        <f t="shared" ca="1" si="369"/>
        <v>1.2746224450048214</v>
      </c>
      <c r="HJ97" s="251">
        <f t="shared" ca="1" si="370"/>
        <v>0.91558945357792665</v>
      </c>
      <c r="HK97" s="137">
        <f t="shared" ca="1" si="371"/>
        <v>0.62684596409758908</v>
      </c>
      <c r="HL97" s="251">
        <f t="shared" ca="1" si="372"/>
        <v>0.60288006676645822</v>
      </c>
      <c r="HM97" s="137">
        <f t="shared" ca="1" si="373"/>
        <v>0.69414833059228198</v>
      </c>
      <c r="HN97" s="251">
        <f t="shared" ca="1" si="374"/>
        <v>0.67018243326115112</v>
      </c>
      <c r="HO97" s="137">
        <f t="shared" ca="1" si="375"/>
        <v>0.2651691122755041</v>
      </c>
      <c r="HP97" s="251">
        <f t="shared" ca="1" si="376"/>
        <v>0.3198715957438687</v>
      </c>
      <c r="JN97" s="143">
        <f t="shared" si="413"/>
        <v>19.16585214166405</v>
      </c>
      <c r="JO97" s="143">
        <f t="shared" si="347"/>
        <v>2377.9804513473064</v>
      </c>
      <c r="JP97" s="143">
        <f t="shared" si="414"/>
        <v>2813.321524320485</v>
      </c>
      <c r="JQ97" s="143">
        <f t="shared" si="415"/>
        <v>0.80924391746520996</v>
      </c>
      <c r="JR97" s="143">
        <f t="shared" ca="1" si="348"/>
        <v>0.78130427432688354</v>
      </c>
      <c r="JS97" s="143">
        <f t="shared" si="416"/>
        <v>85.489208984375011</v>
      </c>
      <c r="JT97" s="143">
        <f t="shared" ca="1" si="349"/>
        <v>103.12501883063116</v>
      </c>
      <c r="JU97" s="143">
        <f t="shared" si="423"/>
        <v>0.28666735529354376</v>
      </c>
      <c r="JV97" s="143">
        <f t="shared" si="417"/>
        <v>0.33914805334518972</v>
      </c>
      <c r="JW97" s="143">
        <f t="shared" ca="1" si="418"/>
        <v>0.26188644708472802</v>
      </c>
      <c r="JX97" s="143">
        <f t="shared" ca="1" si="419"/>
        <v>0.25284465669694167</v>
      </c>
      <c r="JY97" s="143">
        <f t="shared" si="420"/>
        <v>0.77838908429704234</v>
      </c>
      <c r="JZ97" s="143">
        <f t="shared" si="421"/>
        <v>0.52263106877668686</v>
      </c>
      <c r="KA97" s="143">
        <f t="shared" si="350"/>
        <v>0.27044090122032438</v>
      </c>
      <c r="KB97" s="143">
        <f t="shared" si="351"/>
        <v>0.31995099372187713</v>
      </c>
      <c r="KC97" s="143">
        <f t="shared" ca="1" si="352"/>
        <v>0.46821087213503487</v>
      </c>
      <c r="KD97" s="143">
        <f t="shared" ca="1" si="353"/>
        <v>0.65846113059792533</v>
      </c>
      <c r="KE97" s="143">
        <f t="shared" ca="1" si="354"/>
        <v>0.47729033151070938</v>
      </c>
      <c r="KF97" s="143">
        <f t="shared" ca="1" si="355"/>
        <v>0.38200641071807895</v>
      </c>
      <c r="KG97" s="142">
        <f t="shared" si="356"/>
        <v>0.16908722936695059</v>
      </c>
      <c r="KH97" s="142">
        <f t="shared" ca="1" si="357"/>
        <v>9.3698309258315918E-2</v>
      </c>
      <c r="KI97" s="142">
        <f t="shared" ca="1" si="358"/>
        <v>278.84168695769233</v>
      </c>
      <c r="KJ97" s="142">
        <f t="shared" ca="1" si="359"/>
        <v>254.41250911061502</v>
      </c>
    </row>
    <row r="98" spans="1:296" x14ac:dyDescent="0.3">
      <c r="A98" s="201">
        <v>41446</v>
      </c>
      <c r="B98" s="196">
        <v>117</v>
      </c>
      <c r="C98" s="179">
        <v>24</v>
      </c>
      <c r="D98" s="179">
        <v>4.2</v>
      </c>
      <c r="E98" s="179">
        <v>50016</v>
      </c>
      <c r="F98" s="179">
        <v>300</v>
      </c>
      <c r="G98" s="179">
        <v>11.7</v>
      </c>
      <c r="H98" s="179">
        <v>0.85</v>
      </c>
      <c r="I98" s="179">
        <v>1.4</v>
      </c>
      <c r="J98" s="179">
        <v>1.33</v>
      </c>
      <c r="K98" s="179">
        <v>0.91</v>
      </c>
      <c r="L98" s="152">
        <v>20883.370767593384</v>
      </c>
      <c r="M98" s="155">
        <v>19</v>
      </c>
      <c r="N98" s="153">
        <v>58624.765555605292</v>
      </c>
      <c r="O98" s="178">
        <v>17</v>
      </c>
      <c r="P98" s="179">
        <v>2</v>
      </c>
      <c r="Q98" s="179">
        <v>5</v>
      </c>
      <c r="R98" s="154">
        <v>353.564697265625</v>
      </c>
      <c r="S98" s="155">
        <v>68.964521847898141</v>
      </c>
      <c r="T98" s="152">
        <v>180</v>
      </c>
      <c r="U98" s="156">
        <v>2.7236983776092529</v>
      </c>
      <c r="V98" s="178">
        <v>17</v>
      </c>
      <c r="W98" s="179">
        <v>1250</v>
      </c>
      <c r="X98" s="155">
        <v>73437.766123011708</v>
      </c>
      <c r="Y98" s="155">
        <v>10992.459267450497</v>
      </c>
      <c r="Z98" s="155">
        <v>337.3323974609375</v>
      </c>
      <c r="AA98" s="155">
        <v>11.829477310180664</v>
      </c>
      <c r="AB98" s="155">
        <v>15.406148910522461</v>
      </c>
      <c r="AC98" s="215">
        <v>37</v>
      </c>
      <c r="AD98" s="215">
        <v>28.470434188842773</v>
      </c>
      <c r="AE98" s="254">
        <v>20</v>
      </c>
      <c r="AF98" s="254">
        <v>10</v>
      </c>
      <c r="AG98" s="217">
        <v>5000000</v>
      </c>
      <c r="AH98" s="218">
        <v>300000</v>
      </c>
      <c r="AI98" s="219">
        <v>5000000</v>
      </c>
      <c r="AJ98" s="225">
        <f t="shared" si="330"/>
        <v>300000</v>
      </c>
      <c r="AK98" s="220">
        <v>2750000</v>
      </c>
      <c r="AL98" s="226">
        <f t="shared" si="331"/>
        <v>300000</v>
      </c>
      <c r="AM98" s="221">
        <v>14.407</v>
      </c>
      <c r="BM98" s="197">
        <f t="shared" si="332"/>
        <v>8.5295658111572266</v>
      </c>
      <c r="BN98" s="196">
        <f t="shared" si="333"/>
        <v>180</v>
      </c>
      <c r="BO98" s="197">
        <f t="shared" si="334"/>
        <v>3.5766716003417969</v>
      </c>
      <c r="BP98" s="196">
        <f t="shared" si="472"/>
        <v>12.653469780212681</v>
      </c>
      <c r="BQ98" s="115">
        <f t="shared" si="335"/>
        <v>659.74492511188635</v>
      </c>
      <c r="BR98" s="184">
        <f t="shared" si="336"/>
        <v>1.0041987768</v>
      </c>
      <c r="BS98" s="115">
        <f t="shared" si="337"/>
        <v>6863.8528613899143</v>
      </c>
      <c r="BT98" s="196">
        <v>900</v>
      </c>
      <c r="BU98" s="115">
        <f t="shared" si="424"/>
        <v>1.1850729520000001</v>
      </c>
      <c r="BV98" s="115">
        <f t="shared" si="425"/>
        <v>1.0624991696613546</v>
      </c>
      <c r="BW98" s="115">
        <f t="shared" si="426"/>
        <v>431.57262983562327</v>
      </c>
      <c r="BX98" s="115">
        <f t="shared" si="377"/>
        <v>1038.2175322218957</v>
      </c>
      <c r="BY98" s="115"/>
      <c r="BZ98" s="115">
        <f t="shared" si="378"/>
        <v>606.64490238627241</v>
      </c>
      <c r="CA98" s="115">
        <f t="shared" si="379"/>
        <v>9805.3855909143476</v>
      </c>
      <c r="CB98" s="115">
        <f t="shared" si="380"/>
        <v>2442.698564816887</v>
      </c>
      <c r="CC98" s="115">
        <f t="shared" si="381"/>
        <v>870.14044864972436</v>
      </c>
      <c r="CD98" s="129">
        <f t="shared" si="427"/>
        <v>0.17192390941315322</v>
      </c>
      <c r="CE98" s="115">
        <f t="shared" si="382"/>
        <v>19.843082203584558</v>
      </c>
      <c r="CF98" s="115">
        <f t="shared" si="383"/>
        <v>19.15681162441615</v>
      </c>
      <c r="CG98" s="115">
        <f t="shared" si="384"/>
        <v>0.02</v>
      </c>
      <c r="CH98" s="115">
        <f t="shared" si="385"/>
        <v>0.05</v>
      </c>
      <c r="CI98" s="136">
        <v>30</v>
      </c>
      <c r="CJ98" s="115">
        <f t="shared" si="428"/>
        <v>165</v>
      </c>
      <c r="CK98" s="115">
        <f t="shared" si="386"/>
        <v>453</v>
      </c>
      <c r="CL98" s="115">
        <f t="shared" si="387"/>
        <v>626.564697265625</v>
      </c>
      <c r="CM98" s="115">
        <f t="shared" ca="1" si="388"/>
        <v>2816.5993052117487</v>
      </c>
      <c r="CN98" s="115">
        <f t="shared" ca="1" si="429"/>
        <v>125.80344444444444</v>
      </c>
      <c r="CO98" s="115">
        <f t="shared" ca="1" si="430"/>
        <v>690.58718083896258</v>
      </c>
      <c r="CP98" s="115">
        <f t="shared" ca="1" si="431"/>
        <v>2790.6388281929471</v>
      </c>
      <c r="CQ98" s="115">
        <f t="shared" si="432"/>
        <v>1.072449112508886</v>
      </c>
      <c r="CR98" s="115">
        <f t="shared" ca="1" si="338"/>
        <v>448.67099273437037</v>
      </c>
      <c r="CS98" s="115">
        <f t="shared" ca="1" si="339"/>
        <v>22.266888073818286</v>
      </c>
      <c r="CT98" s="115">
        <f t="shared" si="433"/>
        <v>1.1118417064575064</v>
      </c>
      <c r="CU98" s="115">
        <f t="shared" ca="1" si="434"/>
        <v>1.0116397809881295</v>
      </c>
      <c r="CV98" s="115">
        <f t="shared" si="360"/>
        <v>133.64490238627241</v>
      </c>
      <c r="CW98" s="115">
        <f t="shared" si="435"/>
        <v>473</v>
      </c>
      <c r="CX98" s="115">
        <f t="shared" si="436"/>
        <v>438</v>
      </c>
      <c r="CY98" s="115">
        <f t="shared" ca="1" si="437"/>
        <v>450.73311192618172</v>
      </c>
      <c r="CZ98" s="115">
        <f t="shared" ca="1" si="438"/>
        <v>175.83158533944328</v>
      </c>
      <c r="DA98" s="115">
        <v>0.21890000000000001</v>
      </c>
      <c r="DB98" s="115">
        <v>2.7E-2</v>
      </c>
      <c r="DC98" s="115">
        <v>1.06</v>
      </c>
      <c r="DD98" s="138">
        <f t="shared" si="389"/>
        <v>9.1148830284007669</v>
      </c>
      <c r="DE98" s="138">
        <f t="shared" si="439"/>
        <v>9.1148830284007669</v>
      </c>
      <c r="DF98" s="115">
        <f t="shared" si="440"/>
        <v>626.564697265625</v>
      </c>
      <c r="DG98" s="115">
        <v>606.64490238627241</v>
      </c>
      <c r="DH98" s="115">
        <f t="shared" si="441"/>
        <v>1.1118417064575064</v>
      </c>
      <c r="DI98" s="115">
        <f t="shared" si="299"/>
        <v>1.1065657954498858</v>
      </c>
      <c r="DJ98" s="138">
        <f t="shared" si="340"/>
        <v>2.2806572248872659</v>
      </c>
      <c r="DK98" s="138">
        <f t="shared" si="341"/>
        <v>2.0515955654286642</v>
      </c>
      <c r="DL98" s="115">
        <f t="shared" si="442"/>
        <v>626.564697265625</v>
      </c>
      <c r="DM98" s="115">
        <f t="shared" si="471"/>
        <v>606.64490238627241</v>
      </c>
      <c r="DN98" s="115">
        <f t="shared" si="300"/>
        <v>12.76850132366916</v>
      </c>
      <c r="DO98" s="115">
        <f t="shared" si="301"/>
        <v>1.1118417064575064</v>
      </c>
      <c r="DP98" s="115">
        <f t="shared" si="443"/>
        <v>1.1065657954498858</v>
      </c>
      <c r="DQ98" s="115">
        <v>298.14999999999998</v>
      </c>
      <c r="DR98" s="138">
        <f t="shared" si="302"/>
        <v>1.5189177117749189</v>
      </c>
      <c r="DS98" s="138">
        <f t="shared" si="303"/>
        <v>1.3663626465754901</v>
      </c>
      <c r="DT98" s="115">
        <f t="shared" si="444"/>
        <v>626.564697265625</v>
      </c>
      <c r="DU98" s="139">
        <f t="shared" si="422"/>
        <v>6.4034225857439928</v>
      </c>
      <c r="DV98" s="115">
        <f t="shared" si="445"/>
        <v>1.1118417064575064</v>
      </c>
      <c r="DW98" s="115">
        <v>298.14999999999998</v>
      </c>
      <c r="DX98" s="138">
        <f t="shared" si="342"/>
        <v>0.76173951311234667</v>
      </c>
      <c r="DY98" s="138">
        <f t="shared" si="343"/>
        <v>0.68523291885317361</v>
      </c>
      <c r="DZ98" s="138">
        <f t="shared" si="446"/>
        <v>2.4426985648168871</v>
      </c>
      <c r="EA98" s="138">
        <f t="shared" si="447"/>
        <v>2.9415327295244333</v>
      </c>
      <c r="EB98" s="115">
        <f t="shared" si="448"/>
        <v>19.15681162441615</v>
      </c>
      <c r="EC98" s="115">
        <v>30</v>
      </c>
      <c r="ED98" s="198">
        <f t="shared" ca="1" si="449"/>
        <v>125.80344444444444</v>
      </c>
      <c r="EE98" s="198">
        <v>104.83</v>
      </c>
      <c r="EF98" s="198">
        <f t="shared" ca="1" si="450"/>
        <v>0.42491111111111107</v>
      </c>
      <c r="EG98" s="199">
        <v>0.36720000000000003</v>
      </c>
      <c r="EH98" s="138">
        <f t="shared" ca="1" si="304"/>
        <v>7.2161346715742272E-2</v>
      </c>
      <c r="EI98" s="138">
        <f t="shared" ca="1" si="451"/>
        <v>7.2161346715742272E-2</v>
      </c>
      <c r="EJ98" s="115">
        <f t="shared" si="452"/>
        <v>12.76850132366916</v>
      </c>
      <c r="EK98" s="115">
        <v>435</v>
      </c>
      <c r="EL98" s="115">
        <f t="shared" ca="1" si="453"/>
        <v>450.73311192618172</v>
      </c>
      <c r="EM98" s="115">
        <f t="shared" ca="1" si="305"/>
        <v>1.062174783170575</v>
      </c>
      <c r="EN98" s="115">
        <f t="shared" ca="1" si="306"/>
        <v>1.0670561516286425</v>
      </c>
      <c r="EO98" s="115">
        <v>298.14999999999998</v>
      </c>
      <c r="EP98" s="138">
        <f t="shared" ca="1" si="307"/>
        <v>0.32853566003960644</v>
      </c>
      <c r="EQ98" s="138">
        <f t="shared" ca="1" si="308"/>
        <v>0.40007692675512851</v>
      </c>
      <c r="ER98" s="115">
        <f t="shared" si="454"/>
        <v>0.75658288266923701</v>
      </c>
      <c r="ES98" s="115">
        <f t="shared" si="455"/>
        <v>453</v>
      </c>
      <c r="ET98" s="115">
        <f t="shared" ca="1" si="390"/>
        <v>2816.5993052117487</v>
      </c>
      <c r="EU98" s="115">
        <f t="shared" ca="1" si="391"/>
        <v>6.5855309782608691</v>
      </c>
      <c r="EV98" s="138">
        <f t="shared" ca="1" si="456"/>
        <v>0.64897706813116096</v>
      </c>
      <c r="EW98" s="138">
        <f t="shared" ca="1" si="344"/>
        <v>0.70843738861144379</v>
      </c>
      <c r="EX98" s="115">
        <v>21.47</v>
      </c>
      <c r="EY98" s="115">
        <f t="shared" ca="1" si="392"/>
        <v>119.23637490632798</v>
      </c>
      <c r="EZ98" s="115">
        <f t="shared" ca="1" si="393"/>
        <v>0.40358216563330757</v>
      </c>
      <c r="FA98" s="138">
        <f t="shared" ca="1" si="310"/>
        <v>7.6412421822600121E-2</v>
      </c>
      <c r="FB98" s="138">
        <f t="shared" ca="1" si="457"/>
        <v>7.6412421822600121E-2</v>
      </c>
      <c r="FC98" s="115">
        <f t="shared" si="458"/>
        <v>21.47</v>
      </c>
      <c r="FD98" s="115">
        <v>37</v>
      </c>
      <c r="FE98" s="115">
        <f t="shared" ca="1" si="459"/>
        <v>154.93355555555553</v>
      </c>
      <c r="FF98" s="115">
        <f t="shared" ca="1" si="460"/>
        <v>0.52252222222222222</v>
      </c>
      <c r="FG98" s="138">
        <f t="shared" ca="1" si="461"/>
        <v>8.1462225449999703E-2</v>
      </c>
      <c r="FH98" s="138">
        <f t="shared" ca="1" si="312"/>
        <v>8.1462225449999703E-2</v>
      </c>
      <c r="FI98" s="115">
        <f t="shared" si="462"/>
        <v>94.453071289062507</v>
      </c>
      <c r="FJ98" s="115">
        <f t="shared" ca="1" si="394"/>
        <v>49.592121373918332</v>
      </c>
      <c r="FK98" s="115">
        <f t="shared" ca="1" si="395"/>
        <v>0.17153326693640816</v>
      </c>
      <c r="FL98" s="138">
        <f t="shared" ca="1" si="463"/>
        <v>0.29281942916928405</v>
      </c>
      <c r="FM98" s="138">
        <f t="shared" ca="1" si="345"/>
        <v>0.32305125913854904</v>
      </c>
      <c r="FN98" s="115">
        <f t="shared" si="464"/>
        <v>94.453071289062507</v>
      </c>
      <c r="FO98" s="115">
        <f t="shared" ca="1" si="396"/>
        <v>64.560889429304339</v>
      </c>
      <c r="FP98" s="115">
        <f t="shared" ca="1" si="397"/>
        <v>0.22140796536339655</v>
      </c>
      <c r="FQ98" s="138">
        <f t="shared" ca="1" si="465"/>
        <v>0.30213502572583456</v>
      </c>
      <c r="FR98" s="138">
        <f t="shared" ca="1" si="346"/>
        <v>0.33332863453593281</v>
      </c>
      <c r="FS98" s="139">
        <f t="shared" si="468"/>
        <v>4.3915272386966144</v>
      </c>
      <c r="FT98" s="249">
        <f t="shared" si="316"/>
        <v>4.121754733447669</v>
      </c>
      <c r="FU98" s="139">
        <f t="shared" ca="1" si="469"/>
        <v>0.61356633031989372</v>
      </c>
      <c r="FV98" s="249">
        <f t="shared" ca="1" si="318"/>
        <v>0.33000967792465996</v>
      </c>
      <c r="FW98" s="139">
        <f t="shared" ca="1" si="466"/>
        <v>0.65324286106031182</v>
      </c>
      <c r="FX98" s="249">
        <f t="shared" ca="1" si="319"/>
        <v>0.71366496038142802</v>
      </c>
      <c r="FY98" s="249">
        <f t="shared" si="398"/>
        <v>0.15000000000000002</v>
      </c>
      <c r="FZ98" s="139">
        <f t="shared" si="399"/>
        <v>1050000</v>
      </c>
      <c r="GA98" s="139">
        <f t="shared" si="320"/>
        <v>3.3757716049382713E-2</v>
      </c>
      <c r="GB98" s="139">
        <f t="shared" si="361"/>
        <v>121.52777777777777</v>
      </c>
      <c r="GC98" s="139">
        <f t="shared" si="400"/>
        <v>1050000</v>
      </c>
      <c r="GD98" s="139">
        <f t="shared" si="362"/>
        <v>6.7515432098765427E-2</v>
      </c>
      <c r="GE98" s="139">
        <f t="shared" si="363"/>
        <v>243.05555555555554</v>
      </c>
      <c r="GF98" s="139">
        <f t="shared" si="364"/>
        <v>4.5814043209876545E-2</v>
      </c>
      <c r="GG98" s="139">
        <f t="shared" si="401"/>
        <v>712500</v>
      </c>
      <c r="GH98" s="139">
        <f t="shared" si="365"/>
        <v>164.93055555555554</v>
      </c>
      <c r="GI98" s="137">
        <f t="shared" si="402"/>
        <v>54.128007894626691</v>
      </c>
      <c r="GJ98" s="137">
        <f t="shared" si="321"/>
        <v>0.19486082842065452</v>
      </c>
      <c r="GK98" s="251">
        <f t="shared" si="403"/>
        <v>46.070709045053356</v>
      </c>
      <c r="GL98" s="137">
        <f t="shared" si="329"/>
        <v>0.16585455256219075</v>
      </c>
      <c r="GM98" s="137">
        <f t="shared" ca="1" si="404"/>
        <v>7.5377844331020931</v>
      </c>
      <c r="GN98" s="137">
        <f t="shared" ca="1" si="322"/>
        <v>2.7136023959167321E-2</v>
      </c>
      <c r="GO98" s="137">
        <f t="shared" ca="1" si="366"/>
        <v>9.5414992824076381E-2</v>
      </c>
      <c r="GP98" s="137">
        <f t="shared" ca="1" si="405"/>
        <v>7.6172043810334467</v>
      </c>
      <c r="GQ98" s="137">
        <f t="shared" ca="1" si="323"/>
        <v>2.7421935771720189E-2</v>
      </c>
      <c r="GR98" s="137">
        <f t="shared" ca="1" si="406"/>
        <v>9.6420308620675771E-2</v>
      </c>
      <c r="GS98" s="140">
        <f t="shared" si="407"/>
        <v>6.3268732927902124E-2</v>
      </c>
      <c r="GT98" s="140">
        <f t="shared" si="408"/>
        <v>5.938212044478057E-2</v>
      </c>
      <c r="GU98" s="140">
        <f t="shared" si="467"/>
        <v>227.76743854044764</v>
      </c>
      <c r="GV98" s="140">
        <f t="shared" si="324"/>
        <v>213.77563360121005</v>
      </c>
      <c r="GW98" s="141">
        <f t="shared" ca="1" si="409"/>
        <v>5.8872069805318587E-3</v>
      </c>
      <c r="GX98" s="141">
        <f t="shared" ca="1" si="410"/>
        <v>3.1664633202871432E-3</v>
      </c>
      <c r="GY98" s="141">
        <f t="shared" ca="1" si="325"/>
        <v>21.193945129914692</v>
      </c>
      <c r="GZ98" s="141">
        <f t="shared" ca="1" si="326"/>
        <v>11.399267953033716</v>
      </c>
      <c r="HA98" s="141">
        <f t="shared" ca="1" si="411"/>
        <v>1.2935158029238525E-2</v>
      </c>
      <c r="HB98" s="141">
        <f t="shared" ca="1" si="412"/>
        <v>1.039925314490352E-2</v>
      </c>
      <c r="HC98" s="141">
        <f t="shared" ca="1" si="470"/>
        <v>46.566568905258691</v>
      </c>
      <c r="HD98" s="141">
        <f t="shared" ca="1" si="328"/>
        <v>37.437311321652672</v>
      </c>
      <c r="HE98" s="137">
        <f t="shared" si="367"/>
        <v>6.8342258035135011</v>
      </c>
      <c r="HF98" s="250">
        <f t="shared" si="368"/>
        <v>7.0632874629721023</v>
      </c>
      <c r="HG98" s="137">
        <v>2.4426985648168871</v>
      </c>
      <c r="HH98" s="251">
        <v>2.4889524309119682</v>
      </c>
      <c r="HI98" s="137">
        <f t="shared" ca="1" si="369"/>
        <v>1.1188407850197903</v>
      </c>
      <c r="HJ98" s="251">
        <f t="shared" ca="1" si="370"/>
        <v>0.9662857198203616</v>
      </c>
      <c r="HK98" s="137">
        <f t="shared" ca="1" si="371"/>
        <v>0.5768157214154187</v>
      </c>
      <c r="HL98" s="251">
        <f t="shared" ca="1" si="372"/>
        <v>0.63627604189570153</v>
      </c>
      <c r="HM98" s="137">
        <f t="shared" ca="1" si="373"/>
        <v>0.64897706813116096</v>
      </c>
      <c r="HN98" s="251">
        <f t="shared" ca="1" si="374"/>
        <v>0.70843738861144379</v>
      </c>
      <c r="HO98" s="137">
        <f t="shared" ca="1" si="375"/>
        <v>0.29281942916928405</v>
      </c>
      <c r="HP98" s="251">
        <f t="shared" ca="1" si="376"/>
        <v>0.32305125913854904</v>
      </c>
      <c r="JN98" s="143">
        <f t="shared" si="413"/>
        <v>19.171923909413152</v>
      </c>
      <c r="JO98" s="143">
        <f t="shared" si="347"/>
        <v>2442.698564816887</v>
      </c>
      <c r="JP98" s="143">
        <f t="shared" si="414"/>
        <v>2941.5327295244333</v>
      </c>
      <c r="JQ98" s="143">
        <f t="shared" si="415"/>
        <v>0.75658288266923701</v>
      </c>
      <c r="JR98" s="143">
        <f t="shared" ca="1" si="348"/>
        <v>0.82590222056657703</v>
      </c>
      <c r="JS98" s="143">
        <f t="shared" si="416"/>
        <v>94.453071289062507</v>
      </c>
      <c r="JT98" s="143">
        <f t="shared" ca="1" si="349"/>
        <v>104.20477799577489</v>
      </c>
      <c r="JU98" s="143">
        <f t="shared" si="423"/>
        <v>0.28406952350766412</v>
      </c>
      <c r="JV98" s="143">
        <f t="shared" si="417"/>
        <v>0.34208060417018493</v>
      </c>
      <c r="JW98" s="143">
        <f t="shared" ca="1" si="418"/>
        <v>0.23621831743373131</v>
      </c>
      <c r="JX98" s="143">
        <f t="shared" ca="1" si="419"/>
        <v>0.25786101876733858</v>
      </c>
      <c r="JY98" s="143">
        <f t="shared" si="420"/>
        <v>0.78001047056626649</v>
      </c>
      <c r="JZ98" s="143">
        <f t="shared" si="421"/>
        <v>0.68791813226013232</v>
      </c>
      <c r="KA98" s="143">
        <f t="shared" si="350"/>
        <v>0.26799011651666427</v>
      </c>
      <c r="KB98" s="143">
        <f t="shared" si="351"/>
        <v>0.32271755110394806</v>
      </c>
      <c r="KC98" s="143">
        <f t="shared" ca="1" si="352"/>
        <v>0.4845635235969406</v>
      </c>
      <c r="KD98" s="143">
        <f t="shared" ca="1" si="353"/>
        <v>0.65847608926062684</v>
      </c>
      <c r="KE98" s="143">
        <f t="shared" ca="1" si="354"/>
        <v>0.45600537793712176</v>
      </c>
      <c r="KF98" s="143">
        <f t="shared" ca="1" si="355"/>
        <v>0.4512015039491411</v>
      </c>
      <c r="KG98" s="142">
        <f t="shared" si="356"/>
        <v>0.16585455256219075</v>
      </c>
      <c r="KH98" s="142">
        <f t="shared" ca="1" si="357"/>
        <v>9.6420308620675771E-2</v>
      </c>
      <c r="KI98" s="142">
        <f t="shared" ca="1" si="358"/>
        <v>295.52795257562104</v>
      </c>
      <c r="KJ98" s="142">
        <f t="shared" ca="1" si="359"/>
        <v>262.61221287589643</v>
      </c>
    </row>
    <row r="99" spans="1:296" x14ac:dyDescent="0.3">
      <c r="A99" s="201">
        <v>41448</v>
      </c>
      <c r="B99" s="196">
        <v>118</v>
      </c>
      <c r="C99" s="179">
        <v>24</v>
      </c>
      <c r="D99" s="179">
        <v>4.2</v>
      </c>
      <c r="E99" s="179">
        <v>50016</v>
      </c>
      <c r="F99" s="179">
        <v>300</v>
      </c>
      <c r="G99" s="179">
        <v>11.7</v>
      </c>
      <c r="H99" s="179">
        <v>0.85</v>
      </c>
      <c r="I99" s="179">
        <v>1.4</v>
      </c>
      <c r="J99" s="179">
        <v>1.33</v>
      </c>
      <c r="K99" s="179">
        <v>0.91</v>
      </c>
      <c r="L99" s="152">
        <v>24737.931218788028</v>
      </c>
      <c r="M99" s="155">
        <v>19</v>
      </c>
      <c r="N99" s="153">
        <v>69345.016109123826</v>
      </c>
      <c r="O99" s="178">
        <v>17</v>
      </c>
      <c r="P99" s="179">
        <v>2</v>
      </c>
      <c r="Q99" s="179">
        <v>5</v>
      </c>
      <c r="R99" s="154">
        <v>288.83157348632812</v>
      </c>
      <c r="S99" s="155">
        <v>34.194623019662686</v>
      </c>
      <c r="T99" s="152">
        <v>180</v>
      </c>
      <c r="U99" s="156">
        <v>1.4191937446594238</v>
      </c>
      <c r="V99" s="178">
        <v>17</v>
      </c>
      <c r="W99" s="179">
        <v>1250</v>
      </c>
      <c r="X99" s="155">
        <v>43923.493500694633</v>
      </c>
      <c r="Y99" s="155">
        <v>5824.7837594356388</v>
      </c>
      <c r="Z99" s="155">
        <v>291.4285888671875</v>
      </c>
      <c r="AA99" s="155">
        <v>11.297213554382324</v>
      </c>
      <c r="AB99" s="155">
        <v>13.972068786621094</v>
      </c>
      <c r="AC99" s="215">
        <v>37</v>
      </c>
      <c r="AD99" s="215">
        <v>27.850246429443359</v>
      </c>
      <c r="AE99" s="254">
        <v>20</v>
      </c>
      <c r="AF99" s="254">
        <v>10</v>
      </c>
      <c r="AG99" s="217">
        <v>5000000</v>
      </c>
      <c r="AH99" s="218">
        <v>300000</v>
      </c>
      <c r="AI99" s="219">
        <v>5000000</v>
      </c>
      <c r="AJ99" s="225">
        <f t="shared" ref="AJ99:AJ122" si="473">AH99</f>
        <v>300000</v>
      </c>
      <c r="AK99" s="220">
        <v>2750000</v>
      </c>
      <c r="AL99" s="226">
        <f t="shared" ref="AL99:AL122" si="474">AH99</f>
        <v>300000</v>
      </c>
      <c r="AM99" s="221">
        <v>14.407</v>
      </c>
      <c r="BM99" s="197">
        <f t="shared" ref="BM99:BM122" si="475">37-AD99</f>
        <v>9.1497535705566406</v>
      </c>
      <c r="BN99" s="196">
        <f t="shared" ref="BN99:BN122" si="476">T99</f>
        <v>180</v>
      </c>
      <c r="BO99" s="197">
        <f t="shared" ref="BO99:BO122" si="477">AB99-AA99</f>
        <v>2.6748552322387695</v>
      </c>
      <c r="BP99" s="196">
        <f t="shared" si="472"/>
        <v>12.67441353168274</v>
      </c>
      <c r="BQ99" s="115">
        <f t="shared" ref="BQ99:BQ122" si="478">(F99/H99)*((G99)^((I99-1)/I99)-1)+F99</f>
        <v>659.74492511188635</v>
      </c>
      <c r="BR99" s="184">
        <f t="shared" ref="BR99:BR122" si="479">1.04841-((3.8371*F99)/10^4)+((9.4537*F99^2)/10^7)-((5.49031*F99^3)/(10^10))+((7.9298*F99^4)/(10^14))</f>
        <v>1.0041987768</v>
      </c>
      <c r="BS99" s="115">
        <f t="shared" ref="BS99:BS122" si="480">M99*BR99*(BQ99-F99)</f>
        <v>6863.8528613899143</v>
      </c>
      <c r="BT99" s="196">
        <v>900</v>
      </c>
      <c r="BU99" s="115">
        <f t="shared" si="424"/>
        <v>1.1850729520000001</v>
      </c>
      <c r="BV99" s="115">
        <f t="shared" si="425"/>
        <v>1.0693616147183787</v>
      </c>
      <c r="BW99" s="115">
        <f t="shared" si="426"/>
        <v>460.30317806065136</v>
      </c>
      <c r="BX99" s="115">
        <f t="shared" si="377"/>
        <v>1107.3334974510437</v>
      </c>
      <c r="BY99" s="115"/>
      <c r="BZ99" s="115">
        <f t="shared" si="378"/>
        <v>647.03031939039238</v>
      </c>
      <c r="CA99" s="115">
        <f t="shared" si="379"/>
        <v>10475.45743829827</v>
      </c>
      <c r="CB99" s="115">
        <f t="shared" si="380"/>
        <v>2889.3756712134928</v>
      </c>
      <c r="CC99" s="115">
        <f t="shared" si="381"/>
        <v>1030.7471341161679</v>
      </c>
      <c r="CD99" s="129">
        <f t="shared" si="427"/>
        <v>0.20365686618596832</v>
      </c>
      <c r="CE99" s="115">
        <f t="shared" si="382"/>
        <v>17.142858168658087</v>
      </c>
      <c r="CF99" s="115">
        <f t="shared" si="383"/>
        <v>9.4985063943507466</v>
      </c>
      <c r="CG99" s="115">
        <f t="shared" si="384"/>
        <v>0.02</v>
      </c>
      <c r="CH99" s="115">
        <f t="shared" si="385"/>
        <v>0.05</v>
      </c>
      <c r="CI99" s="136">
        <v>30</v>
      </c>
      <c r="CJ99" s="115">
        <f t="shared" si="428"/>
        <v>165</v>
      </c>
      <c r="CK99" s="115">
        <f t="shared" si="386"/>
        <v>453</v>
      </c>
      <c r="CL99" s="115">
        <f t="shared" si="387"/>
        <v>561.83157348632812</v>
      </c>
      <c r="CM99" s="115">
        <f t="shared" ca="1" si="388"/>
        <v>2816.5993052117487</v>
      </c>
      <c r="CN99" s="115">
        <f t="shared" ca="1" si="429"/>
        <v>125.80344444444444</v>
      </c>
      <c r="CO99" s="115">
        <f t="shared" ca="1" si="430"/>
        <v>690.58718083896258</v>
      </c>
      <c r="CP99" s="115">
        <f t="shared" ca="1" si="431"/>
        <v>2790.6388281929471</v>
      </c>
      <c r="CQ99" s="115">
        <f t="shared" si="432"/>
        <v>1.072449112508886</v>
      </c>
      <c r="CR99" s="115">
        <f t="shared" ref="CR99:CR122" ca="1" si="481">(JQ99*(1+CH99)*(CO99-CN99))</f>
        <v>233.78178418480587</v>
      </c>
      <c r="CS99" s="115">
        <f t="shared" ref="CS99:CS122" ca="1" si="482">CR99/(JN99*CQ99*(1-CG99))</f>
        <v>11.583077485728911</v>
      </c>
      <c r="CT99" s="115">
        <f t="shared" si="433"/>
        <v>1.0948460415865027</v>
      </c>
      <c r="CU99" s="115">
        <f t="shared" ca="1" si="434"/>
        <v>1.0012525165845203</v>
      </c>
      <c r="CV99" s="115">
        <f t="shared" si="360"/>
        <v>174.03031939039238</v>
      </c>
      <c r="CW99" s="115">
        <f t="shared" si="435"/>
        <v>473</v>
      </c>
      <c r="CX99" s="115">
        <f t="shared" si="436"/>
        <v>438</v>
      </c>
      <c r="CY99" s="115">
        <f t="shared" ca="1" si="437"/>
        <v>461.41692251427111</v>
      </c>
      <c r="CZ99" s="115">
        <f t="shared" ca="1" si="438"/>
        <v>100.41465097205702</v>
      </c>
      <c r="DA99" s="115">
        <v>0.21890000000000001</v>
      </c>
      <c r="DB99" s="115">
        <v>2.7E-2</v>
      </c>
      <c r="DC99" s="115">
        <v>1.06</v>
      </c>
      <c r="DD99" s="138">
        <f t="shared" si="389"/>
        <v>10.797267928306834</v>
      </c>
      <c r="DE99" s="138">
        <f t="shared" si="439"/>
        <v>10.797267928306834</v>
      </c>
      <c r="DF99" s="115">
        <f t="shared" si="440"/>
        <v>561.83157348632812</v>
      </c>
      <c r="DG99" s="115">
        <v>647.03031939039238</v>
      </c>
      <c r="DH99" s="115">
        <f t="shared" si="441"/>
        <v>1.0948460415865027</v>
      </c>
      <c r="DI99" s="115">
        <f t="shared" si="299"/>
        <v>1.1172961286106886</v>
      </c>
      <c r="DJ99" s="138">
        <f t="shared" ref="DJ99:DJ122" si="483">(JN99*DH99*DQ99*((DF99/DQ99)-1-LN(DF99/DQ99)))*0.001</f>
        <v>1.5720874749073512</v>
      </c>
      <c r="DK99" s="138">
        <f t="shared" ref="DK99:DK122" si="484">(JN99*DI99*DQ99*((DG99/DQ99)-1-LN(DG99/DQ99)))*0.001</f>
        <v>2.5291410842741837</v>
      </c>
      <c r="DL99" s="115">
        <f t="shared" si="442"/>
        <v>561.83157348632812</v>
      </c>
      <c r="DM99" s="115">
        <f t="shared" si="471"/>
        <v>647.03031939039238</v>
      </c>
      <c r="DN99" s="115">
        <f t="shared" si="300"/>
        <v>12.789635472879857</v>
      </c>
      <c r="DO99" s="115">
        <f t="shared" si="301"/>
        <v>1.0948460415865027</v>
      </c>
      <c r="DP99" s="115">
        <f t="shared" si="443"/>
        <v>1.1172961286106886</v>
      </c>
      <c r="DQ99" s="115">
        <v>298.14999999999998</v>
      </c>
      <c r="DR99" s="138">
        <f t="shared" si="302"/>
        <v>1.0470102582882961</v>
      </c>
      <c r="DS99" s="138">
        <f t="shared" si="303"/>
        <v>1.6844079621266064</v>
      </c>
      <c r="DT99" s="115">
        <f t="shared" si="444"/>
        <v>561.83157348632812</v>
      </c>
      <c r="DU99" s="139">
        <f t="shared" si="422"/>
        <v>6.414021393306113</v>
      </c>
      <c r="DV99" s="115">
        <f t="shared" si="445"/>
        <v>1.0948460415865027</v>
      </c>
      <c r="DW99" s="115">
        <v>298.14999999999998</v>
      </c>
      <c r="DX99" s="138">
        <f t="shared" ref="DX99:DX122" si="485">(JN99-DN99)*DV99*DW99*((DT99/DW99)-1-LN(DT99/DW99))*0.001</f>
        <v>0.52507721661905526</v>
      </c>
      <c r="DY99" s="138">
        <f t="shared" ref="DY99:DY122" si="486">(JN99-DN99)*DP99*DW99*((DM99/DW99)-1-LN(DM99/DW99))*0.001</f>
        <v>0.84473312214757745</v>
      </c>
      <c r="DZ99" s="138">
        <f t="shared" si="446"/>
        <v>2.8893756712134926</v>
      </c>
      <c r="EA99" s="138">
        <f t="shared" si="447"/>
        <v>3.611604576908356</v>
      </c>
      <c r="EB99" s="115">
        <f t="shared" si="448"/>
        <v>9.4985063943507466</v>
      </c>
      <c r="EC99" s="115">
        <v>30</v>
      </c>
      <c r="ED99" s="198">
        <f t="shared" ca="1" si="449"/>
        <v>125.80344444444444</v>
      </c>
      <c r="EE99" s="198">
        <v>104.83</v>
      </c>
      <c r="EF99" s="198">
        <f t="shared" ca="1" si="450"/>
        <v>0.42491111111111107</v>
      </c>
      <c r="EG99" s="199">
        <v>0.36720000000000003</v>
      </c>
      <c r="EH99" s="138">
        <f t="shared" ca="1" si="304"/>
        <v>3.5779702105064114E-2</v>
      </c>
      <c r="EI99" s="138">
        <f t="shared" ca="1" si="451"/>
        <v>3.5779702105064114E-2</v>
      </c>
      <c r="EJ99" s="115">
        <f t="shared" si="452"/>
        <v>12.789635472879857</v>
      </c>
      <c r="EK99" s="115">
        <v>435</v>
      </c>
      <c r="EL99" s="115">
        <f t="shared" ca="1" si="453"/>
        <v>461.41692251427111</v>
      </c>
      <c r="EM99" s="115">
        <f t="shared" ca="1" si="305"/>
        <v>1.0613584446772102</v>
      </c>
      <c r="EN99" s="115">
        <f t="shared" ca="1" si="306"/>
        <v>1.0696311482374303</v>
      </c>
      <c r="EO99" s="115">
        <v>298.14999999999998</v>
      </c>
      <c r="EP99" s="138">
        <f t="shared" ca="1" si="307"/>
        <v>0.32882652994276501</v>
      </c>
      <c r="EQ99" s="138">
        <f t="shared" ca="1" si="308"/>
        <v>0.45231142615791781</v>
      </c>
      <c r="ER99" s="115">
        <f t="shared" si="454"/>
        <v>0.39422048462761777</v>
      </c>
      <c r="ES99" s="115">
        <f t="shared" si="455"/>
        <v>453</v>
      </c>
      <c r="ET99" s="115">
        <f t="shared" ca="1" si="390"/>
        <v>2816.5993052117487</v>
      </c>
      <c r="EU99" s="115">
        <f t="shared" ca="1" si="391"/>
        <v>6.5855309782608691</v>
      </c>
      <c r="EV99" s="138">
        <f t="shared" ca="1" si="456"/>
        <v>0.33815205203727161</v>
      </c>
      <c r="EW99" s="138">
        <f t="shared" ref="EW99:EW122" ca="1" si="487">(JR99*(ET99-EE99-DQ99*(EU99-EG99)))*0.001</f>
        <v>0.90991814368273516</v>
      </c>
      <c r="EX99" s="115">
        <v>21.47</v>
      </c>
      <c r="EY99" s="115">
        <f t="shared" ca="1" si="392"/>
        <v>116.64082022349039</v>
      </c>
      <c r="EZ99" s="115">
        <f t="shared" ca="1" si="393"/>
        <v>0.39493399187723793</v>
      </c>
      <c r="FA99" s="138">
        <f t="shared" ca="1" si="310"/>
        <v>7.6045248807417379E-2</v>
      </c>
      <c r="FB99" s="138">
        <f t="shared" ca="1" si="457"/>
        <v>7.6045248807417379E-2</v>
      </c>
      <c r="FC99" s="115">
        <f t="shared" si="458"/>
        <v>21.47</v>
      </c>
      <c r="FD99" s="115">
        <v>37</v>
      </c>
      <c r="FE99" s="115">
        <f t="shared" ca="1" si="459"/>
        <v>154.93355555555553</v>
      </c>
      <c r="FF99" s="115">
        <f t="shared" ca="1" si="460"/>
        <v>0.52252222222222222</v>
      </c>
      <c r="FG99" s="138">
        <f t="shared" ca="1" si="461"/>
        <v>8.1462225449999703E-2</v>
      </c>
      <c r="FH99" s="138">
        <f t="shared" ca="1" si="312"/>
        <v>8.1462225449999703E-2</v>
      </c>
      <c r="FI99" s="115">
        <f t="shared" si="462"/>
        <v>81.600004882812513</v>
      </c>
      <c r="FJ99" s="115">
        <f t="shared" ca="1" si="394"/>
        <v>47.364538415484965</v>
      </c>
      <c r="FK99" s="115">
        <f t="shared" ca="1" si="395"/>
        <v>0.16411114456388687</v>
      </c>
      <c r="FL99" s="138">
        <f t="shared" ca="1" si="463"/>
        <v>0.25177523722881079</v>
      </c>
      <c r="FM99" s="138">
        <f t="shared" ref="FM99:FM122" ca="1" si="488">(JT99*(FJ99-EE99-DW99*(FK99-EG99)))*0.001</f>
        <v>0.59691020183864651</v>
      </c>
      <c r="FN99" s="115">
        <f t="shared" si="464"/>
        <v>81.600004882812513</v>
      </c>
      <c r="FO99" s="115">
        <f t="shared" ca="1" si="396"/>
        <v>58.559104768541133</v>
      </c>
      <c r="FP99" s="115">
        <f t="shared" ca="1" si="397"/>
        <v>0.20141051474677191</v>
      </c>
      <c r="FQ99" s="138">
        <f t="shared" ca="1" si="465"/>
        <v>0.25779398284412869</v>
      </c>
      <c r="FR99" s="138">
        <f t="shared" ref="FR99:FR122" ca="1" si="489">(JT99*(FO99-EE99-DW99*(FP99-EG99)))*0.001</f>
        <v>0.61117947907018721</v>
      </c>
      <c r="FS99" s="139">
        <f t="shared" si="468"/>
        <v>6.3358047821859902</v>
      </c>
      <c r="FT99" s="249">
        <f t="shared" si="316"/>
        <v>4.656522267124295</v>
      </c>
      <c r="FU99" s="139">
        <f t="shared" ca="1" si="469"/>
        <v>0.4158113784133235</v>
      </c>
      <c r="FV99" s="249">
        <f t="shared" ca="1" si="318"/>
        <v>0.35795809439101745</v>
      </c>
      <c r="FW99" s="139">
        <f t="shared" ca="1" si="466"/>
        <v>0.33875382101000717</v>
      </c>
      <c r="FX99" s="249">
        <f t="shared" ca="1" si="319"/>
        <v>0.91877044427169352</v>
      </c>
      <c r="FY99" s="249">
        <f t="shared" si="398"/>
        <v>0.15000000000000002</v>
      </c>
      <c r="FZ99" s="139">
        <f t="shared" si="399"/>
        <v>1050000</v>
      </c>
      <c r="GA99" s="139">
        <f t="shared" si="320"/>
        <v>3.3757716049382713E-2</v>
      </c>
      <c r="GB99" s="139">
        <f t="shared" si="361"/>
        <v>121.52777777777777</v>
      </c>
      <c r="GC99" s="139">
        <f t="shared" si="400"/>
        <v>1050000</v>
      </c>
      <c r="GD99" s="139">
        <f t="shared" si="362"/>
        <v>6.7515432098765427E-2</v>
      </c>
      <c r="GE99" s="139">
        <f t="shared" si="363"/>
        <v>243.05555555555554</v>
      </c>
      <c r="GF99" s="139">
        <f t="shared" si="364"/>
        <v>4.5814043209876545E-2</v>
      </c>
      <c r="GG99" s="139">
        <f t="shared" si="401"/>
        <v>712500</v>
      </c>
      <c r="GH99" s="139">
        <f t="shared" si="365"/>
        <v>164.93055555555554</v>
      </c>
      <c r="GI99" s="137">
        <f t="shared" si="402"/>
        <v>57.681973480282139</v>
      </c>
      <c r="GJ99" s="137">
        <f t="shared" si="321"/>
        <v>0.20765510452901403</v>
      </c>
      <c r="GK99" s="251">
        <f t="shared" si="403"/>
        <v>42.329279475614179</v>
      </c>
      <c r="GL99" s="137">
        <f t="shared" si="329"/>
        <v>0.15238540611220983</v>
      </c>
      <c r="GM99" s="137">
        <f t="shared" ca="1" si="404"/>
        <v>8.2229418972803447</v>
      </c>
      <c r="GN99" s="137">
        <f t="shared" ca="1" si="322"/>
        <v>2.9602590830209004E-2</v>
      </c>
      <c r="GO99" s="137">
        <f t="shared" ca="1" si="366"/>
        <v>0.10408787211747189</v>
      </c>
      <c r="GP99" s="137">
        <f t="shared" ca="1" si="405"/>
        <v>9.228932966129193</v>
      </c>
      <c r="GQ99" s="137">
        <f t="shared" ca="1" si="323"/>
        <v>3.322415867806483E-2</v>
      </c>
      <c r="GR99" s="137">
        <f t="shared" ca="1" si="406"/>
        <v>0.11682193628011545</v>
      </c>
      <c r="GS99" s="140">
        <f t="shared" si="407"/>
        <v>9.1279939496953552E-2</v>
      </c>
      <c r="GT99" s="140">
        <f t="shared" si="408"/>
        <v>6.7086516302459709E-2</v>
      </c>
      <c r="GU99" s="140">
        <f t="shared" si="467"/>
        <v>328.60778218903278</v>
      </c>
      <c r="GV99" s="140">
        <f t="shared" si="324"/>
        <v>241.51145868885496</v>
      </c>
      <c r="GW99" s="141">
        <f t="shared" ca="1" si="409"/>
        <v>3.9897359561813003E-3</v>
      </c>
      <c r="GX99" s="141">
        <f t="shared" ca="1" si="410"/>
        <v>3.4346301090836641E-3</v>
      </c>
      <c r="GY99" s="141">
        <f t="shared" ca="1" si="325"/>
        <v>14.363049442252681</v>
      </c>
      <c r="GZ99" s="141">
        <f t="shared" ca="1" si="326"/>
        <v>12.364668392701191</v>
      </c>
      <c r="HA99" s="141">
        <f t="shared" ca="1" si="411"/>
        <v>7.7201452967288579E-3</v>
      </c>
      <c r="HB99" s="141">
        <f t="shared" ca="1" si="412"/>
        <v>1.242565578117011E-2</v>
      </c>
      <c r="HC99" s="141">
        <f t="shared" ca="1" si="470"/>
        <v>27.79252306822389</v>
      </c>
      <c r="HD99" s="141">
        <f t="shared" ca="1" si="328"/>
        <v>44.732360812212399</v>
      </c>
      <c r="HE99" s="137">
        <f t="shared" si="367"/>
        <v>9.2251804533994832</v>
      </c>
      <c r="HF99" s="250">
        <f t="shared" si="368"/>
        <v>8.2681268440326505</v>
      </c>
      <c r="HG99" s="137">
        <v>2.8893756712134926</v>
      </c>
      <c r="HH99" s="251">
        <v>5.5505350015790631</v>
      </c>
      <c r="HI99" s="137">
        <f t="shared" ca="1" si="369"/>
        <v>0.59469883213037833</v>
      </c>
      <c r="HJ99" s="251">
        <f t="shared" ca="1" si="370"/>
        <v>1.2320965359686886</v>
      </c>
      <c r="HK99" s="137">
        <f t="shared" ca="1" si="371"/>
        <v>0.30237234993220752</v>
      </c>
      <c r="HL99" s="251">
        <f t="shared" ca="1" si="372"/>
        <v>0.87413844157767107</v>
      </c>
      <c r="HM99" s="137">
        <f t="shared" ca="1" si="373"/>
        <v>0.33815205203727161</v>
      </c>
      <c r="HN99" s="251">
        <f t="shared" ca="1" si="374"/>
        <v>0.90991814368273516</v>
      </c>
      <c r="HO99" s="137">
        <f t="shared" ca="1" si="375"/>
        <v>0.25177523722881079</v>
      </c>
      <c r="HP99" s="251">
        <f t="shared" ca="1" si="376"/>
        <v>0.59691020183864651</v>
      </c>
      <c r="JN99" s="143">
        <f t="shared" si="413"/>
        <v>19.20365686618597</v>
      </c>
      <c r="JO99" s="143">
        <f t="shared" ref="JO99:JO122" si="490">CB99</f>
        <v>2889.3756712134928</v>
      </c>
      <c r="JP99" s="143">
        <f t="shared" si="414"/>
        <v>3611.6045769083557</v>
      </c>
      <c r="JQ99" s="143">
        <f t="shared" si="415"/>
        <v>0.39422048462761777</v>
      </c>
      <c r="JR99" s="143">
        <f t="shared" ref="JR99:JR122" ca="1" si="491">((0.66*JN99*(1-CG99)*CT99*CV99))/((CM99-CO99+CH99*(CP99-CO99)))</f>
        <v>1.0607901664737873</v>
      </c>
      <c r="JS99" s="143">
        <f t="shared" si="416"/>
        <v>81.600004882812513</v>
      </c>
      <c r="JT99" s="143">
        <f t="shared" ref="JT99:JT122" ca="1" si="492">((JR99*ET99)-EX99*(FE99-EY99))/(FO99-FJ99)</f>
        <v>193.45776781204628</v>
      </c>
      <c r="JU99" s="143">
        <f t="shared" si="423"/>
        <v>0.28365862844403672</v>
      </c>
      <c r="JV99" s="143">
        <f t="shared" si="417"/>
        <v>0.35456199447328052</v>
      </c>
      <c r="JW99" s="143">
        <f t="shared" ca="1" si="418"/>
        <v>0.10394243961054092</v>
      </c>
      <c r="JX99" s="143">
        <f t="shared" ca="1" si="419"/>
        <v>0.27969403447492175</v>
      </c>
      <c r="JY99" s="143">
        <f t="shared" si="420"/>
        <v>0.69104759129145754</v>
      </c>
      <c r="JZ99" s="143">
        <f t="shared" si="421"/>
        <v>0.39211227017916284</v>
      </c>
      <c r="KA99" s="143">
        <f t="shared" ref="KA99:KA122" si="493">(DZ99)/(DD99)</f>
        <v>0.2676024796641856</v>
      </c>
      <c r="KB99" s="143">
        <f t="shared" ref="KB99:KB123" si="494">EA99/(DE99)</f>
        <v>0.33449244761630242</v>
      </c>
      <c r="KC99" s="143">
        <f t="shared" ref="KC99:KC122" ca="1" si="495">(EV99-EH99)/(DR99-EP99)</f>
        <v>0.42102367123908269</v>
      </c>
      <c r="KD99" s="143">
        <f t="shared" ref="KD99:KD122" ca="1" si="496">(EW99-EI99)/(DS99-EQ99)</f>
        <v>0.70947236361671384</v>
      </c>
      <c r="KE99" s="143">
        <f t="shared" ref="KE99:KE122" ca="1" si="497">FM99/EW99</f>
        <v>0.65600428564129565</v>
      </c>
      <c r="KF99" s="143">
        <f t="shared" ref="KF99:KF122" ca="1" si="498">FL99/EV99</f>
        <v>0.74456220422716746</v>
      </c>
      <c r="KG99" s="142">
        <f t="shared" ref="KG99:KG122" si="499">GL99</f>
        <v>0.15238540611220983</v>
      </c>
      <c r="KH99" s="142">
        <f t="shared" ref="KH99:KH122" ca="1" si="500">GR99</f>
        <v>0.11682193628011545</v>
      </c>
      <c r="KI99" s="142">
        <f t="shared" ref="KI99:KI123" ca="1" si="501">GU99+GY99+HC99</f>
        <v>370.76335469950936</v>
      </c>
      <c r="KJ99" s="142">
        <f t="shared" ref="KJ99:KJ122" ca="1" si="502">GV99+GZ99+HD99</f>
        <v>298.60848789376854</v>
      </c>
    </row>
    <row r="100" spans="1:296" x14ac:dyDescent="0.3">
      <c r="A100" s="201">
        <v>41449</v>
      </c>
      <c r="B100" s="196">
        <v>119</v>
      </c>
      <c r="C100" s="179">
        <v>24</v>
      </c>
      <c r="D100" s="179">
        <v>4.2</v>
      </c>
      <c r="E100" s="179">
        <v>50016</v>
      </c>
      <c r="F100" s="179">
        <v>300</v>
      </c>
      <c r="G100" s="179">
        <v>11.7</v>
      </c>
      <c r="H100" s="179">
        <v>0.85</v>
      </c>
      <c r="I100" s="179">
        <v>1.4</v>
      </c>
      <c r="J100" s="179">
        <v>1.33</v>
      </c>
      <c r="K100" s="179">
        <v>0.91</v>
      </c>
      <c r="L100" s="152">
        <v>19627.703382097185</v>
      </c>
      <c r="M100" s="155">
        <v>19</v>
      </c>
      <c r="N100" s="153">
        <v>56633.360554158688</v>
      </c>
      <c r="O100" s="178">
        <v>17</v>
      </c>
      <c r="P100" s="179">
        <v>2</v>
      </c>
      <c r="Q100" s="179">
        <v>5</v>
      </c>
      <c r="R100" s="154">
        <v>344.42364501953125</v>
      </c>
      <c r="S100" s="155">
        <v>76.886403151787817</v>
      </c>
      <c r="T100" s="152">
        <v>180</v>
      </c>
      <c r="U100" s="156">
        <v>3.0838871002197266</v>
      </c>
      <c r="V100" s="178">
        <v>17</v>
      </c>
      <c r="W100" s="179">
        <v>1250</v>
      </c>
      <c r="X100" s="155">
        <v>68920.959279313684</v>
      </c>
      <c r="Y100" s="155">
        <v>9969.4119710903615</v>
      </c>
      <c r="Z100" s="155">
        <v>331.25180053710938</v>
      </c>
      <c r="AA100" s="155">
        <v>11.367877006530762</v>
      </c>
      <c r="AB100" s="155">
        <v>14.456247329711914</v>
      </c>
      <c r="AC100" s="215">
        <v>37</v>
      </c>
      <c r="AD100" s="215">
        <v>28.823261260986328</v>
      </c>
      <c r="AE100" s="254">
        <v>20</v>
      </c>
      <c r="AF100" s="254">
        <v>10</v>
      </c>
      <c r="AG100" s="217">
        <v>5000000</v>
      </c>
      <c r="AH100" s="218">
        <v>300000</v>
      </c>
      <c r="AI100" s="219">
        <v>5000000</v>
      </c>
      <c r="AJ100" s="225">
        <f t="shared" si="473"/>
        <v>300000</v>
      </c>
      <c r="AK100" s="220">
        <v>2750000</v>
      </c>
      <c r="AL100" s="226">
        <f t="shared" si="474"/>
        <v>300000</v>
      </c>
      <c r="AM100" s="221">
        <v>14.407</v>
      </c>
      <c r="BM100" s="197">
        <f t="shared" si="475"/>
        <v>8.1767387390136719</v>
      </c>
      <c r="BN100" s="196">
        <f t="shared" si="476"/>
        <v>180</v>
      </c>
      <c r="BO100" s="197">
        <f t="shared" si="477"/>
        <v>3.0883703231811523</v>
      </c>
      <c r="BP100" s="196">
        <f t="shared" si="472"/>
        <v>12.646647112366665</v>
      </c>
      <c r="BQ100" s="115">
        <f t="shared" si="478"/>
        <v>659.74492511188635</v>
      </c>
      <c r="BR100" s="184">
        <f t="shared" si="479"/>
        <v>1.0041987768</v>
      </c>
      <c r="BS100" s="115">
        <f t="shared" si="480"/>
        <v>6863.8528613899143</v>
      </c>
      <c r="BT100" s="196">
        <v>900</v>
      </c>
      <c r="BU100" s="115">
        <f t="shared" si="424"/>
        <v>1.1850729520000001</v>
      </c>
      <c r="BV100" s="115">
        <f t="shared" si="425"/>
        <v>1.0602982031993036</v>
      </c>
      <c r="BW100" s="115">
        <f t="shared" si="426"/>
        <v>422.19277453712743</v>
      </c>
      <c r="BX100" s="115">
        <f t="shared" si="377"/>
        <v>1015.6527782329511</v>
      </c>
      <c r="BY100" s="115"/>
      <c r="BZ100" s="115">
        <f t="shared" si="378"/>
        <v>593.46000369582362</v>
      </c>
      <c r="CA100" s="115">
        <f t="shared" si="379"/>
        <v>9587.1019823544102</v>
      </c>
      <c r="CB100" s="115">
        <f t="shared" si="380"/>
        <v>2359.7233564232788</v>
      </c>
      <c r="CC100" s="115">
        <f t="shared" si="381"/>
        <v>817.82097425404936</v>
      </c>
      <c r="CD100" s="129">
        <f t="shared" si="427"/>
        <v>0.16158653388888686</v>
      </c>
      <c r="CE100" s="115">
        <f t="shared" si="382"/>
        <v>19.485400031594668</v>
      </c>
      <c r="CF100" s="115">
        <f t="shared" si="383"/>
        <v>21.35733420882995</v>
      </c>
      <c r="CG100" s="115">
        <f t="shared" si="384"/>
        <v>0.02</v>
      </c>
      <c r="CH100" s="115">
        <f t="shared" si="385"/>
        <v>0.05</v>
      </c>
      <c r="CI100" s="136">
        <v>30</v>
      </c>
      <c r="CJ100" s="115">
        <f t="shared" si="428"/>
        <v>165</v>
      </c>
      <c r="CK100" s="115">
        <f t="shared" si="386"/>
        <v>453</v>
      </c>
      <c r="CL100" s="115">
        <f t="shared" si="387"/>
        <v>617.42364501953125</v>
      </c>
      <c r="CM100" s="115">
        <f t="shared" ca="1" si="388"/>
        <v>2816.5993052117487</v>
      </c>
      <c r="CN100" s="115">
        <f t="shared" ca="1" si="429"/>
        <v>125.80344444444444</v>
      </c>
      <c r="CO100" s="115">
        <f t="shared" ca="1" si="430"/>
        <v>690.58718083896258</v>
      </c>
      <c r="CP100" s="115">
        <f t="shared" ca="1" si="431"/>
        <v>2790.6388281929471</v>
      </c>
      <c r="CQ100" s="115">
        <f t="shared" si="432"/>
        <v>1.072449112508886</v>
      </c>
      <c r="CR100" s="115">
        <f t="shared" ca="1" si="481"/>
        <v>508.00437306527806</v>
      </c>
      <c r="CS100" s="115">
        <f t="shared" ca="1" si="482"/>
        <v>25.225118564537929</v>
      </c>
      <c r="CT100" s="115">
        <f t="shared" si="433"/>
        <v>1.1094162246736843</v>
      </c>
      <c r="CU100" s="115">
        <f t="shared" ca="1" si="434"/>
        <v>1.0106954551791081</v>
      </c>
      <c r="CV100" s="115">
        <f t="shared" si="360"/>
        <v>120.46000369582362</v>
      </c>
      <c r="CW100" s="115">
        <f t="shared" si="435"/>
        <v>473</v>
      </c>
      <c r="CX100" s="115">
        <f t="shared" si="436"/>
        <v>438</v>
      </c>
      <c r="CY100" s="115">
        <f t="shared" ca="1" si="437"/>
        <v>447.77488143546208</v>
      </c>
      <c r="CZ100" s="115">
        <f t="shared" ca="1" si="438"/>
        <v>169.64876358406917</v>
      </c>
      <c r="DA100" s="115">
        <v>0.21890000000000001</v>
      </c>
      <c r="DB100" s="115">
        <v>2.7E-2</v>
      </c>
      <c r="DC100" s="115">
        <v>1.06</v>
      </c>
      <c r="DD100" s="138">
        <f t="shared" si="389"/>
        <v>8.5668268037257587</v>
      </c>
      <c r="DE100" s="138">
        <f t="shared" si="439"/>
        <v>8.5668268037257587</v>
      </c>
      <c r="DF100" s="115">
        <f t="shared" si="440"/>
        <v>617.42364501953125</v>
      </c>
      <c r="DG100" s="115">
        <v>593.46000369582362</v>
      </c>
      <c r="DH100" s="115">
        <f t="shared" si="441"/>
        <v>1.1094162246736843</v>
      </c>
      <c r="DI100" s="115">
        <f t="shared" si="299"/>
        <v>1.1030944627080839</v>
      </c>
      <c r="DJ100" s="138">
        <f t="shared" si="483"/>
        <v>2.1732819136743968</v>
      </c>
      <c r="DK100" s="138">
        <f t="shared" si="484"/>
        <v>1.9038462143371875</v>
      </c>
      <c r="DL100" s="115">
        <f t="shared" si="442"/>
        <v>617.42364501953125</v>
      </c>
      <c r="DM100" s="115">
        <f t="shared" si="471"/>
        <v>593.46000369582362</v>
      </c>
      <c r="DN100" s="115">
        <f t="shared" si="300"/>
        <v>12.76161663157</v>
      </c>
      <c r="DO100" s="115">
        <f t="shared" si="301"/>
        <v>1.1094162246736843</v>
      </c>
      <c r="DP100" s="115">
        <f t="shared" si="443"/>
        <v>1.1030944627080839</v>
      </c>
      <c r="DQ100" s="115">
        <v>298.14999999999998</v>
      </c>
      <c r="DR100" s="138">
        <f t="shared" si="302"/>
        <v>1.4474057545071488</v>
      </c>
      <c r="DS100" s="138">
        <f t="shared" si="303"/>
        <v>1.2679615787485667</v>
      </c>
      <c r="DT100" s="115">
        <f t="shared" si="444"/>
        <v>617.42364501953125</v>
      </c>
      <c r="DU100" s="139">
        <f t="shared" si="422"/>
        <v>6.3999699023188867</v>
      </c>
      <c r="DV100" s="115">
        <f t="shared" si="445"/>
        <v>1.1094162246736843</v>
      </c>
      <c r="DW100" s="115">
        <v>298.14999999999998</v>
      </c>
      <c r="DX100" s="138">
        <f t="shared" si="485"/>
        <v>0.72587615916724846</v>
      </c>
      <c r="DY100" s="138">
        <f t="shared" si="486"/>
        <v>0.63588463558862052</v>
      </c>
      <c r="DZ100" s="138">
        <f t="shared" si="446"/>
        <v>2.3597233564232787</v>
      </c>
      <c r="EA100" s="138">
        <f t="shared" si="447"/>
        <v>2.7232491209644958</v>
      </c>
      <c r="EB100" s="115">
        <f t="shared" si="448"/>
        <v>21.35733420882995</v>
      </c>
      <c r="EC100" s="115">
        <v>30</v>
      </c>
      <c r="ED100" s="198">
        <f t="shared" ca="1" si="449"/>
        <v>125.80344444444444</v>
      </c>
      <c r="EE100" s="198">
        <v>104.83</v>
      </c>
      <c r="EF100" s="198">
        <f t="shared" ca="1" si="450"/>
        <v>0.42491111111111107</v>
      </c>
      <c r="EG100" s="199">
        <v>0.36720000000000003</v>
      </c>
      <c r="EH100" s="138">
        <f t="shared" ca="1" si="304"/>
        <v>8.0450443893443677E-2</v>
      </c>
      <c r="EI100" s="138">
        <f t="shared" ca="1" si="451"/>
        <v>8.0450443893443677E-2</v>
      </c>
      <c r="EJ100" s="115">
        <f t="shared" si="452"/>
        <v>12.76161663157</v>
      </c>
      <c r="EK100" s="115">
        <v>435</v>
      </c>
      <c r="EL100" s="115">
        <f t="shared" ca="1" si="453"/>
        <v>447.77488143546208</v>
      </c>
      <c r="EM100" s="115">
        <f t="shared" ca="1" si="305"/>
        <v>1.0623940985798632</v>
      </c>
      <c r="EN100" s="115">
        <f t="shared" ca="1" si="306"/>
        <v>1.0663473916407269</v>
      </c>
      <c r="EO100" s="115">
        <v>298.14999999999998</v>
      </c>
      <c r="EP100" s="138">
        <f t="shared" ca="1" si="307"/>
        <v>0.32842631448033333</v>
      </c>
      <c r="EQ100" s="138">
        <f t="shared" ca="1" si="308"/>
        <v>0.38605565402854225</v>
      </c>
      <c r="ER100" s="115">
        <f t="shared" si="454"/>
        <v>0.85663530561659074</v>
      </c>
      <c r="ES100" s="115">
        <f t="shared" si="455"/>
        <v>453</v>
      </c>
      <c r="ET100" s="115">
        <f t="shared" ca="1" si="390"/>
        <v>2816.5993052117487</v>
      </c>
      <c r="EU100" s="115">
        <f t="shared" ca="1" si="391"/>
        <v>6.5855309782608691</v>
      </c>
      <c r="EV100" s="138">
        <f t="shared" ca="1" si="456"/>
        <v>0.73479942757274963</v>
      </c>
      <c r="EW100" s="138">
        <f t="shared" ca="1" si="487"/>
        <v>0.63680911007254815</v>
      </c>
      <c r="EX100" s="115">
        <v>21.47</v>
      </c>
      <c r="EY100" s="115">
        <f t="shared" ca="1" si="392"/>
        <v>120.71299540625678</v>
      </c>
      <c r="EZ100" s="115">
        <f t="shared" ca="1" si="393"/>
        <v>0.40850214313930933</v>
      </c>
      <c r="FA100" s="138">
        <f t="shared" ca="1" si="310"/>
        <v>7.6621307886463721E-2</v>
      </c>
      <c r="FB100" s="138">
        <f t="shared" ca="1" si="457"/>
        <v>7.6621307886463721E-2</v>
      </c>
      <c r="FC100" s="115">
        <f t="shared" si="458"/>
        <v>21.47</v>
      </c>
      <c r="FD100" s="115">
        <v>37</v>
      </c>
      <c r="FE100" s="115">
        <f t="shared" ca="1" si="459"/>
        <v>154.93355555555553</v>
      </c>
      <c r="FF100" s="115">
        <f t="shared" ca="1" si="460"/>
        <v>0.52252222222222222</v>
      </c>
      <c r="FG100" s="138">
        <f t="shared" ca="1" si="461"/>
        <v>8.1462225449999703E-2</v>
      </c>
      <c r="FH100" s="138">
        <f t="shared" ca="1" si="312"/>
        <v>8.1462225449999703E-2</v>
      </c>
      <c r="FI100" s="115">
        <f t="shared" si="462"/>
        <v>92.75050415039064</v>
      </c>
      <c r="FJ100" s="115">
        <f t="shared" ca="1" si="394"/>
        <v>47.66027281422086</v>
      </c>
      <c r="FK100" s="115">
        <f t="shared" ca="1" si="395"/>
        <v>0.16509650714662341</v>
      </c>
      <c r="FL100" s="138">
        <f t="shared" ca="1" si="463"/>
        <v>0.28636061561285192</v>
      </c>
      <c r="FM100" s="138">
        <f t="shared" ca="1" si="488"/>
        <v>0.32398355988310962</v>
      </c>
      <c r="FN100" s="115">
        <f t="shared" si="464"/>
        <v>92.75050415039064</v>
      </c>
      <c r="FO100" s="115">
        <f t="shared" ca="1" si="396"/>
        <v>60.585445768992109</v>
      </c>
      <c r="FP100" s="115">
        <f t="shared" ca="1" si="397"/>
        <v>0.20816211554209391</v>
      </c>
      <c r="FQ100" s="138">
        <f t="shared" ca="1" si="465"/>
        <v>0.29425941657883709</v>
      </c>
      <c r="FR100" s="138">
        <f t="shared" ca="1" si="489"/>
        <v>0.33292012977520608</v>
      </c>
      <c r="FS100" s="139">
        <f t="shared" si="468"/>
        <v>4.0338215336280836</v>
      </c>
      <c r="FT100" s="249">
        <f t="shared" si="316"/>
        <v>3.9397314684240752</v>
      </c>
      <c r="FU100" s="139">
        <f t="shared" ca="1" si="469"/>
        <v>0.46463045634750944</v>
      </c>
      <c r="FV100" s="249">
        <f t="shared" ca="1" si="318"/>
        <v>0.32554725854092004</v>
      </c>
      <c r="FW100" s="139">
        <f t="shared" ca="1" si="466"/>
        <v>0.73785731097519869</v>
      </c>
      <c r="FX100" s="249">
        <f t="shared" ca="1" si="319"/>
        <v>0.64090476240110861</v>
      </c>
      <c r="FY100" s="249">
        <f t="shared" si="398"/>
        <v>0.15000000000000002</v>
      </c>
      <c r="FZ100" s="139">
        <f t="shared" si="399"/>
        <v>1050000</v>
      </c>
      <c r="GA100" s="139">
        <f t="shared" si="320"/>
        <v>3.3757716049382713E-2</v>
      </c>
      <c r="GB100" s="139">
        <f t="shared" si="361"/>
        <v>121.52777777777777</v>
      </c>
      <c r="GC100" s="139">
        <f t="shared" si="400"/>
        <v>1050000</v>
      </c>
      <c r="GD100" s="139">
        <f t="shared" si="362"/>
        <v>6.7515432098765427E-2</v>
      </c>
      <c r="GE100" s="139">
        <f t="shared" si="363"/>
        <v>243.05555555555554</v>
      </c>
      <c r="GF100" s="139">
        <f t="shared" si="364"/>
        <v>4.5814043209876545E-2</v>
      </c>
      <c r="GG100" s="139">
        <f t="shared" si="401"/>
        <v>712500</v>
      </c>
      <c r="GH100" s="139">
        <f t="shared" si="365"/>
        <v>164.93055555555554</v>
      </c>
      <c r="GI100" s="137">
        <f t="shared" si="402"/>
        <v>53.340793927275371</v>
      </c>
      <c r="GJ100" s="137">
        <f t="shared" si="321"/>
        <v>0.19202685813818982</v>
      </c>
      <c r="GK100" s="251">
        <f t="shared" si="403"/>
        <v>47.645761234928706</v>
      </c>
      <c r="GL100" s="137">
        <f t="shared" si="329"/>
        <v>0.17152474044574198</v>
      </c>
      <c r="GM100" s="137">
        <f t="shared" ca="1" si="404"/>
        <v>7.1743853501252897</v>
      </c>
      <c r="GN100" s="137">
        <f t="shared" ca="1" si="322"/>
        <v>2.5827787260450836E-2</v>
      </c>
      <c r="GO100" s="137">
        <f t="shared" ca="1" si="366"/>
        <v>9.0815004431964969E-2</v>
      </c>
      <c r="GP100" s="137">
        <f t="shared" ca="1" si="405"/>
        <v>7.2712097628038395</v>
      </c>
      <c r="GQ100" s="137">
        <f t="shared" ca="1" si="323"/>
        <v>2.6176355146093615E-2</v>
      </c>
      <c r="GR100" s="137">
        <f t="shared" ca="1" si="406"/>
        <v>9.2040629908908642E-2</v>
      </c>
      <c r="GS100" s="140">
        <f t="shared" si="407"/>
        <v>5.8115266834979799E-2</v>
      </c>
      <c r="GT100" s="140">
        <f t="shared" si="408"/>
        <v>5.6759711265585648E-2</v>
      </c>
      <c r="GU100" s="140">
        <f t="shared" si="467"/>
        <v>209.21496060592727</v>
      </c>
      <c r="GV100" s="140">
        <f t="shared" si="324"/>
        <v>204.33496055610834</v>
      </c>
      <c r="GW100" s="141">
        <f t="shared" ca="1" si="409"/>
        <v>4.4581580357426461E-3</v>
      </c>
      <c r="GX100" s="141">
        <f t="shared" ca="1" si="410"/>
        <v>3.1236461296301568E-3</v>
      </c>
      <c r="GY100" s="141">
        <f t="shared" ca="1" si="325"/>
        <v>16.049368928673527</v>
      </c>
      <c r="GZ100" s="141">
        <f t="shared" ca="1" si="326"/>
        <v>11.245126066668565</v>
      </c>
      <c r="HA100" s="141">
        <f t="shared" ca="1" si="411"/>
        <v>1.2106896922282995E-2</v>
      </c>
      <c r="HB100" s="141">
        <f t="shared" ca="1" si="412"/>
        <v>9.7478466198408966E-3</v>
      </c>
      <c r="HC100" s="141">
        <f t="shared" ca="1" si="470"/>
        <v>43.584828920218783</v>
      </c>
      <c r="HD100" s="141">
        <f t="shared" ca="1" si="328"/>
        <v>35.09224783142723</v>
      </c>
      <c r="HE100" s="137">
        <f t="shared" si="367"/>
        <v>6.3935448900513618</v>
      </c>
      <c r="HF100" s="250">
        <f t="shared" si="368"/>
        <v>6.662980589388571</v>
      </c>
      <c r="HG100" s="137">
        <v>2.3597233564232787</v>
      </c>
      <c r="HH100" s="251">
        <v>2.1790856792977684</v>
      </c>
      <c r="HI100" s="137">
        <f t="shared" ca="1" si="369"/>
        <v>1.0613501004786066</v>
      </c>
      <c r="HJ100" s="251">
        <f t="shared" ca="1" si="370"/>
        <v>0.88190592472002449</v>
      </c>
      <c r="HK100" s="137">
        <f t="shared" ca="1" si="371"/>
        <v>0.65434898367930594</v>
      </c>
      <c r="HL100" s="251">
        <f t="shared" ca="1" si="372"/>
        <v>0.55635866617910446</v>
      </c>
      <c r="HM100" s="137">
        <f t="shared" ca="1" si="373"/>
        <v>0.73479942757274963</v>
      </c>
      <c r="HN100" s="251">
        <f t="shared" ca="1" si="374"/>
        <v>0.63680911007254815</v>
      </c>
      <c r="HO100" s="137">
        <f t="shared" ca="1" si="375"/>
        <v>0.28636061561285192</v>
      </c>
      <c r="HP100" s="251">
        <f t="shared" ca="1" si="376"/>
        <v>0.32398355988310962</v>
      </c>
      <c r="JN100" s="143">
        <f t="shared" si="413"/>
        <v>19.161586533888887</v>
      </c>
      <c r="JO100" s="143">
        <f t="shared" si="490"/>
        <v>2359.7233564232788</v>
      </c>
      <c r="JP100" s="143">
        <f t="shared" si="414"/>
        <v>2723.2491209644959</v>
      </c>
      <c r="JQ100" s="143">
        <f t="shared" si="415"/>
        <v>0.85663530561659074</v>
      </c>
      <c r="JR100" s="143">
        <f t="shared" ca="1" si="491"/>
        <v>0.74239737560549113</v>
      </c>
      <c r="JS100" s="143">
        <f t="shared" si="416"/>
        <v>92.75050415039064</v>
      </c>
      <c r="JT100" s="143">
        <f t="shared" ca="1" si="492"/>
        <v>104.93635254724623</v>
      </c>
      <c r="JU100" s="143">
        <f t="shared" si="423"/>
        <v>0.29197587567906053</v>
      </c>
      <c r="JV100" s="143">
        <f t="shared" si="417"/>
        <v>0.3369560438605983</v>
      </c>
      <c r="JW100" s="143">
        <f t="shared" ca="1" si="418"/>
        <v>0.28452678228246631</v>
      </c>
      <c r="JX100" s="143">
        <f t="shared" ca="1" si="419"/>
        <v>0.24658327186729365</v>
      </c>
      <c r="JY100" s="143">
        <f t="shared" si="420"/>
        <v>0.75377764731373131</v>
      </c>
      <c r="JZ100" s="143">
        <f t="shared" si="421"/>
        <v>0.5793756984824624</v>
      </c>
      <c r="KA100" s="143">
        <f t="shared" si="493"/>
        <v>0.27544893931986841</v>
      </c>
      <c r="KB100" s="143">
        <f t="shared" si="494"/>
        <v>0.31788306024584739</v>
      </c>
      <c r="KC100" s="143">
        <f t="shared" ca="1" si="495"/>
        <v>0.58477301751283739</v>
      </c>
      <c r="KD100" s="143">
        <f t="shared" ca="1" si="496"/>
        <v>0.63085942682121077</v>
      </c>
      <c r="KE100" s="143">
        <f t="shared" ca="1" si="497"/>
        <v>0.50876087474031262</v>
      </c>
      <c r="KF100" s="143">
        <f t="shared" ca="1" si="498"/>
        <v>0.38971262751085972</v>
      </c>
      <c r="KG100" s="142">
        <f t="shared" si="499"/>
        <v>0.17152474044574198</v>
      </c>
      <c r="KH100" s="142">
        <f t="shared" ca="1" si="500"/>
        <v>9.2040629908908642E-2</v>
      </c>
      <c r="KI100" s="142">
        <f t="shared" ca="1" si="501"/>
        <v>268.84915845481959</v>
      </c>
      <c r="KJ100" s="142">
        <f t="shared" ca="1" si="502"/>
        <v>250.67233445420413</v>
      </c>
    </row>
    <row r="101" spans="1:296" x14ac:dyDescent="0.3">
      <c r="A101" s="201">
        <v>41450</v>
      </c>
      <c r="B101" s="196">
        <v>120</v>
      </c>
      <c r="C101" s="179">
        <v>24</v>
      </c>
      <c r="D101" s="179">
        <v>4.2</v>
      </c>
      <c r="E101" s="179">
        <v>50016</v>
      </c>
      <c r="F101" s="179">
        <v>300</v>
      </c>
      <c r="G101" s="179">
        <v>11.7</v>
      </c>
      <c r="H101" s="179">
        <v>0.85</v>
      </c>
      <c r="I101" s="179">
        <v>1.4</v>
      </c>
      <c r="J101" s="179">
        <v>1.33</v>
      </c>
      <c r="K101" s="179">
        <v>0.91</v>
      </c>
      <c r="L101" s="152">
        <v>20104.015298336744</v>
      </c>
      <c r="M101" s="155">
        <v>19</v>
      </c>
      <c r="N101" s="153">
        <v>57637.481111899018</v>
      </c>
      <c r="O101" s="178">
        <v>17</v>
      </c>
      <c r="P101" s="179">
        <v>2</v>
      </c>
      <c r="Q101" s="179">
        <v>5</v>
      </c>
      <c r="R101" s="154">
        <v>328.39459228515625</v>
      </c>
      <c r="S101" s="155">
        <v>58.225141177652404</v>
      </c>
      <c r="T101" s="152">
        <v>180</v>
      </c>
      <c r="U101" s="156">
        <v>2.3578681945800781</v>
      </c>
      <c r="V101" s="178">
        <v>17</v>
      </c>
      <c r="W101" s="179">
        <v>1250</v>
      </c>
      <c r="X101" s="155">
        <v>52396.845439612865</v>
      </c>
      <c r="Y101" s="155">
        <v>7687.5437723565847</v>
      </c>
      <c r="Z101" s="155">
        <v>269.93923950195312</v>
      </c>
      <c r="AA101" s="155">
        <v>12.051219940185547</v>
      </c>
      <c r="AB101" s="155">
        <v>15.072033882141113</v>
      </c>
      <c r="AC101" s="215">
        <v>37</v>
      </c>
      <c r="AD101" s="215">
        <v>28.047435760498047</v>
      </c>
      <c r="AE101" s="254">
        <v>20</v>
      </c>
      <c r="AF101" s="254">
        <v>10</v>
      </c>
      <c r="AG101" s="217">
        <v>5000000</v>
      </c>
      <c r="AH101" s="218">
        <v>300000</v>
      </c>
      <c r="AI101" s="219">
        <v>5000000</v>
      </c>
      <c r="AJ101" s="225">
        <f t="shared" si="473"/>
        <v>300000</v>
      </c>
      <c r="AK101" s="220">
        <v>2750000</v>
      </c>
      <c r="AL101" s="226">
        <f t="shared" si="474"/>
        <v>300000</v>
      </c>
      <c r="AM101" s="221">
        <v>14.407</v>
      </c>
      <c r="BK101" s="283"/>
      <c r="BM101" s="197">
        <f t="shared" si="475"/>
        <v>8.9525642395019531</v>
      </c>
      <c r="BN101" s="196">
        <f t="shared" si="476"/>
        <v>180</v>
      </c>
      <c r="BO101" s="197">
        <f t="shared" si="477"/>
        <v>3.0208139419555664</v>
      </c>
      <c r="BP101" s="196">
        <f t="shared" si="472"/>
        <v>12.649235152824783</v>
      </c>
      <c r="BQ101" s="115">
        <f t="shared" si="478"/>
        <v>659.74492511188635</v>
      </c>
      <c r="BR101" s="184">
        <f t="shared" si="479"/>
        <v>1.0041987768</v>
      </c>
      <c r="BS101" s="115">
        <f t="shared" si="480"/>
        <v>6863.8528613899143</v>
      </c>
      <c r="BT101" s="196">
        <v>900</v>
      </c>
      <c r="BU101" s="115">
        <f t="shared" si="424"/>
        <v>1.1850729520000001</v>
      </c>
      <c r="BV101" s="115">
        <f t="shared" si="425"/>
        <v>1.0611309999679965</v>
      </c>
      <c r="BW101" s="115">
        <f t="shared" si="426"/>
        <v>425.75202325404848</v>
      </c>
      <c r="BX101" s="115">
        <f t="shared" ref="BX101:BX122" si="503">((CD101*E101)/(JN101*BU101))+BQ101</f>
        <v>1024.2151247859592</v>
      </c>
      <c r="BY101" s="115"/>
      <c r="BZ101" s="115">
        <f t="shared" ref="BZ101:BZ122" si="504">BX101+(K101*BX101*((1/G101)^((J101-1)/J101)-1))</f>
        <v>598.46310153191075</v>
      </c>
      <c r="CA101" s="115">
        <f t="shared" ref="CA101:CA122" si="505">(JN101*BU101*(BX101-BZ101))</f>
        <v>9669.9034352533254</v>
      </c>
      <c r="CB101" s="115">
        <f t="shared" ref="CB101:CB122" si="506">N101/C101</f>
        <v>2401.5617129957923</v>
      </c>
      <c r="CC101" s="115">
        <f t="shared" ref="CC101:CC122" si="507">L101/C101</f>
        <v>837.66730409736431</v>
      </c>
      <c r="CD101" s="129">
        <f t="shared" si="427"/>
        <v>0.16550780731027581</v>
      </c>
      <c r="CE101" s="115">
        <f t="shared" ref="CE101:CE122" si="508">Z101/V101</f>
        <v>15.878778794232536</v>
      </c>
      <c r="CF101" s="115">
        <f t="shared" ref="CF101:CF122" si="509">(1/3.6)*S101</f>
        <v>16.173650327125667</v>
      </c>
      <c r="CG101" s="115">
        <f t="shared" ref="CG101:CG122" si="510">P101/100</f>
        <v>0.02</v>
      </c>
      <c r="CH101" s="115">
        <f t="shared" ref="CH101:CH122" si="511">Q101/100</f>
        <v>0.05</v>
      </c>
      <c r="CI101" s="136">
        <v>30</v>
      </c>
      <c r="CJ101" s="115">
        <f t="shared" si="428"/>
        <v>165</v>
      </c>
      <c r="CK101" s="115">
        <f t="shared" ref="CK101:CK122" si="512">T101+273</f>
        <v>453</v>
      </c>
      <c r="CL101" s="115">
        <f t="shared" ref="CL101:CL122" si="513">R101+273</f>
        <v>601.39459228515625</v>
      </c>
      <c r="CM101" s="115">
        <f t="shared" ref="CM101:CM122" ca="1" si="514">FORECAST(T101,OFFSET(KnownA,MATCH(T101,KnownB,1)-1,0,2),OFFSET(KnownB,MATCH(T101,KnownB,1)-1,0,2))</f>
        <v>2816.5993052117487</v>
      </c>
      <c r="CN101" s="115">
        <f t="shared" ca="1" si="429"/>
        <v>125.80344444444444</v>
      </c>
      <c r="CO101" s="115">
        <f t="shared" ca="1" si="430"/>
        <v>690.58718083896258</v>
      </c>
      <c r="CP101" s="115">
        <f t="shared" ca="1" si="431"/>
        <v>2790.6388281929471</v>
      </c>
      <c r="CQ101" s="115">
        <f t="shared" si="432"/>
        <v>1.072449112508886</v>
      </c>
      <c r="CR101" s="115">
        <f t="shared" ca="1" si="481"/>
        <v>388.40830258438058</v>
      </c>
      <c r="CS101" s="115">
        <f t="shared" ca="1" si="482"/>
        <v>19.282591646582404</v>
      </c>
      <c r="CT101" s="115">
        <f t="shared" si="433"/>
        <v>1.1051813762195397</v>
      </c>
      <c r="CU101" s="115">
        <f t="shared" ca="1" si="434"/>
        <v>1.0074701187611435</v>
      </c>
      <c r="CV101" s="115">
        <f t="shared" si="360"/>
        <v>125.46310153191075</v>
      </c>
      <c r="CW101" s="115">
        <f t="shared" si="435"/>
        <v>473</v>
      </c>
      <c r="CX101" s="115">
        <f t="shared" si="436"/>
        <v>438</v>
      </c>
      <c r="CY101" s="115">
        <f t="shared" ca="1" si="437"/>
        <v>453.71740835341757</v>
      </c>
      <c r="CZ101" s="115">
        <f t="shared" ca="1" si="438"/>
        <v>147.67718393173868</v>
      </c>
      <c r="DA101" s="115">
        <v>0.21890000000000001</v>
      </c>
      <c r="DB101" s="115">
        <v>2.7E-2</v>
      </c>
      <c r="DC101" s="115">
        <v>1.06</v>
      </c>
      <c r="DD101" s="138">
        <f t="shared" ref="DD101:DD122" si="515">(CD101*(DC101*E101))*0.001</f>
        <v>8.7747207998566008</v>
      </c>
      <c r="DE101" s="138">
        <f t="shared" si="439"/>
        <v>8.7747207998566008</v>
      </c>
      <c r="DF101" s="115">
        <f t="shared" si="440"/>
        <v>601.39459228515625</v>
      </c>
      <c r="DG101" s="115">
        <v>598.46310153191075</v>
      </c>
      <c r="DH101" s="115">
        <f t="shared" si="441"/>
        <v>1.1051813762195397</v>
      </c>
      <c r="DI101" s="115">
        <f t="shared" si="299"/>
        <v>1.1044095925866</v>
      </c>
      <c r="DJ101" s="138">
        <f t="shared" si="483"/>
        <v>1.9920284203403411</v>
      </c>
      <c r="DK101" s="138">
        <f t="shared" si="484"/>
        <v>1.9594249185188921</v>
      </c>
      <c r="DL101" s="115">
        <f t="shared" si="442"/>
        <v>601.39459228515625</v>
      </c>
      <c r="DM101" s="115">
        <f t="shared" si="471"/>
        <v>598.46310153191075</v>
      </c>
      <c r="DN101" s="115">
        <f t="shared" si="300"/>
        <v>12.764228199668645</v>
      </c>
      <c r="DO101" s="115">
        <f t="shared" si="301"/>
        <v>1.1051813762195397</v>
      </c>
      <c r="DP101" s="115">
        <f t="shared" si="443"/>
        <v>1.1044095925866</v>
      </c>
      <c r="DQ101" s="115">
        <v>298.14999999999998</v>
      </c>
      <c r="DR101" s="138">
        <f t="shared" si="302"/>
        <v>1.3266909279466672</v>
      </c>
      <c r="DS101" s="138">
        <f t="shared" si="303"/>
        <v>1.3049769957335824</v>
      </c>
      <c r="DT101" s="115">
        <f t="shared" si="444"/>
        <v>601.39459228515625</v>
      </c>
      <c r="DU101" s="139">
        <f t="shared" si="422"/>
        <v>6.4012796076416318</v>
      </c>
      <c r="DV101" s="115">
        <f t="shared" si="445"/>
        <v>1.1051813762195397</v>
      </c>
      <c r="DW101" s="115">
        <v>298.14999999999998</v>
      </c>
      <c r="DX101" s="138">
        <f t="shared" si="485"/>
        <v>0.6653374923936739</v>
      </c>
      <c r="DY101" s="138">
        <f t="shared" si="486"/>
        <v>0.65444792278530994</v>
      </c>
      <c r="DZ101" s="138">
        <f t="shared" si="446"/>
        <v>2.4015617129957922</v>
      </c>
      <c r="EA101" s="138">
        <f t="shared" si="447"/>
        <v>2.8060505738634109</v>
      </c>
      <c r="EB101" s="115">
        <f t="shared" si="448"/>
        <v>16.173650327125667</v>
      </c>
      <c r="EC101" s="115">
        <v>30</v>
      </c>
      <c r="ED101" s="198">
        <f t="shared" ca="1" si="449"/>
        <v>125.80344444444444</v>
      </c>
      <c r="EE101" s="198">
        <v>104.83</v>
      </c>
      <c r="EF101" s="198">
        <f t="shared" ca="1" si="450"/>
        <v>0.42491111111111107</v>
      </c>
      <c r="EG101" s="199">
        <v>0.36720000000000003</v>
      </c>
      <c r="EH101" s="138">
        <f t="shared" ca="1" si="304"/>
        <v>6.0924146032075632E-2</v>
      </c>
      <c r="EI101" s="138">
        <f t="shared" ca="1" si="451"/>
        <v>6.0924146032075632E-2</v>
      </c>
      <c r="EJ101" s="115">
        <f t="shared" si="452"/>
        <v>12.764228199668645</v>
      </c>
      <c r="EK101" s="115">
        <v>435</v>
      </c>
      <c r="EL101" s="115">
        <f t="shared" ca="1" si="453"/>
        <v>453.71740835341757</v>
      </c>
      <c r="EM101" s="115">
        <f t="shared" ca="1" si="305"/>
        <v>1.0619505990542366</v>
      </c>
      <c r="EN101" s="115">
        <f t="shared" ca="1" si="306"/>
        <v>1.0677730316133116</v>
      </c>
      <c r="EO101" s="115">
        <v>298.14999999999998</v>
      </c>
      <c r="EP101" s="138">
        <f t="shared" ca="1" si="307"/>
        <v>0.32835639385267651</v>
      </c>
      <c r="EQ101" s="138">
        <f t="shared" ca="1" si="308"/>
        <v>0.41406940945493553</v>
      </c>
      <c r="ER101" s="115">
        <f t="shared" si="454"/>
        <v>0.65496338738335502</v>
      </c>
      <c r="ES101" s="115">
        <f t="shared" si="455"/>
        <v>453</v>
      </c>
      <c r="ET101" s="115">
        <f t="shared" ref="ET101:ET122" ca="1" si="516">FORECAST(T101,OFFSET(KnownA,MATCH(T101,KnownB,1)-1,0,2),OFFSET(KnownB,MATCH(T101,KnownB,1)-1,0,2))</f>
        <v>2816.5993052117487</v>
      </c>
      <c r="EU101" s="115">
        <f t="shared" ref="EU101:EU122" ca="1" si="517">FORECAST(T101,OFFSET(Svapour,MATCH(T101,Suhu,1)-1,0,2),OFFSET(Suhu,MATCH(T101,Suhu,1)-1,0,2))</f>
        <v>6.5855309782608691</v>
      </c>
      <c r="EV101" s="138">
        <f t="shared" ca="1" si="456"/>
        <v>0.56181051490049339</v>
      </c>
      <c r="EW101" s="138">
        <f t="shared" ca="1" si="487"/>
        <v>0.66086130835532719</v>
      </c>
      <c r="EX101" s="115">
        <v>21.47</v>
      </c>
      <c r="EY101" s="115">
        <f t="shared" ref="EY101:EY122" ca="1" si="518">FORECAST(AD101,OFFSET(KnownY1SAC,MATCH(AD101,KnownX1SAC,1)-1,0,2),OFFSET(KnownX1SAC,MATCH(AD101,KnownX1SAC,1)-1,0,2))</f>
        <v>117.46607948387994</v>
      </c>
      <c r="EZ101" s="115">
        <f t="shared" ref="EZ101:EZ122" ca="1" si="519">FORECAST(AD101,OFFSET(KnownYSAC,MATCH(AD101,KnownXSAC,1)-1,0,2),OFFSET(KnownXSAC,MATCH(AD101,KnownXSAC,1)-1,0,2))</f>
        <v>0.39768368754916722</v>
      </c>
      <c r="FA101" s="138">
        <f t="shared" ca="1" si="310"/>
        <v>7.6161991842325555E-2</v>
      </c>
      <c r="FB101" s="138">
        <f t="shared" ca="1" si="457"/>
        <v>7.6161991842325555E-2</v>
      </c>
      <c r="FC101" s="115">
        <f t="shared" si="458"/>
        <v>21.47</v>
      </c>
      <c r="FD101" s="115">
        <v>37</v>
      </c>
      <c r="FE101" s="115">
        <f t="shared" ca="1" si="459"/>
        <v>154.93355555555553</v>
      </c>
      <c r="FF101" s="115">
        <f t="shared" ca="1" si="460"/>
        <v>0.52252222222222222</v>
      </c>
      <c r="FG101" s="138">
        <f t="shared" ca="1" si="461"/>
        <v>8.1462225449999703E-2</v>
      </c>
      <c r="FH101" s="138">
        <f t="shared" ca="1" si="312"/>
        <v>8.1462225449999703E-2</v>
      </c>
      <c r="FI101" s="115">
        <f t="shared" si="462"/>
        <v>75.582987060546884</v>
      </c>
      <c r="FJ101" s="115">
        <f t="shared" ref="FJ101:FJ122" ca="1" si="520">FORECAST(AA101,OFFSET(KnownY1SAC,MATCH(AA101,KnownX1SAC,1)-1,0,2),OFFSET(KnownX1SAC,MATCH(AA101,KnownX1SAC,1)-1,0,2))</f>
        <v>50.520138918558764</v>
      </c>
      <c r="FK101" s="115">
        <f t="shared" ref="FK101:FK122" ca="1" si="521">FORECAST(AA101,OFFSET(KnownYSAC,MATCH(AA101,KnownXSAC,1)-1,0,2),OFFSET(KnownXSAC,MATCH(AA101,KnownXSAC,1)-1,0,2))</f>
        <v>0.17462534472147623</v>
      </c>
      <c r="FL101" s="138">
        <f t="shared" ca="1" si="463"/>
        <v>0.23478134584861426</v>
      </c>
      <c r="FM101" s="138">
        <f t="shared" ca="1" si="488"/>
        <v>0.33552745391577521</v>
      </c>
      <c r="FN101" s="115">
        <f t="shared" si="464"/>
        <v>75.582987060546884</v>
      </c>
      <c r="FO101" s="115">
        <f t="shared" ref="FO101:FO122" ca="1" si="522">FORECAST(AB101,OFFSET(KnownY1SAC,MATCH(AB101,KnownX1SAC,1)-1,0,2),OFFSET(KnownX1SAC,MATCH(AB101,KnownX1SAC,1)-1,0,2))</f>
        <v>63.162580911636354</v>
      </c>
      <c r="FP101" s="115">
        <f t="shared" ref="FP101:FP122" ca="1" si="523">FORECAST(AB101,OFFSET(KnownYSAC,MATCH(AB101,KnownXSAC,1)-1,0,2),OFFSET(KnownXSAC,MATCH(AB101,KnownXSAC,1)-1,0,2))</f>
        <v>0.21674891691207884</v>
      </c>
      <c r="FQ101" s="138">
        <f t="shared" ca="1" si="465"/>
        <v>0.24107732888909231</v>
      </c>
      <c r="FR101" s="138">
        <f t="shared" ca="1" si="489"/>
        <v>0.3445250816950734</v>
      </c>
      <c r="FS101" s="139">
        <f t="shared" si="468"/>
        <v>4.381130666520467</v>
      </c>
      <c r="FT101" s="249">
        <f t="shared" si="316"/>
        <v>4.0092453074742975</v>
      </c>
      <c r="FU101" s="139">
        <f t="shared" ca="1" si="469"/>
        <v>0.49744816522557311</v>
      </c>
      <c r="FV101" s="249">
        <f t="shared" ca="1" si="318"/>
        <v>0.29097042395539519</v>
      </c>
      <c r="FW101" s="139">
        <f t="shared" ca="1" si="466"/>
        <v>0.56280626433329717</v>
      </c>
      <c r="FX101" s="249">
        <f t="shared" ca="1" si="319"/>
        <v>0.66455870252695115</v>
      </c>
      <c r="FY101" s="249">
        <f t="shared" ref="FY101:FY122" si="524">((AF101/100*(1+(AF101/100)*AE101))/((1+(AF101/100)*AE101-1)))</f>
        <v>0.15000000000000002</v>
      </c>
      <c r="FZ101" s="139">
        <f t="shared" ref="FZ101:FZ122" si="525">(AG101*FY101)+(AH101)</f>
        <v>1050000</v>
      </c>
      <c r="GA101" s="139">
        <f t="shared" si="320"/>
        <v>3.3757716049382713E-2</v>
      </c>
      <c r="GB101" s="139">
        <f t="shared" si="361"/>
        <v>121.52777777777777</v>
      </c>
      <c r="GC101" s="139">
        <f t="shared" ref="GC101:GC122" si="526">(AI101*FY101)+(AJ101)</f>
        <v>1050000</v>
      </c>
      <c r="GD101" s="139">
        <f t="shared" si="362"/>
        <v>6.7515432098765427E-2</v>
      </c>
      <c r="GE101" s="139">
        <f t="shared" si="363"/>
        <v>243.05555555555554</v>
      </c>
      <c r="GF101" s="139">
        <f t="shared" si="364"/>
        <v>4.5814043209876545E-2</v>
      </c>
      <c r="GG101" s="139">
        <f t="shared" ref="GG101:GG122" si="527">(AK101*FY101)+(AL101)</f>
        <v>712500</v>
      </c>
      <c r="GH101" s="139">
        <f t="shared" si="365"/>
        <v>164.93055555555554</v>
      </c>
      <c r="GI101" s="137">
        <f t="shared" ref="GI101:GI122" si="528">((AM101*(DD101-DJ101)*10^(-3))+GA101)/(DZ101*10^(-3))</f>
        <v>54.746028157263439</v>
      </c>
      <c r="GJ101" s="137">
        <f t="shared" si="321"/>
        <v>0.19708570136614681</v>
      </c>
      <c r="GK101" s="251">
        <f t="shared" ref="GK101:GK122" si="529">((AM101*(DE101-DK101)*10^(-3))+GA101)/(EA101*10^(-3))</f>
        <v>47.021848088129921</v>
      </c>
      <c r="GL101" s="137">
        <f t="shared" si="329"/>
        <v>0.16927865311726636</v>
      </c>
      <c r="GM101" s="137">
        <f t="shared" ref="GM101:GM122" ca="1" si="530">(AM101*(DD101*(EXP(-3))+(GA101+GD101+GF101))-(GI101*DZ101*EXP(-3))/(FL101)*(EXP(-3)))</f>
        <v>7.0249525823440546</v>
      </c>
      <c r="GN101" s="137">
        <f t="shared" ca="1" si="322"/>
        <v>2.5289829296438394E-2</v>
      </c>
      <c r="GO101" s="137">
        <f t="shared" ca="1" si="366"/>
        <v>8.8923450409417709E-2</v>
      </c>
      <c r="GP101" s="137">
        <f t="shared" ref="GP101:GP122" ca="1" si="531">(AM101*(DE101*(EXP(-3))+(GA101+GD101+GF101))-(GK101*EA101*EXP(-3))/(FM101)*(EXP(-3)))</f>
        <v>7.4382713377692564</v>
      </c>
      <c r="GQ101" s="137">
        <f t="shared" ca="1" si="323"/>
        <v>2.6777776815969111E-2</v>
      </c>
      <c r="GR101" s="137">
        <f t="shared" ca="1" si="406"/>
        <v>9.4155333389483523E-2</v>
      </c>
      <c r="GS101" s="140">
        <f t="shared" ref="GS101:GS122" si="532">(AM101*(FS101*0.001))</f>
        <v>6.3118949512560363E-2</v>
      </c>
      <c r="GT101" s="140">
        <f t="shared" ref="GT101:GT122" si="533">(AM101*(FT101*0.001))</f>
        <v>5.7761197144782207E-2</v>
      </c>
      <c r="GU101" s="140">
        <f t="shared" si="467"/>
        <v>227.22821824521731</v>
      </c>
      <c r="GV101" s="140">
        <f t="shared" si="324"/>
        <v>207.94030972121595</v>
      </c>
      <c r="GW101" s="141">
        <f t="shared" ref="GW101:GW122" ca="1" si="534">((66.6/100)*AM101*(0.001*FU101))</f>
        <v>4.7730459871256166E-3</v>
      </c>
      <c r="GX101" s="141">
        <f t="shared" ref="GX101:GX122" ca="1" si="535">((66.6/100)*AM101*(0.001*FV101))</f>
        <v>2.7918792580183018E-3</v>
      </c>
      <c r="GY101" s="141">
        <f t="shared" ca="1" si="325"/>
        <v>17.18296555365222</v>
      </c>
      <c r="GZ101" s="141">
        <f t="shared" ca="1" si="326"/>
        <v>10.050765328865886</v>
      </c>
      <c r="HA101" s="141">
        <f t="shared" ref="HA101:HA122" ca="1" si="536">(((66.6/100)*AM101)/KC101)*(FW101*0.001)</f>
        <v>1.0763254005919501E-2</v>
      </c>
      <c r="HB101" s="141">
        <f t="shared" ref="HB101:HB122" ca="1" si="537">(((66.6/100)*AM101)/KD101)*(FX101*0.001)</f>
        <v>9.4690852689323264E-3</v>
      </c>
      <c r="HC101" s="141">
        <f t="shared" ca="1" si="470"/>
        <v>38.747714421310206</v>
      </c>
      <c r="HD101" s="141">
        <f t="shared" ca="1" si="328"/>
        <v>34.088706968156373</v>
      </c>
      <c r="HE101" s="137">
        <f t="shared" si="367"/>
        <v>6.7826923795162593</v>
      </c>
      <c r="HF101" s="250">
        <f t="shared" si="368"/>
        <v>6.8152958813377085</v>
      </c>
      <c r="HG101" s="137">
        <v>2.4015617129957922</v>
      </c>
      <c r="HH101" s="251">
        <v>2.7394690170957841</v>
      </c>
      <c r="HI101" s="137">
        <f t="shared" ca="1" si="369"/>
        <v>0.91262151849173168</v>
      </c>
      <c r="HJ101" s="251">
        <f t="shared" ca="1" si="370"/>
        <v>0.89090758627864686</v>
      </c>
      <c r="HK101" s="137">
        <f t="shared" ca="1" si="371"/>
        <v>0.50088636886841775</v>
      </c>
      <c r="HL101" s="251">
        <f t="shared" ca="1" si="372"/>
        <v>0.59993716232325156</v>
      </c>
      <c r="HM101" s="137">
        <f t="shared" ca="1" si="373"/>
        <v>0.56181051490049339</v>
      </c>
      <c r="HN101" s="251">
        <f t="shared" ca="1" si="374"/>
        <v>0.66086130835532719</v>
      </c>
      <c r="HO101" s="137">
        <f t="shared" ca="1" si="375"/>
        <v>0.23478134584861426</v>
      </c>
      <c r="HP101" s="251">
        <f t="shared" ca="1" si="376"/>
        <v>0.33552745391577521</v>
      </c>
      <c r="JN101" s="143">
        <f t="shared" ref="JN101:JN122" si="538">CD101+M101</f>
        <v>19.165507807310277</v>
      </c>
      <c r="JO101" s="143">
        <f t="shared" si="490"/>
        <v>2401.5617129957923</v>
      </c>
      <c r="JP101" s="143">
        <f t="shared" ref="JP101:JP122" si="539">CA101-BS101</f>
        <v>2806.050573863411</v>
      </c>
      <c r="JQ101" s="143">
        <f t="shared" ref="JQ101:JQ122" si="540">(1/3.6)*U101</f>
        <v>0.65496338738335502</v>
      </c>
      <c r="JR101" s="143">
        <f t="shared" ca="1" si="491"/>
        <v>0.77043762911355385</v>
      </c>
      <c r="JS101" s="143">
        <f t="shared" ref="JS101:JS122" si="541">0.28*Z101</f>
        <v>75.582987060546884</v>
      </c>
      <c r="JT101" s="143">
        <f t="shared" ca="1" si="492"/>
        <v>108.01610799235462</v>
      </c>
      <c r="JU101" s="143">
        <f t="shared" si="423"/>
        <v>0.29011241198889676</v>
      </c>
      <c r="JV101" s="143">
        <f t="shared" ref="JV101:JV122" si="542">JP101/(CD101*E101)</f>
        <v>0.33897529917348762</v>
      </c>
      <c r="JW101" s="143">
        <f t="shared" ref="JW101:JW122" ca="1" si="543">(JQ101*(CM101-CN101))/((JN101*CU101)+(CD101*E101))</f>
        <v>0.2124019564668567</v>
      </c>
      <c r="JX101" s="143">
        <f t="shared" ref="JX101:JX122" ca="1" si="544">(JR101*(CM101-CN101))/((JN101*CU101)+(CD101*E101))</f>
        <v>0.24984978231099839</v>
      </c>
      <c r="JY101" s="143">
        <f t="shared" ref="JY101:JY122" si="545">Y101/(X101*(DA101-DB101))</f>
        <v>0.76455280483118271</v>
      </c>
      <c r="JZ101" s="143">
        <f t="shared" ref="JZ101:JZ122" si="546">((BO101/(BM101-BO101)))*((BN101-BM101)/BN101)</f>
        <v>0.48393293412793903</v>
      </c>
      <c r="KA101" s="143">
        <f t="shared" si="493"/>
        <v>0.27369095470650634</v>
      </c>
      <c r="KB101" s="143">
        <f t="shared" si="494"/>
        <v>0.31978801808819585</v>
      </c>
      <c r="KC101" s="143">
        <f t="shared" ca="1" si="495"/>
        <v>0.50172196970325433</v>
      </c>
      <c r="KD101" s="143">
        <f t="shared" ca="1" si="496"/>
        <v>0.67339999295461239</v>
      </c>
      <c r="KE101" s="143">
        <f t="shared" ca="1" si="497"/>
        <v>0.50771235911933765</v>
      </c>
      <c r="KF101" s="143">
        <f t="shared" ca="1" si="498"/>
        <v>0.41790130234603778</v>
      </c>
      <c r="KG101" s="142">
        <f t="shared" si="499"/>
        <v>0.16927865311726636</v>
      </c>
      <c r="KH101" s="142">
        <f t="shared" ca="1" si="500"/>
        <v>9.4155333389483523E-2</v>
      </c>
      <c r="KI101" s="142">
        <f t="shared" ca="1" si="501"/>
        <v>283.15889822017971</v>
      </c>
      <c r="KJ101" s="142">
        <f t="shared" ca="1" si="502"/>
        <v>252.07978201823821</v>
      </c>
    </row>
    <row r="102" spans="1:296" x14ac:dyDescent="0.3">
      <c r="A102" s="201">
        <v>41452</v>
      </c>
      <c r="B102" s="196">
        <v>122</v>
      </c>
      <c r="C102" s="179">
        <v>24</v>
      </c>
      <c r="D102" s="179">
        <v>4.2</v>
      </c>
      <c r="E102" s="179">
        <v>50016</v>
      </c>
      <c r="F102" s="179">
        <v>300</v>
      </c>
      <c r="G102" s="179">
        <v>11.7</v>
      </c>
      <c r="H102" s="179">
        <v>0.85</v>
      </c>
      <c r="I102" s="179">
        <v>1.4</v>
      </c>
      <c r="J102" s="179">
        <v>1.33</v>
      </c>
      <c r="K102" s="179">
        <v>0.91</v>
      </c>
      <c r="L102" s="152">
        <v>19738.011156864464</v>
      </c>
      <c r="M102" s="155">
        <v>19</v>
      </c>
      <c r="N102" s="153">
        <v>56689.633055254817</v>
      </c>
      <c r="O102" s="178">
        <v>17</v>
      </c>
      <c r="P102" s="179">
        <v>2</v>
      </c>
      <c r="Q102" s="179">
        <v>5</v>
      </c>
      <c r="R102" s="154">
        <v>345.39804077148437</v>
      </c>
      <c r="S102" s="155">
        <v>70.006016046681907</v>
      </c>
      <c r="T102" s="152">
        <v>180</v>
      </c>
      <c r="U102" s="156">
        <v>2.8243725299835205</v>
      </c>
      <c r="V102" s="178">
        <v>17</v>
      </c>
      <c r="W102" s="179">
        <v>1250</v>
      </c>
      <c r="X102" s="155">
        <v>61605.318626120687</v>
      </c>
      <c r="Y102" s="155">
        <v>9302.9150114823133</v>
      </c>
      <c r="Z102" s="155">
        <v>381.55026245117187</v>
      </c>
      <c r="AA102" s="155">
        <v>11.169635772705078</v>
      </c>
      <c r="AB102" s="155">
        <v>14.102930068969727</v>
      </c>
      <c r="AC102" s="215">
        <v>37</v>
      </c>
      <c r="AD102" s="215">
        <v>27.15142822265625</v>
      </c>
      <c r="AE102" s="254">
        <v>20</v>
      </c>
      <c r="AF102" s="254">
        <v>10</v>
      </c>
      <c r="AG102" s="217">
        <v>5000000</v>
      </c>
      <c r="AH102" s="218">
        <v>300000</v>
      </c>
      <c r="AI102" s="219">
        <v>5000000</v>
      </c>
      <c r="AJ102" s="225">
        <f t="shared" si="473"/>
        <v>300000</v>
      </c>
      <c r="AK102" s="220">
        <v>2750000</v>
      </c>
      <c r="AL102" s="226">
        <f t="shared" si="474"/>
        <v>300000</v>
      </c>
      <c r="AM102" s="221">
        <v>14.407</v>
      </c>
      <c r="BM102" s="197">
        <f t="shared" si="475"/>
        <v>9.84857177734375</v>
      </c>
      <c r="BN102" s="196">
        <f t="shared" si="476"/>
        <v>180</v>
      </c>
      <c r="BO102" s="197">
        <f t="shared" si="477"/>
        <v>2.9332942962646484</v>
      </c>
      <c r="BP102" s="196">
        <f t="shared" si="472"/>
        <v>12.647246469582409</v>
      </c>
      <c r="BQ102" s="115">
        <f t="shared" si="478"/>
        <v>659.74492511188635</v>
      </c>
      <c r="BR102" s="184">
        <f t="shared" si="479"/>
        <v>1.0041987768</v>
      </c>
      <c r="BS102" s="115">
        <f t="shared" si="480"/>
        <v>6863.8528613899143</v>
      </c>
      <c r="BT102" s="196">
        <v>900</v>
      </c>
      <c r="BU102" s="115">
        <f t="shared" si="424"/>
        <v>1.1850729520000001</v>
      </c>
      <c r="BV102" s="115">
        <f t="shared" si="425"/>
        <v>1.0604908378592197</v>
      </c>
      <c r="BW102" s="115">
        <f t="shared" si="426"/>
        <v>423.01718083013463</v>
      </c>
      <c r="BX102" s="115">
        <f t="shared" si="503"/>
        <v>1017.6360204682153</v>
      </c>
      <c r="BY102" s="115"/>
      <c r="BZ102" s="115">
        <f t="shared" si="504"/>
        <v>594.61883963808066</v>
      </c>
      <c r="CA102" s="115">
        <f t="shared" si="505"/>
        <v>9606.2777445080992</v>
      </c>
      <c r="CB102" s="115">
        <f t="shared" si="506"/>
        <v>2362.0680439689509</v>
      </c>
      <c r="CC102" s="115">
        <f t="shared" si="507"/>
        <v>822.41713153601938</v>
      </c>
      <c r="CD102" s="129">
        <f t="shared" si="427"/>
        <v>0.16249465088243684</v>
      </c>
      <c r="CE102" s="115">
        <f t="shared" si="508"/>
        <v>22.444133085363053</v>
      </c>
      <c r="CF102" s="115">
        <f t="shared" si="509"/>
        <v>19.446115568522753</v>
      </c>
      <c r="CG102" s="115">
        <f t="shared" si="510"/>
        <v>0.02</v>
      </c>
      <c r="CH102" s="115">
        <f t="shared" si="511"/>
        <v>0.05</v>
      </c>
      <c r="CI102" s="136">
        <v>30</v>
      </c>
      <c r="CJ102" s="115">
        <f t="shared" si="428"/>
        <v>165</v>
      </c>
      <c r="CK102" s="115">
        <f t="shared" si="512"/>
        <v>453</v>
      </c>
      <c r="CL102" s="115">
        <f t="shared" si="513"/>
        <v>618.39804077148437</v>
      </c>
      <c r="CM102" s="115">
        <f t="shared" ca="1" si="514"/>
        <v>2816.5993052117487</v>
      </c>
      <c r="CN102" s="115">
        <f t="shared" ca="1" si="429"/>
        <v>125.80344444444444</v>
      </c>
      <c r="CO102" s="115">
        <f t="shared" ca="1" si="430"/>
        <v>690.58718083896258</v>
      </c>
      <c r="CP102" s="115">
        <f t="shared" ca="1" si="431"/>
        <v>2790.6388281929471</v>
      </c>
      <c r="CQ102" s="115">
        <f t="shared" si="432"/>
        <v>1.072449112508886</v>
      </c>
      <c r="CR102" s="115">
        <f t="shared" ca="1" si="481"/>
        <v>465.25490388245493</v>
      </c>
      <c r="CS102" s="115">
        <f t="shared" ca="1" si="482"/>
        <v>23.101285259012489</v>
      </c>
      <c r="CT102" s="115">
        <f t="shared" si="433"/>
        <v>1.1096744260979663</v>
      </c>
      <c r="CU102" s="115">
        <f t="shared" ca="1" si="434"/>
        <v>1.0105216532533841</v>
      </c>
      <c r="CV102" s="115">
        <f t="shared" si="360"/>
        <v>121.61883963808066</v>
      </c>
      <c r="CW102" s="115">
        <f t="shared" si="435"/>
        <v>473</v>
      </c>
      <c r="CX102" s="115">
        <f t="shared" si="436"/>
        <v>438</v>
      </c>
      <c r="CY102" s="115">
        <f t="shared" ca="1" si="437"/>
        <v>449.89871474098749</v>
      </c>
      <c r="CZ102" s="115">
        <f t="shared" ca="1" si="438"/>
        <v>168.49932603049689</v>
      </c>
      <c r="DA102" s="115">
        <v>0.21890000000000001</v>
      </c>
      <c r="DB102" s="115">
        <v>2.7E-2</v>
      </c>
      <c r="DC102" s="115">
        <v>1.06</v>
      </c>
      <c r="DD102" s="138">
        <f t="shared" si="515"/>
        <v>8.6149724060481194</v>
      </c>
      <c r="DE102" s="138">
        <f t="shared" si="439"/>
        <v>8.6149724060481194</v>
      </c>
      <c r="DF102" s="115">
        <f t="shared" si="440"/>
        <v>618.39804077148437</v>
      </c>
      <c r="DG102" s="115">
        <v>594.61883963808066</v>
      </c>
      <c r="DH102" s="115">
        <f t="shared" si="441"/>
        <v>1.1096744260979663</v>
      </c>
      <c r="DI102" s="115">
        <f t="shared" si="299"/>
        <v>1.1033988438641196</v>
      </c>
      <c r="DJ102" s="138">
        <f t="shared" si="483"/>
        <v>2.1846128991874911</v>
      </c>
      <c r="DK102" s="138">
        <f t="shared" si="484"/>
        <v>1.9166663191375124</v>
      </c>
      <c r="DL102" s="115">
        <f t="shared" si="442"/>
        <v>618.39804077148437</v>
      </c>
      <c r="DM102" s="115">
        <f t="shared" si="471"/>
        <v>594.61883963808066</v>
      </c>
      <c r="DN102" s="115">
        <f t="shared" si="300"/>
        <v>12.762221437487703</v>
      </c>
      <c r="DO102" s="115">
        <f t="shared" si="301"/>
        <v>1.1096744260979663</v>
      </c>
      <c r="DP102" s="115">
        <f t="shared" si="443"/>
        <v>1.1033988438641196</v>
      </c>
      <c r="DQ102" s="115">
        <v>298.14999999999998</v>
      </c>
      <c r="DR102" s="138">
        <f t="shared" si="302"/>
        <v>1.4549521908588692</v>
      </c>
      <c r="DS102" s="138">
        <f t="shared" si="303"/>
        <v>1.2764997685455832</v>
      </c>
      <c r="DT102" s="115">
        <f t="shared" si="444"/>
        <v>618.39804077148437</v>
      </c>
      <c r="DU102" s="139">
        <f t="shared" si="422"/>
        <v>6.4002732133947333</v>
      </c>
      <c r="DV102" s="115">
        <f t="shared" si="445"/>
        <v>1.1096744260979663</v>
      </c>
      <c r="DW102" s="115">
        <v>298.14999999999998</v>
      </c>
      <c r="DX102" s="138">
        <f t="shared" si="485"/>
        <v>0.72966070832862207</v>
      </c>
      <c r="DY102" s="138">
        <f t="shared" si="486"/>
        <v>0.64016655059192917</v>
      </c>
      <c r="DZ102" s="138">
        <f t="shared" si="446"/>
        <v>2.362068043968951</v>
      </c>
      <c r="EA102" s="138">
        <f t="shared" si="447"/>
        <v>2.742424883118185</v>
      </c>
      <c r="EB102" s="115">
        <f t="shared" si="448"/>
        <v>19.446115568522753</v>
      </c>
      <c r="EC102" s="115">
        <v>30</v>
      </c>
      <c r="ED102" s="198">
        <f t="shared" ca="1" si="449"/>
        <v>125.80344444444444</v>
      </c>
      <c r="EE102" s="198">
        <v>104.83</v>
      </c>
      <c r="EF102" s="198">
        <f t="shared" ca="1" si="450"/>
        <v>0.42491111111111107</v>
      </c>
      <c r="EG102" s="199">
        <v>0.36720000000000003</v>
      </c>
      <c r="EH102" s="138">
        <f t="shared" ca="1" si="304"/>
        <v>7.3251118992372077E-2</v>
      </c>
      <c r="EI102" s="138">
        <f t="shared" ca="1" si="451"/>
        <v>7.3251118992372077E-2</v>
      </c>
      <c r="EJ102" s="115">
        <f t="shared" si="452"/>
        <v>12.762221437487703</v>
      </c>
      <c r="EK102" s="115">
        <v>435</v>
      </c>
      <c r="EL102" s="115">
        <f t="shared" ca="1" si="453"/>
        <v>449.89871474098749</v>
      </c>
      <c r="EM102" s="115">
        <f t="shared" ca="1" si="305"/>
        <v>1.0622369357579804</v>
      </c>
      <c r="EN102" s="115">
        <f t="shared" ca="1" si="306"/>
        <v>1.0668560509209797</v>
      </c>
      <c r="EO102" s="115">
        <v>298.14999999999998</v>
      </c>
      <c r="EP102" s="138">
        <f t="shared" ca="1" si="307"/>
        <v>0.32839329215792235</v>
      </c>
      <c r="EQ102" s="138">
        <f t="shared" ca="1" si="308"/>
        <v>0.39596628838996556</v>
      </c>
      <c r="ER102" s="115">
        <f t="shared" si="454"/>
        <v>0.78454792499542236</v>
      </c>
      <c r="ES102" s="115">
        <f t="shared" si="455"/>
        <v>453</v>
      </c>
      <c r="ET102" s="115">
        <f t="shared" ca="1" si="516"/>
        <v>2816.5993052117487</v>
      </c>
      <c r="EU102" s="115">
        <f t="shared" ca="1" si="517"/>
        <v>6.5855309782608691</v>
      </c>
      <c r="EV102" s="138">
        <f t="shared" ca="1" si="456"/>
        <v>0.6729647522233293</v>
      </c>
      <c r="EW102" s="138">
        <f t="shared" ca="1" si="487"/>
        <v>0.64311538213821395</v>
      </c>
      <c r="EX102" s="115">
        <v>21.47</v>
      </c>
      <c r="EY102" s="115">
        <f t="shared" ca="1" si="518"/>
        <v>113.71618838161892</v>
      </c>
      <c r="EZ102" s="115">
        <f t="shared" ca="1" si="519"/>
        <v>0.38518936021592881</v>
      </c>
      <c r="FA102" s="138">
        <f t="shared" ca="1" si="310"/>
        <v>7.5631523795657532E-2</v>
      </c>
      <c r="FB102" s="138">
        <f t="shared" ca="1" si="457"/>
        <v>7.5631523795657532E-2</v>
      </c>
      <c r="FC102" s="115">
        <f t="shared" si="458"/>
        <v>21.47</v>
      </c>
      <c r="FD102" s="115">
        <v>37</v>
      </c>
      <c r="FE102" s="115">
        <f t="shared" ca="1" si="459"/>
        <v>154.93355555555553</v>
      </c>
      <c r="FF102" s="115">
        <f t="shared" ca="1" si="460"/>
        <v>0.52252222222222222</v>
      </c>
      <c r="FG102" s="138">
        <f t="shared" ca="1" si="461"/>
        <v>8.1462225449999703E-2</v>
      </c>
      <c r="FH102" s="138">
        <f t="shared" ca="1" si="312"/>
        <v>8.1462225449999703E-2</v>
      </c>
      <c r="FI102" s="115">
        <f t="shared" si="462"/>
        <v>106.83407348632814</v>
      </c>
      <c r="FJ102" s="115">
        <f t="shared" ca="1" si="520"/>
        <v>46.830611223856614</v>
      </c>
      <c r="FK102" s="115">
        <f t="shared" ca="1" si="521"/>
        <v>0.16233214327494302</v>
      </c>
      <c r="FL102" s="138">
        <f t="shared" ca="1" si="463"/>
        <v>0.32925863026111718</v>
      </c>
      <c r="FM102" s="138">
        <f t="shared" ca="1" si="488"/>
        <v>0.30799296154914524</v>
      </c>
      <c r="FN102" s="115">
        <f t="shared" si="464"/>
        <v>106.83407348632814</v>
      </c>
      <c r="FO102" s="115">
        <f t="shared" ca="1" si="522"/>
        <v>59.106773775312639</v>
      </c>
      <c r="FP102" s="115">
        <f t="shared" ca="1" si="523"/>
        <v>0.20323530262841119</v>
      </c>
      <c r="FQ102" s="138">
        <f t="shared" ca="1" si="465"/>
        <v>0.33789996735061167</v>
      </c>
      <c r="FR102" s="138">
        <f t="shared" ca="1" si="489"/>
        <v>0.31607618475829002</v>
      </c>
      <c r="FS102" s="139">
        <f t="shared" si="468"/>
        <v>4.0682914628916773</v>
      </c>
      <c r="FT102" s="249">
        <f t="shared" si="316"/>
        <v>3.9558812037924223</v>
      </c>
      <c r="FU102" s="139">
        <f t="shared" ca="1" si="469"/>
        <v>0.52684526546998955</v>
      </c>
      <c r="FV102" s="249">
        <f t="shared" ca="1" si="318"/>
        <v>0.31066921700977579</v>
      </c>
      <c r="FW102" s="139">
        <f t="shared" ca="1" si="466"/>
        <v>0.67577538765848177</v>
      </c>
      <c r="FX102" s="249">
        <f t="shared" ca="1" si="319"/>
        <v>0.64536790369301666</v>
      </c>
      <c r="FY102" s="249">
        <f t="shared" si="524"/>
        <v>0.15000000000000002</v>
      </c>
      <c r="FZ102" s="139">
        <f t="shared" si="525"/>
        <v>1050000</v>
      </c>
      <c r="GA102" s="139">
        <f t="shared" si="320"/>
        <v>3.3757716049382713E-2</v>
      </c>
      <c r="GB102" s="139">
        <f t="shared" si="361"/>
        <v>121.52777777777777</v>
      </c>
      <c r="GC102" s="139">
        <f t="shared" si="526"/>
        <v>1050000</v>
      </c>
      <c r="GD102" s="139">
        <f t="shared" si="362"/>
        <v>6.7515432098765427E-2</v>
      </c>
      <c r="GE102" s="139">
        <f t="shared" si="363"/>
        <v>243.05555555555554</v>
      </c>
      <c r="GF102" s="139">
        <f t="shared" si="364"/>
        <v>4.5814043209876545E-2</v>
      </c>
      <c r="GG102" s="139">
        <f t="shared" si="527"/>
        <v>712500</v>
      </c>
      <c r="GH102" s="139">
        <f t="shared" si="365"/>
        <v>164.93055555555554</v>
      </c>
      <c r="GI102" s="137">
        <f t="shared" si="528"/>
        <v>53.512389614456552</v>
      </c>
      <c r="GJ102" s="137">
        <f t="shared" si="321"/>
        <v>0.19264460261204205</v>
      </c>
      <c r="GK102" s="251">
        <f t="shared" si="529"/>
        <v>47.498187697084958</v>
      </c>
      <c r="GL102" s="137">
        <f t="shared" si="329"/>
        <v>0.17099347570950449</v>
      </c>
      <c r="GM102" s="137">
        <f t="shared" ca="1" si="530"/>
        <v>7.3468780656334909</v>
      </c>
      <c r="GN102" s="137">
        <f t="shared" ca="1" si="322"/>
        <v>2.6448761036280358E-2</v>
      </c>
      <c r="GO102" s="137">
        <f t="shared" ca="1" si="366"/>
        <v>9.2998456527005488E-2</v>
      </c>
      <c r="GP102" s="137">
        <f t="shared" ca="1" si="531"/>
        <v>7.2501076528480377</v>
      </c>
      <c r="GQ102" s="137">
        <f t="shared" ca="1" si="323"/>
        <v>2.6100387550252728E-2</v>
      </c>
      <c r="GR102" s="137">
        <f t="shared" ca="1" si="406"/>
        <v>9.1773514593012404E-2</v>
      </c>
      <c r="GS102" s="140">
        <f t="shared" si="532"/>
        <v>5.8611875105880396E-2</v>
      </c>
      <c r="GT102" s="140">
        <f t="shared" si="533"/>
        <v>5.6992380503037433E-2</v>
      </c>
      <c r="GU102" s="140">
        <f t="shared" si="467"/>
        <v>211.00275038116942</v>
      </c>
      <c r="GV102" s="140">
        <f t="shared" si="324"/>
        <v>205.17256981093476</v>
      </c>
      <c r="GW102" s="141">
        <f t="shared" ca="1" si="534"/>
        <v>5.0551129865910082E-3</v>
      </c>
      <c r="GX102" s="141">
        <f t="shared" ca="1" si="535"/>
        <v>2.9808903987002529E-3</v>
      </c>
      <c r="GY102" s="141">
        <f t="shared" ca="1" si="325"/>
        <v>18.198406751727628</v>
      </c>
      <c r="GZ102" s="141">
        <f t="shared" ca="1" si="326"/>
        <v>10.731205435320911</v>
      </c>
      <c r="HA102" s="141">
        <f t="shared" ca="1" si="536"/>
        <v>1.2180360335837321E-2</v>
      </c>
      <c r="HB102" s="141">
        <f t="shared" ca="1" si="537"/>
        <v>9.5681857746183676E-3</v>
      </c>
      <c r="HC102" s="141">
        <f t="shared" ca="1" si="470"/>
        <v>43.849297209014352</v>
      </c>
      <c r="HD102" s="141">
        <f t="shared" ca="1" si="328"/>
        <v>34.445468788626123</v>
      </c>
      <c r="HE102" s="137">
        <f t="shared" si="367"/>
        <v>6.4303595068606283</v>
      </c>
      <c r="HF102" s="250">
        <f t="shared" si="368"/>
        <v>6.6983060869106072</v>
      </c>
      <c r="HG102" s="137">
        <v>2.362068043968951</v>
      </c>
      <c r="HH102" s="251">
        <v>2.2024240959593171</v>
      </c>
      <c r="HI102" s="137">
        <f t="shared" ca="1" si="369"/>
        <v>1.0589859024689037</v>
      </c>
      <c r="HJ102" s="251">
        <f t="shared" ca="1" si="370"/>
        <v>0.88053348015561772</v>
      </c>
      <c r="HK102" s="137">
        <f t="shared" ca="1" si="371"/>
        <v>0.59971363323095717</v>
      </c>
      <c r="HL102" s="251">
        <f t="shared" ca="1" si="372"/>
        <v>0.56986426314584193</v>
      </c>
      <c r="HM102" s="137">
        <f t="shared" ca="1" si="373"/>
        <v>0.6729647522233293</v>
      </c>
      <c r="HN102" s="251">
        <f t="shared" ca="1" si="374"/>
        <v>0.64311538213821395</v>
      </c>
      <c r="HO102" s="137">
        <f t="shared" ca="1" si="375"/>
        <v>0.32925863026111718</v>
      </c>
      <c r="HP102" s="251">
        <f t="shared" ca="1" si="376"/>
        <v>0.30799296154914524</v>
      </c>
      <c r="JN102" s="143">
        <f t="shared" si="538"/>
        <v>19.162494650882437</v>
      </c>
      <c r="JO102" s="143">
        <f t="shared" si="490"/>
        <v>2362.0680439689509</v>
      </c>
      <c r="JP102" s="143">
        <f t="shared" si="539"/>
        <v>2742.4248831181849</v>
      </c>
      <c r="JQ102" s="143">
        <f t="shared" si="540"/>
        <v>0.78454792499542236</v>
      </c>
      <c r="JR102" s="143">
        <f t="shared" ca="1" si="491"/>
        <v>0.74974928021450515</v>
      </c>
      <c r="JS102" s="143">
        <f t="shared" si="541"/>
        <v>106.83407348632814</v>
      </c>
      <c r="JT102" s="143">
        <f t="shared" ca="1" si="492"/>
        <v>99.934032591093285</v>
      </c>
      <c r="JU102" s="143">
        <f t="shared" si="423"/>
        <v>0.2906326345107394</v>
      </c>
      <c r="JV102" s="143">
        <f t="shared" si="542"/>
        <v>0.33743234906526748</v>
      </c>
      <c r="JW102" s="143">
        <f t="shared" ca="1" si="543"/>
        <v>0.25913059236894359</v>
      </c>
      <c r="JX102" s="143">
        <f t="shared" ca="1" si="544"/>
        <v>0.24763684782074638</v>
      </c>
      <c r="JY102" s="143">
        <f t="shared" si="545"/>
        <v>0.78691146081426566</v>
      </c>
      <c r="JZ102" s="143">
        <f t="shared" si="546"/>
        <v>0.40096745155314195</v>
      </c>
      <c r="KA102" s="143">
        <f t="shared" si="493"/>
        <v>0.27418173067050883</v>
      </c>
      <c r="KB102" s="143">
        <f t="shared" si="494"/>
        <v>0.31833240477855418</v>
      </c>
      <c r="KC102" s="143">
        <f t="shared" ca="1" si="495"/>
        <v>0.53234112652476195</v>
      </c>
      <c r="KD102" s="143">
        <f t="shared" ca="1" si="496"/>
        <v>0.64718068760443859</v>
      </c>
      <c r="KE102" s="143">
        <f t="shared" ca="1" si="497"/>
        <v>0.47890778249641291</v>
      </c>
      <c r="KF102" s="143">
        <f t="shared" ca="1" si="498"/>
        <v>0.48926578869594317</v>
      </c>
      <c r="KG102" s="142">
        <f t="shared" si="499"/>
        <v>0.17099347570950449</v>
      </c>
      <c r="KH102" s="142">
        <f t="shared" ca="1" si="500"/>
        <v>9.1773514593012404E-2</v>
      </c>
      <c r="KI102" s="142">
        <f t="shared" ca="1" si="501"/>
        <v>273.0504543419114</v>
      </c>
      <c r="KJ102" s="142">
        <f t="shared" ca="1" si="502"/>
        <v>250.34924403488179</v>
      </c>
    </row>
    <row r="103" spans="1:296" x14ac:dyDescent="0.3">
      <c r="A103" s="201">
        <v>41453</v>
      </c>
      <c r="B103" s="196">
        <v>123</v>
      </c>
      <c r="C103" s="179">
        <v>24</v>
      </c>
      <c r="D103" s="179">
        <v>4.2</v>
      </c>
      <c r="E103" s="179">
        <v>50016</v>
      </c>
      <c r="F103" s="179">
        <v>300</v>
      </c>
      <c r="G103" s="179">
        <v>11.7</v>
      </c>
      <c r="H103" s="179">
        <v>0.85</v>
      </c>
      <c r="I103" s="179">
        <v>1.4</v>
      </c>
      <c r="J103" s="179">
        <v>1.33</v>
      </c>
      <c r="K103" s="179">
        <v>0.91</v>
      </c>
      <c r="L103" s="152">
        <v>20540.472293876112</v>
      </c>
      <c r="M103" s="155">
        <v>19</v>
      </c>
      <c r="N103" s="153">
        <v>57610.71777702868</v>
      </c>
      <c r="O103" s="178">
        <v>17</v>
      </c>
      <c r="P103" s="179">
        <v>2</v>
      </c>
      <c r="Q103" s="179">
        <v>5</v>
      </c>
      <c r="R103" s="154">
        <v>342.34649658203125</v>
      </c>
      <c r="S103" s="155">
        <v>68.020642609597417</v>
      </c>
      <c r="T103" s="152">
        <v>180</v>
      </c>
      <c r="U103" s="156">
        <v>2.6965136528015137</v>
      </c>
      <c r="V103" s="178">
        <v>17</v>
      </c>
      <c r="W103" s="179">
        <v>1250</v>
      </c>
      <c r="X103" s="155">
        <v>57127.612301617861</v>
      </c>
      <c r="Y103" s="155">
        <v>8749.8201214037836</v>
      </c>
      <c r="Z103" s="155">
        <v>373.17550659179687</v>
      </c>
      <c r="AA103" s="155">
        <v>11.401008605957031</v>
      </c>
      <c r="AB103" s="155">
        <v>14.199124336242676</v>
      </c>
      <c r="AC103" s="215">
        <v>37</v>
      </c>
      <c r="AD103" s="215">
        <v>27.155023574829102</v>
      </c>
      <c r="AE103" s="254">
        <v>20</v>
      </c>
      <c r="AF103" s="254">
        <v>10</v>
      </c>
      <c r="AG103" s="217">
        <v>5000000</v>
      </c>
      <c r="AH103" s="218">
        <v>300000</v>
      </c>
      <c r="AI103" s="219">
        <v>5000000</v>
      </c>
      <c r="AJ103" s="225">
        <f t="shared" si="473"/>
        <v>300000</v>
      </c>
      <c r="AK103" s="220">
        <v>2750000</v>
      </c>
      <c r="AL103" s="226">
        <f t="shared" si="474"/>
        <v>300000</v>
      </c>
      <c r="AM103" s="221">
        <v>14.407</v>
      </c>
      <c r="BM103" s="197">
        <f t="shared" si="475"/>
        <v>9.8449764251708984</v>
      </c>
      <c r="BN103" s="196">
        <f t="shared" si="476"/>
        <v>180</v>
      </c>
      <c r="BO103" s="197">
        <f t="shared" si="477"/>
        <v>2.7981157302856445</v>
      </c>
      <c r="BP103" s="196">
        <f t="shared" si="472"/>
        <v>12.651606641599622</v>
      </c>
      <c r="BQ103" s="115">
        <f t="shared" si="478"/>
        <v>659.74492511188635</v>
      </c>
      <c r="BR103" s="184">
        <f t="shared" si="479"/>
        <v>1.0041987768</v>
      </c>
      <c r="BS103" s="115">
        <f t="shared" si="480"/>
        <v>6863.8528613899143</v>
      </c>
      <c r="BT103" s="196">
        <v>900</v>
      </c>
      <c r="BU103" s="115">
        <f t="shared" si="424"/>
        <v>1.1850729520000001</v>
      </c>
      <c r="BV103" s="115">
        <f t="shared" si="425"/>
        <v>1.0618963694680736</v>
      </c>
      <c r="BW103" s="115">
        <f t="shared" si="426"/>
        <v>429.01217690606541</v>
      </c>
      <c r="BX103" s="115">
        <f t="shared" si="503"/>
        <v>1032.0579499450762</v>
      </c>
      <c r="BY103" s="115"/>
      <c r="BZ103" s="115">
        <f t="shared" si="504"/>
        <v>603.04577303901078</v>
      </c>
      <c r="CA103" s="115">
        <f t="shared" si="505"/>
        <v>9745.7765598307524</v>
      </c>
      <c r="CB103" s="115">
        <f t="shared" si="506"/>
        <v>2400.4465740428618</v>
      </c>
      <c r="CC103" s="115">
        <f t="shared" si="507"/>
        <v>855.85301224483794</v>
      </c>
      <c r="CD103" s="129">
        <f t="shared" si="427"/>
        <v>0.16910097212063727</v>
      </c>
      <c r="CE103" s="115">
        <f t="shared" si="508"/>
        <v>21.951500387752759</v>
      </c>
      <c r="CF103" s="115">
        <f t="shared" si="509"/>
        <v>18.894622947110395</v>
      </c>
      <c r="CG103" s="115">
        <f t="shared" si="510"/>
        <v>0.02</v>
      </c>
      <c r="CH103" s="115">
        <f t="shared" si="511"/>
        <v>0.05</v>
      </c>
      <c r="CI103" s="136">
        <v>30</v>
      </c>
      <c r="CJ103" s="115">
        <f t="shared" si="428"/>
        <v>165</v>
      </c>
      <c r="CK103" s="115">
        <f t="shared" si="512"/>
        <v>453</v>
      </c>
      <c r="CL103" s="115">
        <f t="shared" si="513"/>
        <v>615.34649658203125</v>
      </c>
      <c r="CM103" s="115">
        <f t="shared" ca="1" si="514"/>
        <v>2816.5993052117487</v>
      </c>
      <c r="CN103" s="115">
        <f t="shared" ca="1" si="429"/>
        <v>125.80344444444444</v>
      </c>
      <c r="CO103" s="115">
        <f t="shared" ca="1" si="430"/>
        <v>690.58718083896258</v>
      </c>
      <c r="CP103" s="115">
        <f t="shared" ca="1" si="431"/>
        <v>2790.6388281929471</v>
      </c>
      <c r="CQ103" s="115">
        <f t="shared" si="432"/>
        <v>1.072449112508886</v>
      </c>
      <c r="CR103" s="115">
        <f t="shared" ca="1" si="481"/>
        <v>444.19289135318695</v>
      </c>
      <c r="CS103" s="115">
        <f t="shared" ca="1" si="482"/>
        <v>22.047892827130372</v>
      </c>
      <c r="CT103" s="115">
        <f t="shared" si="433"/>
        <v>1.1088660918925377</v>
      </c>
      <c r="CU103" s="115">
        <f t="shared" ca="1" si="434"/>
        <v>1.009905486190118</v>
      </c>
      <c r="CV103" s="115">
        <f t="shared" si="360"/>
        <v>130.04577303901078</v>
      </c>
      <c r="CW103" s="115">
        <f t="shared" si="435"/>
        <v>473</v>
      </c>
      <c r="CX103" s="115">
        <f t="shared" si="436"/>
        <v>438</v>
      </c>
      <c r="CY103" s="115">
        <f t="shared" ca="1" si="437"/>
        <v>450.9521071728696</v>
      </c>
      <c r="CZ103" s="115">
        <f t="shared" ca="1" si="438"/>
        <v>164.39438940916165</v>
      </c>
      <c r="DA103" s="115">
        <v>0.21890000000000001</v>
      </c>
      <c r="DB103" s="115">
        <v>2.7E-2</v>
      </c>
      <c r="DC103" s="115">
        <v>1.06</v>
      </c>
      <c r="DD103" s="138">
        <f t="shared" si="515"/>
        <v>8.9652194748809411</v>
      </c>
      <c r="DE103" s="138">
        <f t="shared" si="439"/>
        <v>8.9652194748809411</v>
      </c>
      <c r="DF103" s="115">
        <f t="shared" si="440"/>
        <v>615.34649658203125</v>
      </c>
      <c r="DG103" s="115">
        <v>603.04577303901078</v>
      </c>
      <c r="DH103" s="115">
        <f t="shared" si="441"/>
        <v>1.1088660918925377</v>
      </c>
      <c r="DI103" s="115">
        <f t="shared" si="299"/>
        <v>1.1056164706629408</v>
      </c>
      <c r="DJ103" s="138">
        <f t="shared" si="483"/>
        <v>2.1502608634407383</v>
      </c>
      <c r="DK103" s="138">
        <f t="shared" si="484"/>
        <v>2.0108555592310111</v>
      </c>
      <c r="DL103" s="115">
        <f t="shared" si="442"/>
        <v>615.34649658203125</v>
      </c>
      <c r="DM103" s="115">
        <f t="shared" si="471"/>
        <v>603.04577303901078</v>
      </c>
      <c r="DN103" s="115">
        <f t="shared" si="300"/>
        <v>12.766621247432345</v>
      </c>
      <c r="DO103" s="115">
        <f t="shared" si="301"/>
        <v>1.1088660918925377</v>
      </c>
      <c r="DP103" s="115">
        <f t="shared" si="443"/>
        <v>1.1056164706629408</v>
      </c>
      <c r="DQ103" s="115">
        <v>298.14999999999998</v>
      </c>
      <c r="DR103" s="138">
        <f t="shared" si="302"/>
        <v>1.4320737350515318</v>
      </c>
      <c r="DS103" s="138">
        <f t="shared" si="303"/>
        <v>1.3392298024478537</v>
      </c>
      <c r="DT103" s="115">
        <f t="shared" si="444"/>
        <v>615.34649658203125</v>
      </c>
      <c r="DU103" s="139">
        <f t="shared" si="422"/>
        <v>6.402479724688293</v>
      </c>
      <c r="DV103" s="115">
        <f t="shared" si="445"/>
        <v>1.1088660918925377</v>
      </c>
      <c r="DW103" s="115">
        <v>298.14999999999998</v>
      </c>
      <c r="DX103" s="138">
        <f t="shared" si="485"/>
        <v>0.71818712838920673</v>
      </c>
      <c r="DY103" s="138">
        <f t="shared" si="486"/>
        <v>0.67162575678315772</v>
      </c>
      <c r="DZ103" s="138">
        <f t="shared" si="446"/>
        <v>2.4004465740428618</v>
      </c>
      <c r="EA103" s="138">
        <f t="shared" si="447"/>
        <v>2.8819236984408381</v>
      </c>
      <c r="EB103" s="115">
        <f t="shared" si="448"/>
        <v>18.894622947110395</v>
      </c>
      <c r="EC103" s="115">
        <v>30</v>
      </c>
      <c r="ED103" s="198">
        <f t="shared" ca="1" si="449"/>
        <v>125.80344444444444</v>
      </c>
      <c r="EE103" s="198">
        <v>104.83</v>
      </c>
      <c r="EF103" s="198">
        <f t="shared" ca="1" si="450"/>
        <v>0.42491111111111107</v>
      </c>
      <c r="EG103" s="199">
        <v>0.36720000000000003</v>
      </c>
      <c r="EH103" s="138">
        <f t="shared" ca="1" si="304"/>
        <v>7.1173714304935021E-2</v>
      </c>
      <c r="EI103" s="138">
        <f t="shared" ca="1" si="451"/>
        <v>7.1173714304935021E-2</v>
      </c>
      <c r="EJ103" s="115">
        <f t="shared" si="452"/>
        <v>12.766621247432345</v>
      </c>
      <c r="EK103" s="115">
        <v>435</v>
      </c>
      <c r="EL103" s="115">
        <f t="shared" ca="1" si="453"/>
        <v>450.9521071728696</v>
      </c>
      <c r="EM103" s="115">
        <f t="shared" ca="1" si="305"/>
        <v>1.0621584324733542</v>
      </c>
      <c r="EN103" s="115">
        <f t="shared" ca="1" si="306"/>
        <v>1.0671086943138812</v>
      </c>
      <c r="EO103" s="115">
        <v>298.14999999999998</v>
      </c>
      <c r="EP103" s="138">
        <f t="shared" ca="1" si="307"/>
        <v>0.3284822287627811</v>
      </c>
      <c r="EQ103" s="138">
        <f t="shared" ca="1" si="308"/>
        <v>0.40104815958476814</v>
      </c>
      <c r="ER103" s="115">
        <f t="shared" si="454"/>
        <v>0.74903157022264277</v>
      </c>
      <c r="ES103" s="115">
        <f t="shared" si="455"/>
        <v>453</v>
      </c>
      <c r="ET103" s="115">
        <f t="shared" ca="1" si="516"/>
        <v>2816.5993052117487</v>
      </c>
      <c r="EU103" s="115">
        <f t="shared" ca="1" si="517"/>
        <v>6.5855309782608691</v>
      </c>
      <c r="EV103" s="138">
        <f t="shared" ca="1" si="456"/>
        <v>0.64249974922216913</v>
      </c>
      <c r="EW103" s="138">
        <f t="shared" ca="1" si="487"/>
        <v>0.68741262925771685</v>
      </c>
      <c r="EX103" s="115">
        <v>21.47</v>
      </c>
      <c r="EY103" s="115">
        <f t="shared" ca="1" si="518"/>
        <v>113.73123532994587</v>
      </c>
      <c r="EZ103" s="115">
        <f t="shared" ca="1" si="519"/>
        <v>0.38523949540456137</v>
      </c>
      <c r="FA103" s="138">
        <f t="shared" ca="1" si="310"/>
        <v>7.5633652370879823E-2</v>
      </c>
      <c r="FB103" s="138">
        <f t="shared" ca="1" si="457"/>
        <v>7.5633652370879823E-2</v>
      </c>
      <c r="FC103" s="115">
        <f t="shared" si="458"/>
        <v>21.47</v>
      </c>
      <c r="FD103" s="115">
        <v>37</v>
      </c>
      <c r="FE103" s="115">
        <f t="shared" ca="1" si="459"/>
        <v>154.93355555555553</v>
      </c>
      <c r="FF103" s="115">
        <f t="shared" ca="1" si="460"/>
        <v>0.52252222222222222</v>
      </c>
      <c r="FG103" s="138">
        <f t="shared" ca="1" si="461"/>
        <v>8.1462225449999703E-2</v>
      </c>
      <c r="FH103" s="138">
        <f t="shared" ca="1" si="312"/>
        <v>8.1462225449999703E-2</v>
      </c>
      <c r="FI103" s="115">
        <f t="shared" si="462"/>
        <v>104.48914184570313</v>
      </c>
      <c r="FJ103" s="115">
        <f t="shared" ca="1" si="520"/>
        <v>47.798932239108623</v>
      </c>
      <c r="FK103" s="115">
        <f t="shared" ca="1" si="521"/>
        <v>0.16555850889417861</v>
      </c>
      <c r="FL103" s="138">
        <f t="shared" ca="1" si="463"/>
        <v>0.32269829018354118</v>
      </c>
      <c r="FM103" s="138">
        <f t="shared" ca="1" si="488"/>
        <v>0.36198615084046215</v>
      </c>
      <c r="FN103" s="115">
        <f t="shared" si="464"/>
        <v>104.48914184570313</v>
      </c>
      <c r="FO103" s="115">
        <f t="shared" ca="1" si="522"/>
        <v>59.509357472101854</v>
      </c>
      <c r="FP103" s="115">
        <f t="shared" ca="1" si="523"/>
        <v>0.20457667824427286</v>
      </c>
      <c r="FQ103" s="138">
        <f t="shared" ca="1" si="465"/>
        <v>0.33076046770156925</v>
      </c>
      <c r="FR103" s="138">
        <f t="shared" ca="1" si="489"/>
        <v>0.37102988207772281</v>
      </c>
      <c r="FS103" s="139">
        <f t="shared" si="468"/>
        <v>4.4145120373973405</v>
      </c>
      <c r="FT103" s="249">
        <f t="shared" si="316"/>
        <v>4.0724402172090919</v>
      </c>
      <c r="FU103" s="139">
        <f t="shared" ca="1" si="469"/>
        <v>0.53226547137151647</v>
      </c>
      <c r="FV103" s="249">
        <f t="shared" ca="1" si="318"/>
        <v>0.32194272791030354</v>
      </c>
      <c r="FW103" s="139">
        <f t="shared" ca="1" si="466"/>
        <v>0.64473335366107731</v>
      </c>
      <c r="FX103" s="249">
        <f t="shared" ca="1" si="319"/>
        <v>0.69062778741585762</v>
      </c>
      <c r="FY103" s="249">
        <f t="shared" si="524"/>
        <v>0.15000000000000002</v>
      </c>
      <c r="FZ103" s="139">
        <f t="shared" si="525"/>
        <v>1050000</v>
      </c>
      <c r="GA103" s="139">
        <f t="shared" si="320"/>
        <v>3.3757716049382713E-2</v>
      </c>
      <c r="GB103" s="139">
        <f t="shared" si="361"/>
        <v>121.52777777777777</v>
      </c>
      <c r="GC103" s="139">
        <f t="shared" si="526"/>
        <v>1050000</v>
      </c>
      <c r="GD103" s="139">
        <f t="shared" si="362"/>
        <v>6.7515432098765427E-2</v>
      </c>
      <c r="GE103" s="139">
        <f t="shared" si="363"/>
        <v>243.05555555555554</v>
      </c>
      <c r="GF103" s="139">
        <f t="shared" si="364"/>
        <v>4.5814043209876545E-2</v>
      </c>
      <c r="GG103" s="139">
        <f t="shared" si="527"/>
        <v>712500</v>
      </c>
      <c r="GH103" s="139">
        <f t="shared" si="365"/>
        <v>164.93055555555554</v>
      </c>
      <c r="GI103" s="137">
        <f t="shared" si="528"/>
        <v>54.965116154276807</v>
      </c>
      <c r="GJ103" s="137">
        <f t="shared" si="321"/>
        <v>0.19787441815539492</v>
      </c>
      <c r="GK103" s="251">
        <f t="shared" si="529"/>
        <v>46.479105971688192</v>
      </c>
      <c r="GL103" s="137">
        <f t="shared" si="329"/>
        <v>0.16732478149807617</v>
      </c>
      <c r="GM103" s="137">
        <f t="shared" ca="1" si="530"/>
        <v>7.5361972925562934</v>
      </c>
      <c r="GN103" s="137">
        <f t="shared" ca="1" si="322"/>
        <v>2.7130310253202439E-2</v>
      </c>
      <c r="GO103" s="137">
        <f t="shared" ca="1" si="366"/>
        <v>9.5394902437420673E-2</v>
      </c>
      <c r="GP103" s="137">
        <f t="shared" ca="1" si="531"/>
        <v>7.6324417112847547</v>
      </c>
      <c r="GQ103" s="137">
        <f t="shared" ca="1" si="323"/>
        <v>2.74767901606249E-2</v>
      </c>
      <c r="GR103" s="137">
        <f t="shared" ca="1" si="406"/>
        <v>9.6613186218793598E-2</v>
      </c>
      <c r="GS103" s="140">
        <f t="shared" si="532"/>
        <v>6.3599874922783475E-2</v>
      </c>
      <c r="GT103" s="140">
        <f t="shared" si="533"/>
        <v>5.8671646209331386E-2</v>
      </c>
      <c r="GU103" s="140">
        <f t="shared" si="467"/>
        <v>228.95954972202051</v>
      </c>
      <c r="GV103" s="140">
        <f t="shared" si="324"/>
        <v>211.21792635359299</v>
      </c>
      <c r="GW103" s="141">
        <f t="shared" ca="1" si="534"/>
        <v>5.1071201982689244E-3</v>
      </c>
      <c r="GX103" s="141">
        <f t="shared" ca="1" si="535"/>
        <v>3.0890604347484927E-3</v>
      </c>
      <c r="GY103" s="141">
        <f t="shared" ca="1" si="325"/>
        <v>18.385632713768128</v>
      </c>
      <c r="GZ103" s="141">
        <f t="shared" ca="1" si="326"/>
        <v>11.120617565094573</v>
      </c>
      <c r="HA103" s="141">
        <f t="shared" ca="1" si="536"/>
        <v>1.1949569447066734E-2</v>
      </c>
      <c r="HB103" s="141">
        <f t="shared" ca="1" si="537"/>
        <v>1.0088570758320066E-2</v>
      </c>
      <c r="HC103" s="141">
        <f t="shared" ca="1" si="470"/>
        <v>43.018450009440244</v>
      </c>
      <c r="HD103" s="141">
        <f t="shared" ca="1" si="328"/>
        <v>36.318854729952236</v>
      </c>
      <c r="HE103" s="137">
        <f t="shared" si="367"/>
        <v>6.8149586114402023</v>
      </c>
      <c r="HF103" s="250">
        <f t="shared" si="368"/>
        <v>6.95436391564993</v>
      </c>
      <c r="HG103" s="137">
        <v>2.4004465740428618</v>
      </c>
      <c r="HH103" s="251">
        <v>2.6024908300335263</v>
      </c>
      <c r="HI103" s="137">
        <f t="shared" ca="1" si="369"/>
        <v>1.0310255754667637</v>
      </c>
      <c r="HJ103" s="251">
        <f t="shared" ca="1" si="370"/>
        <v>0.93818164286308559</v>
      </c>
      <c r="HK103" s="137">
        <f t="shared" ca="1" si="371"/>
        <v>0.5713260349172341</v>
      </c>
      <c r="HL103" s="251">
        <f t="shared" ca="1" si="372"/>
        <v>0.61623891495278182</v>
      </c>
      <c r="HM103" s="137">
        <f t="shared" ca="1" si="373"/>
        <v>0.64249974922216913</v>
      </c>
      <c r="HN103" s="251">
        <f t="shared" ca="1" si="374"/>
        <v>0.68741262925771685</v>
      </c>
      <c r="HO103" s="137">
        <f t="shared" ca="1" si="375"/>
        <v>0.32269829018354118</v>
      </c>
      <c r="HP103" s="251">
        <f t="shared" ca="1" si="376"/>
        <v>0.36198615084046215</v>
      </c>
      <c r="JN103" s="143">
        <f t="shared" si="538"/>
        <v>19.169100972120638</v>
      </c>
      <c r="JO103" s="143">
        <f t="shared" si="490"/>
        <v>2400.4465740428618</v>
      </c>
      <c r="JP103" s="143">
        <f t="shared" si="539"/>
        <v>2881.9236984408381</v>
      </c>
      <c r="JQ103" s="143">
        <f t="shared" si="540"/>
        <v>0.74903157022264277</v>
      </c>
      <c r="JR103" s="143">
        <f t="shared" ca="1" si="491"/>
        <v>0.80139138063031157</v>
      </c>
      <c r="JS103" s="143">
        <f t="shared" si="541"/>
        <v>104.48914184570313</v>
      </c>
      <c r="JT103" s="143">
        <f t="shared" ca="1" si="492"/>
        <v>117.2104823977722</v>
      </c>
      <c r="JU103" s="143">
        <f t="shared" si="423"/>
        <v>0.28381607116419472</v>
      </c>
      <c r="JV103" s="143">
        <f t="shared" si="542"/>
        <v>0.34074337264206872</v>
      </c>
      <c r="JW103" s="143">
        <f t="shared" ca="1" si="543"/>
        <v>0.23775676940420257</v>
      </c>
      <c r="JX103" s="143">
        <f t="shared" ca="1" si="544"/>
        <v>0.25437676229107592</v>
      </c>
      <c r="JY103" s="143">
        <f t="shared" si="545"/>
        <v>0.79813816360857703</v>
      </c>
      <c r="JZ103" s="143">
        <f t="shared" si="546"/>
        <v>0.37535504473914671</v>
      </c>
      <c r="KA103" s="143">
        <f t="shared" si="493"/>
        <v>0.26775101053225914</v>
      </c>
      <c r="KB103" s="143">
        <f t="shared" si="494"/>
        <v>0.32145601192647993</v>
      </c>
      <c r="KC103" s="143">
        <f t="shared" ca="1" si="495"/>
        <v>0.51769702073780621</v>
      </c>
      <c r="KD103" s="143">
        <f t="shared" ca="1" si="496"/>
        <v>0.65684392744264475</v>
      </c>
      <c r="KE103" s="143">
        <f t="shared" ca="1" si="497"/>
        <v>0.52659223213769391</v>
      </c>
      <c r="KF103" s="143">
        <f t="shared" ca="1" si="498"/>
        <v>0.50225434418334036</v>
      </c>
      <c r="KG103" s="142">
        <f t="shared" si="499"/>
        <v>0.16732478149807617</v>
      </c>
      <c r="KH103" s="142">
        <f t="shared" ca="1" si="500"/>
        <v>9.6613186218793598E-2</v>
      </c>
      <c r="KI103" s="142">
        <f t="shared" ca="1" si="501"/>
        <v>290.36363244522886</v>
      </c>
      <c r="KJ103" s="142">
        <f t="shared" ca="1" si="502"/>
        <v>258.6573986486398</v>
      </c>
    </row>
    <row r="104" spans="1:296" x14ac:dyDescent="0.3">
      <c r="A104" s="195">
        <v>41457</v>
      </c>
      <c r="B104" s="196">
        <v>125</v>
      </c>
      <c r="C104" s="177">
        <v>24</v>
      </c>
      <c r="D104" s="166">
        <v>4.2</v>
      </c>
      <c r="E104" s="166">
        <v>50016</v>
      </c>
      <c r="F104" s="166">
        <v>300</v>
      </c>
      <c r="G104" s="166">
        <v>11.7</v>
      </c>
      <c r="H104" s="166">
        <v>0.85</v>
      </c>
      <c r="I104" s="166">
        <v>1.4</v>
      </c>
      <c r="J104" s="166">
        <v>1.33</v>
      </c>
      <c r="K104" s="166">
        <v>0.91</v>
      </c>
      <c r="L104" s="166">
        <v>20654.453676588833</v>
      </c>
      <c r="M104" s="169">
        <v>19</v>
      </c>
      <c r="N104" s="167">
        <v>58812.539722181857</v>
      </c>
      <c r="O104" s="176">
        <v>17</v>
      </c>
      <c r="P104" s="166">
        <v>2</v>
      </c>
      <c r="Q104" s="166">
        <v>5</v>
      </c>
      <c r="R104" s="168">
        <v>350.32290649414062</v>
      </c>
      <c r="S104" s="169">
        <v>57.564576862117974</v>
      </c>
      <c r="T104" s="166">
        <v>180</v>
      </c>
      <c r="U104" s="170">
        <v>2.3041160106658936</v>
      </c>
      <c r="V104" s="176">
        <v>17</v>
      </c>
      <c r="W104" s="166">
        <v>1250</v>
      </c>
      <c r="X104" s="169">
        <v>56441.507006466389</v>
      </c>
      <c r="Y104" s="169">
        <v>8498.3176324516535</v>
      </c>
      <c r="Z104" s="169">
        <v>359.22604370117187</v>
      </c>
      <c r="AA104" s="169">
        <v>12.794321060180664</v>
      </c>
      <c r="AB104" s="169">
        <v>15.532977104187012</v>
      </c>
      <c r="AC104" s="212">
        <v>37</v>
      </c>
      <c r="AD104" s="212">
        <v>27.608766555786133</v>
      </c>
      <c r="AE104" s="254">
        <v>20</v>
      </c>
      <c r="AF104" s="254">
        <v>10</v>
      </c>
      <c r="AG104" s="217">
        <v>5000000</v>
      </c>
      <c r="AH104" s="218">
        <v>300000</v>
      </c>
      <c r="AI104" s="219">
        <v>5000000</v>
      </c>
      <c r="AJ104" s="225">
        <f t="shared" si="473"/>
        <v>300000</v>
      </c>
      <c r="AK104" s="220">
        <v>2750000</v>
      </c>
      <c r="AL104" s="226">
        <f t="shared" si="474"/>
        <v>300000</v>
      </c>
      <c r="AM104" s="221">
        <v>14.407</v>
      </c>
      <c r="BM104" s="197">
        <f t="shared" si="475"/>
        <v>9.3912334442138672</v>
      </c>
      <c r="BN104" s="196">
        <f t="shared" si="476"/>
        <v>180</v>
      </c>
      <c r="BO104" s="197">
        <f t="shared" si="477"/>
        <v>2.7386560440063477</v>
      </c>
      <c r="BP104" s="196">
        <f t="shared" si="472"/>
        <v>12.652225959361521</v>
      </c>
      <c r="BQ104" s="115">
        <f t="shared" si="478"/>
        <v>659.74492511188635</v>
      </c>
      <c r="BR104" s="184">
        <f t="shared" si="479"/>
        <v>1.0041987768</v>
      </c>
      <c r="BS104" s="115">
        <f t="shared" si="480"/>
        <v>6863.8528613899143</v>
      </c>
      <c r="BT104" s="196">
        <v>900</v>
      </c>
      <c r="BU104" s="115">
        <f t="shared" si="424"/>
        <v>1.1850729520000001</v>
      </c>
      <c r="BV104" s="115">
        <f t="shared" si="425"/>
        <v>1.0620965985243642</v>
      </c>
      <c r="BW104" s="115">
        <f t="shared" si="426"/>
        <v>429.86336954290789</v>
      </c>
      <c r="BX104" s="115">
        <f t="shared" si="503"/>
        <v>1034.1056310484971</v>
      </c>
      <c r="BY104" s="115"/>
      <c r="BZ104" s="115">
        <f t="shared" si="504"/>
        <v>604.24226150558923</v>
      </c>
      <c r="CA104" s="115">
        <f t="shared" si="505"/>
        <v>9765.5909372801998</v>
      </c>
      <c r="CB104" s="115">
        <f t="shared" si="506"/>
        <v>2450.5224884242439</v>
      </c>
      <c r="CC104" s="115">
        <f t="shared" si="507"/>
        <v>860.60223652453476</v>
      </c>
      <c r="CD104" s="129">
        <f t="shared" si="427"/>
        <v>0.17003933236594293</v>
      </c>
      <c r="CE104" s="115">
        <f t="shared" si="508"/>
        <v>21.130943747127759</v>
      </c>
      <c r="CF104" s="115">
        <f t="shared" si="509"/>
        <v>15.990160239477216</v>
      </c>
      <c r="CG104" s="115">
        <f t="shared" si="510"/>
        <v>0.02</v>
      </c>
      <c r="CH104" s="115">
        <f t="shared" si="511"/>
        <v>0.05</v>
      </c>
      <c r="CI104" s="136">
        <v>30</v>
      </c>
      <c r="CJ104" s="115">
        <f t="shared" si="428"/>
        <v>165</v>
      </c>
      <c r="CK104" s="115">
        <f t="shared" si="512"/>
        <v>453</v>
      </c>
      <c r="CL104" s="115">
        <f t="shared" si="513"/>
        <v>623.32290649414062</v>
      </c>
      <c r="CM104" s="115">
        <f t="shared" ca="1" si="514"/>
        <v>2816.5993052117487</v>
      </c>
      <c r="CN104" s="115">
        <f t="shared" ca="1" si="429"/>
        <v>125.80344444444444</v>
      </c>
      <c r="CO104" s="115">
        <f t="shared" ca="1" si="430"/>
        <v>690.58718083896258</v>
      </c>
      <c r="CP104" s="115">
        <f t="shared" ca="1" si="431"/>
        <v>2790.6388281929471</v>
      </c>
      <c r="CQ104" s="115">
        <f t="shared" si="432"/>
        <v>1.072449112508886</v>
      </c>
      <c r="CR104" s="115">
        <f t="shared" ca="1" si="481"/>
        <v>379.55378113050858</v>
      </c>
      <c r="CS104" s="115">
        <f t="shared" ca="1" si="482"/>
        <v>18.838553308414507</v>
      </c>
      <c r="CT104" s="115">
        <f t="shared" si="433"/>
        <v>1.1109807157771103</v>
      </c>
      <c r="CU104" s="115">
        <f t="shared" ca="1" si="434"/>
        <v>1.0106217044012755</v>
      </c>
      <c r="CV104" s="115">
        <f t="shared" si="360"/>
        <v>131.24226150558923</v>
      </c>
      <c r="CW104" s="115">
        <f t="shared" si="435"/>
        <v>473</v>
      </c>
      <c r="CX104" s="115">
        <f t="shared" si="436"/>
        <v>438</v>
      </c>
      <c r="CY104" s="115">
        <f t="shared" ca="1" si="437"/>
        <v>454.16144669158547</v>
      </c>
      <c r="CZ104" s="115">
        <f t="shared" ca="1" si="438"/>
        <v>169.16145980255516</v>
      </c>
      <c r="DA104" s="115">
        <v>0.21890000000000001</v>
      </c>
      <c r="DB104" s="115">
        <v>2.7E-2</v>
      </c>
      <c r="DC104" s="115">
        <v>1.06</v>
      </c>
      <c r="DD104" s="138">
        <f t="shared" si="515"/>
        <v>9.0149684824719003</v>
      </c>
      <c r="DE104" s="138">
        <f t="shared" si="439"/>
        <v>9.0149684824719003</v>
      </c>
      <c r="DF104" s="115">
        <f t="shared" si="440"/>
        <v>623.32290649414062</v>
      </c>
      <c r="DG104" s="115">
        <v>604.24226150558923</v>
      </c>
      <c r="DH104" s="115">
        <f t="shared" si="441"/>
        <v>1.1109807157771103</v>
      </c>
      <c r="DI104" s="115">
        <f t="shared" si="299"/>
        <v>1.1059319211842873</v>
      </c>
      <c r="DJ104" s="138">
        <f t="shared" si="483"/>
        <v>2.2425638480570389</v>
      </c>
      <c r="DK104" s="138">
        <f t="shared" si="484"/>
        <v>2.02436528555037</v>
      </c>
      <c r="DL104" s="115">
        <f t="shared" si="442"/>
        <v>623.32290649414062</v>
      </c>
      <c r="DM104" s="115">
        <f t="shared" si="471"/>
        <v>604.24226150558923</v>
      </c>
      <c r="DN104" s="115">
        <f t="shared" si="300"/>
        <v>12.767246195355717</v>
      </c>
      <c r="DO104" s="115">
        <f t="shared" si="301"/>
        <v>1.1109807157771103</v>
      </c>
      <c r="DP104" s="115">
        <f t="shared" si="443"/>
        <v>1.1059319211842873</v>
      </c>
      <c r="DQ104" s="115">
        <v>298.14999999999998</v>
      </c>
      <c r="DR104" s="138">
        <f t="shared" si="302"/>
        <v>1.493547522805988</v>
      </c>
      <c r="DS104" s="138">
        <f t="shared" si="303"/>
        <v>1.3482272801765465</v>
      </c>
      <c r="DT104" s="115">
        <f t="shared" si="444"/>
        <v>623.32290649414062</v>
      </c>
      <c r="DU104" s="139">
        <f t="shared" si="422"/>
        <v>6.4027931370102245</v>
      </c>
      <c r="DV104" s="115">
        <f t="shared" si="445"/>
        <v>1.1109807157771103</v>
      </c>
      <c r="DW104" s="115">
        <v>298.14999999999998</v>
      </c>
      <c r="DX104" s="138">
        <f t="shared" si="485"/>
        <v>0.749016325251051</v>
      </c>
      <c r="DY104" s="138">
        <f t="shared" si="486"/>
        <v>0.67613800537382351</v>
      </c>
      <c r="DZ104" s="138">
        <f t="shared" si="446"/>
        <v>2.450522488424244</v>
      </c>
      <c r="EA104" s="138">
        <f t="shared" si="447"/>
        <v>2.9017380758902855</v>
      </c>
      <c r="EB104" s="115">
        <f t="shared" si="448"/>
        <v>15.990160239477216</v>
      </c>
      <c r="EC104" s="115">
        <v>30</v>
      </c>
      <c r="ED104" s="198">
        <f t="shared" ca="1" si="449"/>
        <v>125.80344444444444</v>
      </c>
      <c r="EE104" s="198">
        <v>104.83</v>
      </c>
      <c r="EF104" s="198">
        <f t="shared" ca="1" si="450"/>
        <v>0.42491111111111107</v>
      </c>
      <c r="EG104" s="199">
        <v>0.36720000000000003</v>
      </c>
      <c r="EH104" s="138">
        <f t="shared" ca="1" si="304"/>
        <v>6.0232961502348061E-2</v>
      </c>
      <c r="EI104" s="138">
        <f t="shared" ca="1" si="451"/>
        <v>6.0232961502348061E-2</v>
      </c>
      <c r="EJ104" s="115">
        <f t="shared" si="452"/>
        <v>12.767246195355717</v>
      </c>
      <c r="EK104" s="115">
        <v>435</v>
      </c>
      <c r="EL104" s="115">
        <f t="shared" ca="1" si="453"/>
        <v>454.16144669158547</v>
      </c>
      <c r="EM104" s="115">
        <f t="shared" ca="1" si="305"/>
        <v>1.0619169890951299</v>
      </c>
      <c r="EN104" s="115">
        <f t="shared" ca="1" si="306"/>
        <v>1.0678798571064052</v>
      </c>
      <c r="EO104" s="115">
        <v>298.14999999999998</v>
      </c>
      <c r="EP104" s="138">
        <f t="shared" ca="1" si="307"/>
        <v>0.32842363629669569</v>
      </c>
      <c r="EQ104" s="138">
        <f t="shared" ca="1" si="308"/>
        <v>0.41628643507033558</v>
      </c>
      <c r="ER104" s="115">
        <f t="shared" si="454"/>
        <v>0.64003222518497049</v>
      </c>
      <c r="ES104" s="115">
        <f t="shared" si="455"/>
        <v>453</v>
      </c>
      <c r="ET104" s="115">
        <f t="shared" ca="1" si="516"/>
        <v>2816.5993052117487</v>
      </c>
      <c r="EU104" s="115">
        <f t="shared" ca="1" si="517"/>
        <v>6.5855309782608691</v>
      </c>
      <c r="EV104" s="138">
        <f t="shared" ca="1" si="456"/>
        <v>0.54900295331105853</v>
      </c>
      <c r="EW104" s="138">
        <f t="shared" ca="1" si="487"/>
        <v>0.69509417283029573</v>
      </c>
      <c r="EX104" s="115">
        <v>21.47</v>
      </c>
      <c r="EY104" s="115">
        <f t="shared" ca="1" si="518"/>
        <v>115.63020012113783</v>
      </c>
      <c r="EZ104" s="115">
        <f t="shared" ca="1" si="519"/>
        <v>0.39156668919457327</v>
      </c>
      <c r="FA104" s="138">
        <f t="shared" ca="1" si="310"/>
        <v>7.5902284210046897E-2</v>
      </c>
      <c r="FB104" s="138">
        <f t="shared" ca="1" si="457"/>
        <v>7.5902284210046897E-2</v>
      </c>
      <c r="FC104" s="115">
        <f t="shared" si="458"/>
        <v>21.47</v>
      </c>
      <c r="FD104" s="115">
        <v>37</v>
      </c>
      <c r="FE104" s="115">
        <f t="shared" ca="1" si="459"/>
        <v>154.93355555555553</v>
      </c>
      <c r="FF104" s="115">
        <f t="shared" ca="1" si="460"/>
        <v>0.52252222222222222</v>
      </c>
      <c r="FG104" s="138">
        <f t="shared" ca="1" si="461"/>
        <v>8.1462225449999703E-2</v>
      </c>
      <c r="FH104" s="138">
        <f t="shared" ca="1" si="312"/>
        <v>8.1462225449999703E-2</v>
      </c>
      <c r="FI104" s="115">
        <f t="shared" si="462"/>
        <v>100.58329223632813</v>
      </c>
      <c r="FJ104" s="115">
        <f t="shared" ca="1" si="520"/>
        <v>53.63009967252944</v>
      </c>
      <c r="FK104" s="115">
        <f t="shared" ca="1" si="521"/>
        <v>0.18498747700585261</v>
      </c>
      <c r="FL104" s="138">
        <f t="shared" ca="1" si="463"/>
        <v>0.31450015714139079</v>
      </c>
      <c r="FM104" s="138">
        <f t="shared" ca="1" si="488"/>
        <v>0.39244981673390766</v>
      </c>
      <c r="FN104" s="115">
        <f t="shared" si="464"/>
        <v>100.58329223632813</v>
      </c>
      <c r="FO104" s="115">
        <f t="shared" ca="1" si="522"/>
        <v>65.091679511812004</v>
      </c>
      <c r="FP104" s="115">
        <f t="shared" ca="1" si="523"/>
        <v>0.22317651406394109</v>
      </c>
      <c r="FQ104" s="138">
        <f t="shared" ca="1" si="465"/>
        <v>0.32209605050273177</v>
      </c>
      <c r="FR104" s="138">
        <f t="shared" ca="1" si="489"/>
        <v>0.40192837148149213</v>
      </c>
      <c r="FS104" s="139">
        <f t="shared" si="468"/>
        <v>4.3218821459906174</v>
      </c>
      <c r="FT104" s="249">
        <f t="shared" si="316"/>
        <v>4.0888651210312439</v>
      </c>
      <c r="FU104" s="139">
        <f t="shared" ca="1" si="469"/>
        <v>0.67635389470058183</v>
      </c>
      <c r="FV104" s="249">
        <f t="shared" ca="1" si="318"/>
        <v>0.2970796337782633</v>
      </c>
      <c r="FW104" s="139">
        <f t="shared" ca="1" si="466"/>
        <v>0.55103890543244671</v>
      </c>
      <c r="FX104" s="249">
        <f t="shared" ca="1" si="319"/>
        <v>0.69901278633792741</v>
      </c>
      <c r="FY104" s="249">
        <f t="shared" si="524"/>
        <v>0.15000000000000002</v>
      </c>
      <c r="FZ104" s="139">
        <f t="shared" si="525"/>
        <v>1050000</v>
      </c>
      <c r="GA104" s="139">
        <f t="shared" si="320"/>
        <v>3.3757716049382713E-2</v>
      </c>
      <c r="GB104" s="139">
        <f t="shared" si="361"/>
        <v>121.52777777777777</v>
      </c>
      <c r="GC104" s="139">
        <f t="shared" si="526"/>
        <v>1050000</v>
      </c>
      <c r="GD104" s="139">
        <f t="shared" si="362"/>
        <v>6.7515432098765427E-2</v>
      </c>
      <c r="GE104" s="139">
        <f t="shared" si="363"/>
        <v>243.05555555555554</v>
      </c>
      <c r="GF104" s="139">
        <f t="shared" si="364"/>
        <v>4.5814043209876545E-2</v>
      </c>
      <c r="GG104" s="139">
        <f t="shared" si="527"/>
        <v>712500</v>
      </c>
      <c r="GH104" s="139">
        <f t="shared" si="365"/>
        <v>164.93055555555554</v>
      </c>
      <c r="GI104" s="137">
        <f t="shared" si="528"/>
        <v>53.591734104772542</v>
      </c>
      <c r="GJ104" s="137">
        <f t="shared" si="321"/>
        <v>0.1929302427771796</v>
      </c>
      <c r="GK104" s="251">
        <f t="shared" si="529"/>
        <v>46.34165206870847</v>
      </c>
      <c r="GL104" s="137">
        <f t="shared" si="329"/>
        <v>0.16682994744734916</v>
      </c>
      <c r="GM104" s="137">
        <f t="shared" ca="1" si="530"/>
        <v>7.5502947679970802</v>
      </c>
      <c r="GN104" s="137">
        <f t="shared" ca="1" si="322"/>
        <v>2.7181061164789272E-2</v>
      </c>
      <c r="GO104" s="137">
        <f t="shared" ca="1" si="366"/>
        <v>9.5573351493633163E-2</v>
      </c>
      <c r="GP104" s="137">
        <f t="shared" ca="1" si="531"/>
        <v>7.7360280698382766</v>
      </c>
      <c r="GQ104" s="137">
        <f t="shared" ca="1" si="323"/>
        <v>2.7849701051417573E-2</v>
      </c>
      <c r="GR104" s="137">
        <f t="shared" ca="1" si="406"/>
        <v>9.7924405947319174E-2</v>
      </c>
      <c r="GS104" s="140">
        <f t="shared" si="532"/>
        <v>6.2265356077286824E-2</v>
      </c>
      <c r="GT104" s="140">
        <f t="shared" si="533"/>
        <v>5.890827979869713E-2</v>
      </c>
      <c r="GU104" s="140">
        <f t="shared" si="467"/>
        <v>224.15528187823256</v>
      </c>
      <c r="GV104" s="140">
        <f t="shared" si="324"/>
        <v>212.06980727530967</v>
      </c>
      <c r="GW104" s="141">
        <f t="shared" ca="1" si="534"/>
        <v>6.4896575535935532E-3</v>
      </c>
      <c r="GX104" s="141">
        <f t="shared" ca="1" si="535"/>
        <v>2.8504975050397305E-3</v>
      </c>
      <c r="GY104" s="141">
        <f t="shared" ca="1" si="325"/>
        <v>23.36276719293679</v>
      </c>
      <c r="GZ104" s="141">
        <f t="shared" ca="1" si="326"/>
        <v>10.261791018143031</v>
      </c>
      <c r="HA104" s="141">
        <f t="shared" ca="1" si="536"/>
        <v>1.2603687298247025E-2</v>
      </c>
      <c r="HB104" s="141">
        <f t="shared" ca="1" si="537"/>
        <v>9.8456061364100688E-3</v>
      </c>
      <c r="HC104" s="141">
        <f t="shared" ca="1" si="470"/>
        <v>45.37327427368929</v>
      </c>
      <c r="HD104" s="141">
        <f t="shared" ca="1" si="328"/>
        <v>35.44418209107625</v>
      </c>
      <c r="HE104" s="137">
        <f t="shared" si="367"/>
        <v>6.7724046344148618</v>
      </c>
      <c r="HF104" s="250">
        <f t="shared" si="368"/>
        <v>6.9906031969215299</v>
      </c>
      <c r="HG104" s="137">
        <v>2.450522488424244</v>
      </c>
      <c r="HH104" s="251">
        <v>2.4682659845702108</v>
      </c>
      <c r="HI104" s="137">
        <f t="shared" ca="1" si="369"/>
        <v>1.0772610877356525</v>
      </c>
      <c r="HJ104" s="251">
        <f t="shared" ca="1" si="370"/>
        <v>0.93194084510621089</v>
      </c>
      <c r="HK104" s="137">
        <f t="shared" ca="1" si="371"/>
        <v>0.48876999180871045</v>
      </c>
      <c r="HL104" s="251">
        <f t="shared" ca="1" si="372"/>
        <v>0.63486121132794771</v>
      </c>
      <c r="HM104" s="137">
        <f t="shared" ca="1" si="373"/>
        <v>0.54900295331105853</v>
      </c>
      <c r="HN104" s="251">
        <f t="shared" ca="1" si="374"/>
        <v>0.69509417283029573</v>
      </c>
      <c r="HO104" s="137">
        <f t="shared" ca="1" si="375"/>
        <v>0.31450015714139079</v>
      </c>
      <c r="HP104" s="251">
        <f t="shared" ca="1" si="376"/>
        <v>0.39244981673390766</v>
      </c>
      <c r="JN104" s="143">
        <f t="shared" si="538"/>
        <v>19.170039332365942</v>
      </c>
      <c r="JO104" s="143">
        <f t="shared" si="490"/>
        <v>2450.5224884242439</v>
      </c>
      <c r="JP104" s="143">
        <f t="shared" si="539"/>
        <v>2901.7380758902855</v>
      </c>
      <c r="JQ104" s="143">
        <f t="shared" si="540"/>
        <v>0.64003222518497049</v>
      </c>
      <c r="JR104" s="143">
        <f t="shared" ca="1" si="491"/>
        <v>0.81034658824069283</v>
      </c>
      <c r="JS104" s="143">
        <f t="shared" si="541"/>
        <v>100.58329223632813</v>
      </c>
      <c r="JT104" s="143">
        <f t="shared" ca="1" si="492"/>
        <v>125.51311567991891</v>
      </c>
      <c r="JU104" s="143">
        <f t="shared" si="423"/>
        <v>0.28813787233756916</v>
      </c>
      <c r="JV104" s="143">
        <f t="shared" si="542"/>
        <v>0.3411928024400932</v>
      </c>
      <c r="JW104" s="143">
        <f t="shared" ca="1" si="543"/>
        <v>0.20203938960438581</v>
      </c>
      <c r="JX104" s="143">
        <f t="shared" ca="1" si="544"/>
        <v>0.25580263557640431</v>
      </c>
      <c r="JY104" s="143">
        <f t="shared" si="545"/>
        <v>0.784620016832136</v>
      </c>
      <c r="JZ104" s="143">
        <f t="shared" si="546"/>
        <v>0.39019023219640214</v>
      </c>
      <c r="KA104" s="143">
        <f t="shared" si="493"/>
        <v>0.271828181450537</v>
      </c>
      <c r="KB104" s="143">
        <f t="shared" si="494"/>
        <v>0.32188000230197478</v>
      </c>
      <c r="KC104" s="143">
        <f t="shared" ca="1" si="495"/>
        <v>0.41950044752156262</v>
      </c>
      <c r="KD104" s="143">
        <f t="shared" ca="1" si="496"/>
        <v>0.68122479518063639</v>
      </c>
      <c r="KE104" s="143">
        <f t="shared" ca="1" si="497"/>
        <v>0.56459949180112401</v>
      </c>
      <c r="KF104" s="143">
        <f t="shared" ca="1" si="498"/>
        <v>0.57285694957491196</v>
      </c>
      <c r="KG104" s="142">
        <f t="shared" si="499"/>
        <v>0.16682994744734916</v>
      </c>
      <c r="KH104" s="142">
        <f t="shared" ca="1" si="500"/>
        <v>9.7924405947319174E-2</v>
      </c>
      <c r="KI104" s="142">
        <f t="shared" ca="1" si="501"/>
        <v>292.89132334485862</v>
      </c>
      <c r="KJ104" s="142">
        <f t="shared" ca="1" si="502"/>
        <v>257.77578038452896</v>
      </c>
    </row>
    <row r="105" spans="1:296" x14ac:dyDescent="0.3">
      <c r="A105" s="195">
        <v>41458</v>
      </c>
      <c r="B105" s="196">
        <v>126</v>
      </c>
      <c r="C105" s="177">
        <v>24</v>
      </c>
      <c r="D105" s="166">
        <v>4.2</v>
      </c>
      <c r="E105" s="166">
        <v>50016</v>
      </c>
      <c r="F105" s="166">
        <v>300</v>
      </c>
      <c r="G105" s="166">
        <v>11.7</v>
      </c>
      <c r="H105" s="166">
        <v>0.85</v>
      </c>
      <c r="I105" s="166">
        <v>1.4</v>
      </c>
      <c r="J105" s="166">
        <v>1.33</v>
      </c>
      <c r="K105" s="166">
        <v>0.91</v>
      </c>
      <c r="L105" s="166">
        <v>19855.814190797508</v>
      </c>
      <c r="M105" s="169">
        <v>19</v>
      </c>
      <c r="N105" s="167">
        <v>55926.629722103477</v>
      </c>
      <c r="O105" s="176">
        <v>17</v>
      </c>
      <c r="P105" s="166">
        <v>2</v>
      </c>
      <c r="Q105" s="166">
        <v>5</v>
      </c>
      <c r="R105" s="168">
        <v>348.45278930664062</v>
      </c>
      <c r="S105" s="169">
        <v>68.675222462363308</v>
      </c>
      <c r="T105" s="166">
        <v>180</v>
      </c>
      <c r="U105" s="170">
        <v>2.6787340641021729</v>
      </c>
      <c r="V105" s="176">
        <v>17</v>
      </c>
      <c r="W105" s="166">
        <v>1250</v>
      </c>
      <c r="X105" s="169">
        <v>56637.447961777449</v>
      </c>
      <c r="Y105" s="169">
        <v>8808.4090178236365</v>
      </c>
      <c r="Z105" s="169">
        <v>373.3314208984375</v>
      </c>
      <c r="AA105" s="169">
        <v>12.079038619995117</v>
      </c>
      <c r="AB105" s="169">
        <v>14.647590637207031</v>
      </c>
      <c r="AC105" s="212">
        <v>37</v>
      </c>
      <c r="AD105" s="212">
        <v>27.72724723815918</v>
      </c>
      <c r="AE105" s="254">
        <v>20</v>
      </c>
      <c r="AF105" s="254">
        <v>10</v>
      </c>
      <c r="AG105" s="217">
        <v>5000000</v>
      </c>
      <c r="AH105" s="218">
        <v>300000</v>
      </c>
      <c r="AI105" s="219">
        <v>5000000</v>
      </c>
      <c r="AJ105" s="225">
        <f t="shared" si="473"/>
        <v>300000</v>
      </c>
      <c r="AK105" s="220">
        <v>2750000</v>
      </c>
      <c r="AL105" s="226">
        <f t="shared" si="474"/>
        <v>300000</v>
      </c>
      <c r="AM105" s="221">
        <v>14.407</v>
      </c>
      <c r="BM105" s="197">
        <f t="shared" si="475"/>
        <v>9.2727527618408203</v>
      </c>
      <c r="BN105" s="196">
        <f t="shared" si="476"/>
        <v>180</v>
      </c>
      <c r="BO105" s="197">
        <f t="shared" si="477"/>
        <v>2.5685520172119141</v>
      </c>
      <c r="BP105" s="196">
        <f t="shared" si="472"/>
        <v>12.647886552283499</v>
      </c>
      <c r="BQ105" s="115">
        <f t="shared" si="478"/>
        <v>659.74492511188635</v>
      </c>
      <c r="BR105" s="184">
        <f t="shared" si="479"/>
        <v>1.0041987768</v>
      </c>
      <c r="BS105" s="115">
        <f t="shared" si="480"/>
        <v>6863.8528613899143</v>
      </c>
      <c r="BT105" s="196">
        <v>900</v>
      </c>
      <c r="BU105" s="115">
        <f t="shared" si="424"/>
        <v>1.1850729520000001</v>
      </c>
      <c r="BV105" s="115">
        <f t="shared" si="425"/>
        <v>1.0606967155487887</v>
      </c>
      <c r="BW105" s="115">
        <f t="shared" si="426"/>
        <v>423.89751810101325</v>
      </c>
      <c r="BX105" s="115">
        <f t="shared" si="503"/>
        <v>1019.753813687036</v>
      </c>
      <c r="BY105" s="115"/>
      <c r="BZ105" s="115">
        <f t="shared" si="504"/>
        <v>595.85629558602272</v>
      </c>
      <c r="CA105" s="115">
        <f t="shared" si="505"/>
        <v>9626.756472906427</v>
      </c>
      <c r="CB105" s="115">
        <f t="shared" si="506"/>
        <v>2330.2762384209782</v>
      </c>
      <c r="CC105" s="115">
        <f t="shared" si="507"/>
        <v>827.32559128322953</v>
      </c>
      <c r="CD105" s="129">
        <f t="shared" si="427"/>
        <v>0.16346447315681448</v>
      </c>
      <c r="CE105" s="115">
        <f t="shared" si="508"/>
        <v>21.960671817555149</v>
      </c>
      <c r="CF105" s="115">
        <f t="shared" si="509"/>
        <v>19.076450683989808</v>
      </c>
      <c r="CG105" s="115">
        <f t="shared" si="510"/>
        <v>0.02</v>
      </c>
      <c r="CH105" s="115">
        <f t="shared" si="511"/>
        <v>0.05</v>
      </c>
      <c r="CI105" s="136">
        <v>30</v>
      </c>
      <c r="CJ105" s="115">
        <f t="shared" si="428"/>
        <v>165</v>
      </c>
      <c r="CK105" s="115">
        <f t="shared" si="512"/>
        <v>453</v>
      </c>
      <c r="CL105" s="115">
        <f t="shared" si="513"/>
        <v>621.45278930664062</v>
      </c>
      <c r="CM105" s="115">
        <f t="shared" ca="1" si="514"/>
        <v>2816.5993052117487</v>
      </c>
      <c r="CN105" s="115">
        <f t="shared" ca="1" si="429"/>
        <v>125.80344444444444</v>
      </c>
      <c r="CO105" s="115">
        <f t="shared" ca="1" si="430"/>
        <v>690.58718083896258</v>
      </c>
      <c r="CP105" s="115">
        <f t="shared" ca="1" si="431"/>
        <v>2790.6388281929471</v>
      </c>
      <c r="CQ105" s="115">
        <f t="shared" si="432"/>
        <v>1.072449112508886</v>
      </c>
      <c r="CR105" s="115">
        <f t="shared" ca="1" si="481"/>
        <v>441.26408477984529</v>
      </c>
      <c r="CS105" s="115">
        <f t="shared" ca="1" si="482"/>
        <v>21.908961145928114</v>
      </c>
      <c r="CT105" s="115">
        <f t="shared" si="433"/>
        <v>1.1104844323895406</v>
      </c>
      <c r="CU105" s="115">
        <f t="shared" ca="1" si="434"/>
        <v>1.0108035406792781</v>
      </c>
      <c r="CV105" s="115">
        <f t="shared" si="360"/>
        <v>122.85629558602272</v>
      </c>
      <c r="CW105" s="115">
        <f t="shared" si="435"/>
        <v>473</v>
      </c>
      <c r="CX105" s="115">
        <f t="shared" si="436"/>
        <v>438</v>
      </c>
      <c r="CY105" s="115">
        <f t="shared" ca="1" si="437"/>
        <v>451.09103885407188</v>
      </c>
      <c r="CZ105" s="115">
        <f t="shared" ca="1" si="438"/>
        <v>170.36175045256874</v>
      </c>
      <c r="DA105" s="115">
        <v>0.21890000000000001</v>
      </c>
      <c r="DB105" s="115">
        <v>2.7E-2</v>
      </c>
      <c r="DC105" s="115">
        <v>1.06</v>
      </c>
      <c r="DD105" s="138">
        <f t="shared" si="515"/>
        <v>8.6663894347759065</v>
      </c>
      <c r="DE105" s="138">
        <f t="shared" si="439"/>
        <v>8.6663894347759065</v>
      </c>
      <c r="DF105" s="115">
        <f t="shared" si="440"/>
        <v>621.45278930664062</v>
      </c>
      <c r="DG105" s="115">
        <v>595.85629558602272</v>
      </c>
      <c r="DH105" s="115">
        <f t="shared" si="441"/>
        <v>1.1104844323895406</v>
      </c>
      <c r="DI105" s="115">
        <f t="shared" si="299"/>
        <v>1.1037240321897992</v>
      </c>
      <c r="DJ105" s="138">
        <f t="shared" si="483"/>
        <v>2.2200604924130731</v>
      </c>
      <c r="DK105" s="138">
        <f t="shared" si="484"/>
        <v>1.9303916828085359</v>
      </c>
      <c r="DL105" s="115">
        <f t="shared" si="442"/>
        <v>621.45278930664062</v>
      </c>
      <c r="DM105" s="115">
        <f t="shared" si="471"/>
        <v>595.85629558602272</v>
      </c>
      <c r="DN105" s="115">
        <f t="shared" si="300"/>
        <v>12.762867339122439</v>
      </c>
      <c r="DO105" s="115">
        <f t="shared" si="301"/>
        <v>1.1104844323895406</v>
      </c>
      <c r="DP105" s="115">
        <f t="shared" si="443"/>
        <v>1.1037240321897992</v>
      </c>
      <c r="DQ105" s="115">
        <v>298.14999999999998</v>
      </c>
      <c r="DR105" s="138">
        <f t="shared" si="302"/>
        <v>1.4785602879471065</v>
      </c>
      <c r="DS105" s="138">
        <f t="shared" si="303"/>
        <v>1.2856408607504848</v>
      </c>
      <c r="DT105" s="115">
        <f t="shared" si="444"/>
        <v>621.45278930664062</v>
      </c>
      <c r="DU105" s="139">
        <f t="shared" si="422"/>
        <v>6.4005971340343759</v>
      </c>
      <c r="DV105" s="115">
        <f t="shared" si="445"/>
        <v>1.1104844323895406</v>
      </c>
      <c r="DW105" s="115">
        <v>298.14999999999998</v>
      </c>
      <c r="DX105" s="138">
        <f t="shared" si="485"/>
        <v>0.74150020446596643</v>
      </c>
      <c r="DY105" s="138">
        <f t="shared" si="486"/>
        <v>0.64475082205805112</v>
      </c>
      <c r="DZ105" s="138">
        <f t="shared" si="446"/>
        <v>2.3302762384209781</v>
      </c>
      <c r="EA105" s="138">
        <f t="shared" si="447"/>
        <v>2.7629036115165126</v>
      </c>
      <c r="EB105" s="115">
        <f t="shared" si="448"/>
        <v>19.076450683989808</v>
      </c>
      <c r="EC105" s="115">
        <v>30</v>
      </c>
      <c r="ED105" s="198">
        <f t="shared" ca="1" si="449"/>
        <v>125.80344444444444</v>
      </c>
      <c r="EE105" s="198">
        <v>104.83</v>
      </c>
      <c r="EF105" s="198">
        <f t="shared" ca="1" si="450"/>
        <v>0.42491111111111107</v>
      </c>
      <c r="EG105" s="199">
        <v>0.36720000000000003</v>
      </c>
      <c r="EH105" s="138">
        <f t="shared" ca="1" si="304"/>
        <v>7.185863696433889E-2</v>
      </c>
      <c r="EI105" s="138">
        <f t="shared" ca="1" si="451"/>
        <v>7.185863696433889E-2</v>
      </c>
      <c r="EJ105" s="115">
        <f t="shared" si="452"/>
        <v>12.762867339122439</v>
      </c>
      <c r="EK105" s="115">
        <v>435</v>
      </c>
      <c r="EL105" s="115">
        <f t="shared" ca="1" si="453"/>
        <v>451.09103885407188</v>
      </c>
      <c r="EM105" s="115">
        <f t="shared" ca="1" si="305"/>
        <v>1.0621480512724772</v>
      </c>
      <c r="EN105" s="115">
        <f t="shared" ca="1" si="306"/>
        <v>1.0671420329103902</v>
      </c>
      <c r="EO105" s="115">
        <v>298.14999999999998</v>
      </c>
      <c r="EP105" s="138">
        <f t="shared" ca="1" si="307"/>
        <v>0.32838243202776085</v>
      </c>
      <c r="EQ105" s="138">
        <f t="shared" ca="1" si="308"/>
        <v>0.40158411988326925</v>
      </c>
      <c r="ER105" s="115">
        <f t="shared" si="454"/>
        <v>0.74409279558393693</v>
      </c>
      <c r="ES105" s="115">
        <f t="shared" si="455"/>
        <v>453</v>
      </c>
      <c r="ET105" s="115">
        <f t="shared" ca="1" si="516"/>
        <v>2816.5993052117487</v>
      </c>
      <c r="EU105" s="115">
        <f t="shared" ca="1" si="517"/>
        <v>6.5855309782608691</v>
      </c>
      <c r="EV105" s="138">
        <f t="shared" ca="1" si="456"/>
        <v>0.63826339712036095</v>
      </c>
      <c r="EW105" s="138">
        <f t="shared" ca="1" si="487"/>
        <v>0.65016611967846205</v>
      </c>
      <c r="EX105" s="115">
        <v>21.47</v>
      </c>
      <c r="EY105" s="115">
        <f t="shared" ca="1" si="518"/>
        <v>116.1260549413893</v>
      </c>
      <c r="EZ105" s="115">
        <f t="shared" ca="1" si="519"/>
        <v>0.39321883648766409</v>
      </c>
      <c r="FA105" s="138">
        <f t="shared" ca="1" si="310"/>
        <v>7.597242895045582E-2</v>
      </c>
      <c r="FB105" s="138">
        <f t="shared" ca="1" si="457"/>
        <v>7.597242895045582E-2</v>
      </c>
      <c r="FC105" s="115">
        <f t="shared" si="458"/>
        <v>21.47</v>
      </c>
      <c r="FD105" s="115">
        <v>37</v>
      </c>
      <c r="FE105" s="115">
        <f t="shared" ca="1" si="459"/>
        <v>154.93355555555553</v>
      </c>
      <c r="FF105" s="115">
        <f t="shared" ca="1" si="460"/>
        <v>0.52252222222222222</v>
      </c>
      <c r="FG105" s="138">
        <f t="shared" ca="1" si="461"/>
        <v>8.1462225449999703E-2</v>
      </c>
      <c r="FH105" s="138">
        <f t="shared" ca="1" si="312"/>
        <v>8.1462225449999703E-2</v>
      </c>
      <c r="FI105" s="115">
        <f t="shared" si="462"/>
        <v>104.53279785156251</v>
      </c>
      <c r="FJ105" s="115">
        <f t="shared" ca="1" si="520"/>
        <v>50.636563184526239</v>
      </c>
      <c r="FK105" s="115">
        <f t="shared" ca="1" si="521"/>
        <v>0.17501326075659859</v>
      </c>
      <c r="FL105" s="138">
        <f t="shared" ca="1" si="463"/>
        <v>0.32478753091938617</v>
      </c>
      <c r="FM105" s="138">
        <f t="shared" ca="1" si="488"/>
        <v>0.376237179299102</v>
      </c>
      <c r="FN105" s="115">
        <f t="shared" si="464"/>
        <v>104.53279785156251</v>
      </c>
      <c r="FO105" s="115">
        <f t="shared" ca="1" si="522"/>
        <v>61.386238771226679</v>
      </c>
      <c r="FP105" s="115">
        <f t="shared" ca="1" si="523"/>
        <v>0.21083029166327583</v>
      </c>
      <c r="FQ105" s="138">
        <f t="shared" ca="1" si="465"/>
        <v>0.33219136130567262</v>
      </c>
      <c r="FR105" s="138">
        <f t="shared" ca="1" si="489"/>
        <v>0.38481385172448762</v>
      </c>
      <c r="FS105" s="139">
        <f t="shared" si="468"/>
        <v>4.1160527039418557</v>
      </c>
      <c r="FT105" s="249">
        <f t="shared" si="316"/>
        <v>3.9730941404508577</v>
      </c>
      <c r="FU105" s="139">
        <f t="shared" ca="1" si="469"/>
        <v>0.58377309576332348</v>
      </c>
      <c r="FV105" s="249">
        <f t="shared" ca="1" si="318"/>
        <v>0.30574925815309228</v>
      </c>
      <c r="FW105" s="139">
        <f t="shared" ca="1" si="466"/>
        <v>0.64017743100710356</v>
      </c>
      <c r="FX105" s="249">
        <f t="shared" ca="1" si="319"/>
        <v>0.65325299560430383</v>
      </c>
      <c r="FY105" s="249">
        <f t="shared" si="524"/>
        <v>0.15000000000000002</v>
      </c>
      <c r="FZ105" s="139">
        <f t="shared" si="525"/>
        <v>1050000</v>
      </c>
      <c r="GA105" s="139">
        <f t="shared" si="320"/>
        <v>3.3757716049382713E-2</v>
      </c>
      <c r="GB105" s="139">
        <f t="shared" si="361"/>
        <v>121.52777777777777</v>
      </c>
      <c r="GC105" s="139">
        <f t="shared" si="526"/>
        <v>1050000</v>
      </c>
      <c r="GD105" s="139">
        <f t="shared" si="362"/>
        <v>6.7515432098765427E-2</v>
      </c>
      <c r="GE105" s="139">
        <f t="shared" si="363"/>
        <v>243.05555555555554</v>
      </c>
      <c r="GF105" s="139">
        <f t="shared" si="364"/>
        <v>4.5814043209876545E-2</v>
      </c>
      <c r="GG105" s="139">
        <f t="shared" si="527"/>
        <v>712500</v>
      </c>
      <c r="GH105" s="139">
        <f t="shared" si="365"/>
        <v>164.93055555555554</v>
      </c>
      <c r="GI105" s="137">
        <f t="shared" si="528"/>
        <v>54.34118712372485</v>
      </c>
      <c r="GJ105" s="137">
        <f t="shared" si="321"/>
        <v>0.19562827364540791</v>
      </c>
      <c r="GK105" s="251">
        <f t="shared" si="529"/>
        <v>47.342670629823687</v>
      </c>
      <c r="GL105" s="137">
        <f t="shared" si="329"/>
        <v>0.17043361426736392</v>
      </c>
      <c r="GM105" s="137">
        <f t="shared" ca="1" si="530"/>
        <v>7.3689031128904094</v>
      </c>
      <c r="GN105" s="137">
        <f t="shared" ca="1" si="322"/>
        <v>2.6528051206405261E-2</v>
      </c>
      <c r="GO105" s="137">
        <f t="shared" ca="1" si="366"/>
        <v>9.3277254593548742E-2</v>
      </c>
      <c r="GP105" s="137">
        <f t="shared" ca="1" si="531"/>
        <v>7.4735658074818128</v>
      </c>
      <c r="GQ105" s="137">
        <f t="shared" ca="1" si="323"/>
        <v>2.690483690693431E-2</v>
      </c>
      <c r="GR105" s="137">
        <f t="shared" ca="1" si="406"/>
        <v>9.4602098828882958E-2</v>
      </c>
      <c r="GS105" s="140">
        <f t="shared" si="532"/>
        <v>5.9299971305690313E-2</v>
      </c>
      <c r="GT105" s="140">
        <f t="shared" si="533"/>
        <v>5.7240367281475503E-2</v>
      </c>
      <c r="GU105" s="140">
        <f t="shared" si="467"/>
        <v>213.47989670048514</v>
      </c>
      <c r="GV105" s="140">
        <f t="shared" si="324"/>
        <v>206.06532221331182</v>
      </c>
      <c r="GW105" s="141">
        <f t="shared" ca="1" si="534"/>
        <v>5.6013390477810251E-3</v>
      </c>
      <c r="GX105" s="141">
        <f t="shared" ca="1" si="535"/>
        <v>2.9336830884329258E-3</v>
      </c>
      <c r="GY105" s="141">
        <f t="shared" ca="1" si="325"/>
        <v>20.164820572011692</v>
      </c>
      <c r="GZ105" s="141">
        <f t="shared" ca="1" si="326"/>
        <v>10.561259118358533</v>
      </c>
      <c r="HA105" s="141">
        <f t="shared" ca="1" si="536"/>
        <v>1.2473440280188552E-2</v>
      </c>
      <c r="HB105" s="141">
        <f t="shared" ca="1" si="537"/>
        <v>9.5818754982474087E-3</v>
      </c>
      <c r="HC105" s="141">
        <f t="shared" ca="1" si="470"/>
        <v>44.904385008678787</v>
      </c>
      <c r="HD105" s="141">
        <f t="shared" ca="1" si="328"/>
        <v>34.494751793690675</v>
      </c>
      <c r="HE105" s="137">
        <f t="shared" si="367"/>
        <v>6.4463289423628334</v>
      </c>
      <c r="HF105" s="250">
        <f t="shared" si="368"/>
        <v>6.7359977519673704</v>
      </c>
      <c r="HG105" s="137">
        <v>2.3302762384209781</v>
      </c>
      <c r="HH105" s="251">
        <v>2.1816045920918512</v>
      </c>
      <c r="HI105" s="137">
        <f t="shared" ca="1" si="369"/>
        <v>1.0769761680638372</v>
      </c>
      <c r="HJ105" s="251">
        <f t="shared" ca="1" si="370"/>
        <v>0.88405674086721553</v>
      </c>
      <c r="HK105" s="137">
        <f t="shared" ca="1" si="371"/>
        <v>0.56640476015602204</v>
      </c>
      <c r="HL105" s="251">
        <f t="shared" ca="1" si="372"/>
        <v>0.57830748271412313</v>
      </c>
      <c r="HM105" s="137">
        <f t="shared" ca="1" si="373"/>
        <v>0.63826339712036095</v>
      </c>
      <c r="HN105" s="251">
        <f t="shared" ca="1" si="374"/>
        <v>0.65016611967846205</v>
      </c>
      <c r="HO105" s="137">
        <f t="shared" ca="1" si="375"/>
        <v>0.32478753091938617</v>
      </c>
      <c r="HP105" s="251">
        <f t="shared" ca="1" si="376"/>
        <v>0.376237179299102</v>
      </c>
      <c r="JN105" s="143">
        <f t="shared" si="538"/>
        <v>19.163464473156814</v>
      </c>
      <c r="JO105" s="143">
        <f t="shared" si="490"/>
        <v>2330.2762384209782</v>
      </c>
      <c r="JP105" s="143">
        <f t="shared" si="539"/>
        <v>2762.9036115165127</v>
      </c>
      <c r="JQ105" s="143">
        <f t="shared" si="540"/>
        <v>0.74409279558393693</v>
      </c>
      <c r="JR105" s="143">
        <f t="shared" ca="1" si="491"/>
        <v>0.75796908888741643</v>
      </c>
      <c r="JS105" s="143">
        <f t="shared" si="541"/>
        <v>104.53279785156251</v>
      </c>
      <c r="JT105" s="143">
        <f t="shared" ca="1" si="492"/>
        <v>121.09185625625753</v>
      </c>
      <c r="JU105" s="143">
        <f t="shared" ref="JU105:JU122" si="547">CB105/(CD105*E105)</f>
        <v>0.28501982645903423</v>
      </c>
      <c r="JV105" s="143">
        <f t="shared" si="542"/>
        <v>0.33793517476326429</v>
      </c>
      <c r="JW105" s="143">
        <f t="shared" ca="1" si="543"/>
        <v>0.24431368021665711</v>
      </c>
      <c r="JX105" s="143">
        <f t="shared" ca="1" si="544"/>
        <v>0.24886978975683663</v>
      </c>
      <c r="JY105" s="143">
        <f t="shared" si="545"/>
        <v>0.81043618212270851</v>
      </c>
      <c r="JZ105" s="143">
        <f t="shared" si="546"/>
        <v>0.36338892583126103</v>
      </c>
      <c r="KA105" s="143">
        <f t="shared" si="493"/>
        <v>0.26888662873493796</v>
      </c>
      <c r="KB105" s="143">
        <f t="shared" si="494"/>
        <v>0.31880676864458896</v>
      </c>
      <c r="KC105" s="143">
        <f t="shared" ca="1" si="495"/>
        <v>0.49244971744243027</v>
      </c>
      <c r="KD105" s="143">
        <f t="shared" ca="1" si="496"/>
        <v>0.65415199724265705</v>
      </c>
      <c r="KE105" s="143">
        <f t="shared" ca="1" si="497"/>
        <v>0.57867853754847931</v>
      </c>
      <c r="KF105" s="143">
        <f t="shared" ca="1" si="498"/>
        <v>0.508861282637737</v>
      </c>
      <c r="KG105" s="142">
        <f t="shared" si="499"/>
        <v>0.17043361426736392</v>
      </c>
      <c r="KH105" s="142">
        <f t="shared" ca="1" si="500"/>
        <v>9.4602098828882958E-2</v>
      </c>
      <c r="KI105" s="142">
        <f t="shared" ca="1" si="501"/>
        <v>278.54910228117564</v>
      </c>
      <c r="KJ105" s="142">
        <f t="shared" ca="1" si="502"/>
        <v>251.12133312536102</v>
      </c>
    </row>
    <row r="106" spans="1:296" x14ac:dyDescent="0.3">
      <c r="A106" s="195">
        <v>41480</v>
      </c>
      <c r="B106" s="196">
        <v>138</v>
      </c>
      <c r="C106" s="177">
        <v>24</v>
      </c>
      <c r="D106" s="166">
        <v>4.2</v>
      </c>
      <c r="E106" s="166">
        <v>50016</v>
      </c>
      <c r="F106" s="166">
        <v>300</v>
      </c>
      <c r="G106" s="166">
        <v>11.7</v>
      </c>
      <c r="H106" s="166">
        <v>0.85</v>
      </c>
      <c r="I106" s="166">
        <v>1.4</v>
      </c>
      <c r="J106" s="166">
        <v>1.33</v>
      </c>
      <c r="K106" s="166">
        <v>0.91</v>
      </c>
      <c r="L106" s="166">
        <v>20418.673693805933</v>
      </c>
      <c r="M106" s="169">
        <v>19</v>
      </c>
      <c r="N106" s="167">
        <v>58947.212779648602</v>
      </c>
      <c r="O106" s="176">
        <v>17</v>
      </c>
      <c r="P106" s="166">
        <v>2</v>
      </c>
      <c r="Q106" s="166">
        <v>5</v>
      </c>
      <c r="R106" s="168">
        <v>355.63937377929687</v>
      </c>
      <c r="S106" s="169">
        <v>79.440849150676513</v>
      </c>
      <c r="T106" s="166">
        <v>180</v>
      </c>
      <c r="U106" s="170">
        <v>3.1217246055603027</v>
      </c>
      <c r="V106" s="176">
        <v>17</v>
      </c>
      <c r="W106" s="166">
        <v>1250</v>
      </c>
      <c r="X106" s="169">
        <v>83067.504717305303</v>
      </c>
      <c r="Y106" s="169">
        <v>11147.324093727395</v>
      </c>
      <c r="Z106" s="169">
        <v>293.60565185546875</v>
      </c>
      <c r="AA106" s="169">
        <v>9.5987873077392578</v>
      </c>
      <c r="AB106" s="169">
        <v>13.719850540161133</v>
      </c>
      <c r="AC106" s="212">
        <v>37</v>
      </c>
      <c r="AD106" s="212">
        <v>29.059356689453125</v>
      </c>
      <c r="AE106" s="254">
        <v>20</v>
      </c>
      <c r="AF106" s="254">
        <v>10</v>
      </c>
      <c r="AG106" s="217">
        <v>5000000</v>
      </c>
      <c r="AH106" s="218">
        <v>300000</v>
      </c>
      <c r="AI106" s="219">
        <v>5000000</v>
      </c>
      <c r="AJ106" s="225">
        <f t="shared" si="473"/>
        <v>300000</v>
      </c>
      <c r="AK106" s="220">
        <v>2750000</v>
      </c>
      <c r="AL106" s="226">
        <f t="shared" si="474"/>
        <v>300000</v>
      </c>
      <c r="AM106" s="221">
        <v>14.407</v>
      </c>
      <c r="BM106" s="197">
        <f t="shared" si="475"/>
        <v>7.940643310546875</v>
      </c>
      <c r="BN106" s="196">
        <f t="shared" si="476"/>
        <v>180</v>
      </c>
      <c r="BO106" s="197">
        <f t="shared" si="477"/>
        <v>4.121063232421875</v>
      </c>
      <c r="BP106" s="196">
        <f t="shared" si="472"/>
        <v>12.650944848992767</v>
      </c>
      <c r="BQ106" s="115">
        <f t="shared" si="478"/>
        <v>659.74492511188635</v>
      </c>
      <c r="BR106" s="184">
        <f t="shared" si="479"/>
        <v>1.0041987768</v>
      </c>
      <c r="BS106" s="115">
        <f t="shared" si="480"/>
        <v>6863.8528613899143</v>
      </c>
      <c r="BT106" s="196">
        <v>900</v>
      </c>
      <c r="BU106" s="115">
        <f t="shared" ref="BU106:BU120" si="548">0.991615+(0.0000699703*BT106)+(0.00000027129*BT106^2)-(0.000000000122442*BT106^3)</f>
        <v>1.1850729520000001</v>
      </c>
      <c r="BV106" s="115">
        <f t="shared" ref="BV106:BV120" si="549">0.991615+(0.0000699703*BW106)+(0.00000027129*BW106^2)-(0.000000000122442*BW106^3)</f>
        <v>1.0616825685173854</v>
      </c>
      <c r="BW106" s="115">
        <f t="shared" ref="BW106:BW120" si="550">BX106-BZ106</f>
        <v>428.10251457572167</v>
      </c>
      <c r="BX106" s="115">
        <f t="shared" si="503"/>
        <v>1029.8696105684007</v>
      </c>
      <c r="BY106" s="115"/>
      <c r="BZ106" s="115">
        <f t="shared" si="504"/>
        <v>601.76709599267906</v>
      </c>
      <c r="CA106" s="115">
        <f t="shared" si="505"/>
        <v>9724.6032473373616</v>
      </c>
      <c r="CB106" s="115">
        <f t="shared" si="506"/>
        <v>2456.1338658186919</v>
      </c>
      <c r="CC106" s="115">
        <f t="shared" si="507"/>
        <v>850.77807057524717</v>
      </c>
      <c r="CD106" s="129">
        <f t="shared" ref="CD106:CD120" si="551">(0.0002778/1.406)*CC106</f>
        <v>0.16809825604964698</v>
      </c>
      <c r="CE106" s="115">
        <f t="shared" si="508"/>
        <v>17.270920697380514</v>
      </c>
      <c r="CF106" s="115">
        <f t="shared" si="509"/>
        <v>22.066902541854589</v>
      </c>
      <c r="CG106" s="115">
        <f t="shared" si="510"/>
        <v>0.02</v>
      </c>
      <c r="CH106" s="115">
        <f t="shared" si="511"/>
        <v>0.05</v>
      </c>
      <c r="CI106" s="136">
        <v>30</v>
      </c>
      <c r="CJ106" s="115">
        <f t="shared" ref="CJ106:CJ120" si="552">CX106-273</f>
        <v>165</v>
      </c>
      <c r="CK106" s="115">
        <f t="shared" si="512"/>
        <v>453</v>
      </c>
      <c r="CL106" s="115">
        <f t="shared" si="513"/>
        <v>628.63937377929687</v>
      </c>
      <c r="CM106" s="115">
        <f t="shared" ca="1" si="514"/>
        <v>2816.5993052117487</v>
      </c>
      <c r="CN106" s="115">
        <f t="shared" ref="CN106:CN120" ca="1" si="553">FORECAST(CI106,OFFSET(h,MATCH(CI106,Temp,1)-1,0,2),OFFSET(Temp,MATCH(CI106,Temp,1)-1,0,2))</f>
        <v>125.80344444444444</v>
      </c>
      <c r="CO106" s="115">
        <f t="shared" ref="CO106:CO120" ca="1" si="554">FORECAST(CJ106,OFFSET(h,MATCH(CJ106,Temp,1)-1,0,2),OFFSET(Temp,MATCH(CJ106,Temp,1)-1,0,2))</f>
        <v>690.58718083896258</v>
      </c>
      <c r="CP106" s="115">
        <f t="shared" ref="CP106:CP120" ca="1" si="555">FORECAST(CJ106,OFFSET(KnownA,MATCH(CJ106,KnownB,1)-1,0,2),OFFSET(KnownB,MATCH(CJ106,KnownB,1)-1,0,2))</f>
        <v>2790.6388281929471</v>
      </c>
      <c r="CQ106" s="115">
        <f t="shared" ref="CQ106:CQ120" si="556">0.991615+(0.0000699703*CW106)+(0.00000027129*CW106^2)-(0.000000000122442*CW106^3)</f>
        <v>1.072449112508886</v>
      </c>
      <c r="CR106" s="115">
        <f t="shared" ca="1" si="481"/>
        <v>514.23729196089005</v>
      </c>
      <c r="CS106" s="115">
        <f t="shared" ca="1" si="482"/>
        <v>25.525941598531627</v>
      </c>
      <c r="CT106" s="115">
        <f t="shared" ref="CT106:CT120" si="557">0.991615+(0.0000699703*CL106)+(0.00000027129*CL106^2)-(0.000000000122442*CL106^3)</f>
        <v>1.1123931773228208</v>
      </c>
      <c r="CU106" s="115">
        <f t="shared" ref="CU106:CU120" ca="1" si="558">0.991615+(0.0000699703*CZ106)+(0.00000027129*CZ106^2)-(0.000000000122442*CZ106^3)</f>
        <v>1.0124671251298187</v>
      </c>
      <c r="CV106" s="115">
        <f t="shared" si="360"/>
        <v>128.76709599267906</v>
      </c>
      <c r="CW106" s="115">
        <f t="shared" ref="CW106:CW120" si="559">CK106+20</f>
        <v>473</v>
      </c>
      <c r="CX106" s="115">
        <f t="shared" ref="CX106:CX120" si="560">CK106-15</f>
        <v>438</v>
      </c>
      <c r="CY106" s="115">
        <f t="shared" ref="CY106:CY120" ca="1" si="561">CW106-CS106</f>
        <v>447.47405840146837</v>
      </c>
      <c r="CZ106" s="115">
        <f t="shared" ref="CZ106:CZ120" ca="1" si="562">CL106-CY106</f>
        <v>181.16531537782851</v>
      </c>
      <c r="DA106" s="115">
        <v>0.21890000000000001</v>
      </c>
      <c r="DB106" s="115">
        <v>2.7E-2</v>
      </c>
      <c r="DC106" s="115">
        <v>1.06</v>
      </c>
      <c r="DD106" s="138">
        <f t="shared" si="515"/>
        <v>8.9120585170538931</v>
      </c>
      <c r="DE106" s="138">
        <f t="shared" ref="DE106:DE120" si="563">DD106</f>
        <v>8.9120585170538931</v>
      </c>
      <c r="DF106" s="115">
        <f t="shared" ref="DF106:DF120" si="564">CL106</f>
        <v>628.63937377929687</v>
      </c>
      <c r="DG106" s="115">
        <v>601.76709599267906</v>
      </c>
      <c r="DH106" s="115">
        <f t="shared" ref="DH106:DH120" si="565">0.991615+(0.0000699703*DF106)+(0.00000027129*DF106^2)-(0.000000000122442*DF106^3)</f>
        <v>1.1123931773228208</v>
      </c>
      <c r="DI106" s="115">
        <f t="shared" ref="DI106:DI122" si="566">0.991615+(0.0000699703*DG106)+(0.00000027129*DG106^2)-(0.000000000122442*DG106^3)</f>
        <v>1.1052795089426808</v>
      </c>
      <c r="DJ106" s="138">
        <f t="shared" si="483"/>
        <v>2.3045548721062254</v>
      </c>
      <c r="DK106" s="138">
        <f t="shared" si="484"/>
        <v>1.9964551597432656</v>
      </c>
      <c r="DL106" s="115">
        <f t="shared" ref="DL106:DL120" si="567">DF106</f>
        <v>628.63937377929687</v>
      </c>
      <c r="DM106" s="115">
        <f t="shared" si="471"/>
        <v>601.76709599267906</v>
      </c>
      <c r="DN106" s="115">
        <f t="shared" ref="DN106:DN122" si="568">0.666*JN106</f>
        <v>12.765953438529065</v>
      </c>
      <c r="DO106" s="115">
        <f t="shared" ref="DO106:DO122" si="569">0.991615+(0.0000699703*DL106)+(0.00000027129*DL106^2)-(0.000000000122442*DL106^3)</f>
        <v>1.1123931773228208</v>
      </c>
      <c r="DP106" s="115">
        <f t="shared" ref="DP106:DP120" si="570">0.991615+(0.0000699703*DM106)+(0.00000027129*DM106^2)-(0.000000000122442*DM106^3)</f>
        <v>1.1052795089426808</v>
      </c>
      <c r="DQ106" s="115">
        <v>298.14999999999998</v>
      </c>
      <c r="DR106" s="138">
        <f t="shared" ref="DR106:DR122" si="571">(DN106*DO106*DQ106*((DL106/DQ106)-1-LN(DL106/DQ106)))*0.001</f>
        <v>1.5348335448227466</v>
      </c>
      <c r="DS106" s="138">
        <f t="shared" ref="DS106:DS122" si="572">(DN106*DP106*DQ106*((DM106/DQ106)-1-LN(DM106/DQ106)))*0.001</f>
        <v>1.3296391363890148</v>
      </c>
      <c r="DT106" s="115">
        <f t="shared" ref="DT106:DT120" si="573">DL106</f>
        <v>628.63937377929687</v>
      </c>
      <c r="DU106" s="139">
        <f t="shared" si="422"/>
        <v>6.4021448175205808</v>
      </c>
      <c r="DV106" s="115">
        <f t="shared" ref="DV106:DV120" si="574">0.991615+(0.0000699703*DT106)+(0.00000027129*DT106^2)-(0.000000000122442*DT106^3)</f>
        <v>1.1123931773228208</v>
      </c>
      <c r="DW106" s="115">
        <v>298.14999999999998</v>
      </c>
      <c r="DX106" s="138">
        <f t="shared" si="485"/>
        <v>0.7697213272834792</v>
      </c>
      <c r="DY106" s="138">
        <f t="shared" si="486"/>
        <v>0.66681602335425061</v>
      </c>
      <c r="DZ106" s="138">
        <f t="shared" ref="DZ106:DZ120" si="575">CB106*0.001</f>
        <v>2.4561338658186918</v>
      </c>
      <c r="EA106" s="138">
        <f t="shared" ref="EA106:EA120" si="576">JP106*0.001</f>
        <v>2.8607503859474472</v>
      </c>
      <c r="EB106" s="115">
        <f t="shared" ref="EB106:EB120" si="577">CF106</f>
        <v>22.066902541854589</v>
      </c>
      <c r="EC106" s="115">
        <v>30</v>
      </c>
      <c r="ED106" s="198">
        <f t="shared" ref="ED106:ED120" ca="1" si="578">FORECAST(EC106,OFFSET(h,MATCH(EC106,Temp,1)-1,0,2),OFFSET(Temp,MATCH(EC106,Temp,1)-1,0,2))</f>
        <v>125.80344444444444</v>
      </c>
      <c r="EE106" s="198">
        <v>104.83</v>
      </c>
      <c r="EF106" s="198">
        <f t="shared" ref="EF106:EF122" ca="1" si="579">FORECAST(EC106,OFFSET(KnownYSAC,MATCH(EC106,KnownXSAC,1)-1,0,2),OFFSET(KnownXSAC,MATCH(EC106,KnownXSAC,1)-1,0,2))</f>
        <v>0.42491111111111107</v>
      </c>
      <c r="EG106" s="199">
        <v>0.36720000000000003</v>
      </c>
      <c r="EH106" s="138">
        <f t="shared" ref="EH106:EH122" ca="1" si="580">(EB106*(ED106-EE106-DW106*(EF106-EG106))*0.001)</f>
        <v>8.3123300290519772E-2</v>
      </c>
      <c r="EI106" s="138">
        <f t="shared" ref="EI106:EI120" ca="1" si="581">EH106</f>
        <v>8.3123300290519772E-2</v>
      </c>
      <c r="EJ106" s="115">
        <f t="shared" ref="EJ106:EJ123" si="582">DN106</f>
        <v>12.765953438529065</v>
      </c>
      <c r="EK106" s="115">
        <v>435</v>
      </c>
      <c r="EL106" s="115">
        <f t="shared" ref="EL106:EL122" ca="1" si="583">CY106</f>
        <v>447.47405840146837</v>
      </c>
      <c r="EM106" s="115">
        <f t="shared" ref="EM106:EM122" ca="1" si="584">0.991615+(0.0000699703*EK106)+(0.00000027129*EK106^2)-(0.000000000122442*EL106^3)</f>
        <v>1.062416239232199</v>
      </c>
      <c r="EN106" s="115">
        <f t="shared" ref="EN106:EN123" ca="1" si="585">0.991615+(0.0000699703*EL106)+(0.00000027129*EL106^2)-(0.000000000122442*EL106^3)</f>
        <v>1.0662754220976787</v>
      </c>
      <c r="EO106" s="115">
        <v>298.14999999999998</v>
      </c>
      <c r="EP106" s="138">
        <f t="shared" ref="EP106:EP122" ca="1" si="586">(EJ106*EM106*EO106*((EK106/EO106)-1-LN(EK106/EO106)))*0.001</f>
        <v>0.3285447711254173</v>
      </c>
      <c r="EQ106" s="138">
        <f t="shared" ref="EQ106:EQ122" ca="1" si="587">(EJ106*EN106*EO106*((EL106/EO106)-1-LN(EL106/EO106)))*0.001</f>
        <v>0.38479341102356329</v>
      </c>
      <c r="ER106" s="115">
        <f t="shared" ref="ER106:ER120" si="588">JQ106</f>
        <v>0.86714572376675081</v>
      </c>
      <c r="ES106" s="115">
        <f t="shared" ref="ES106:ES122" si="589">CK106</f>
        <v>453</v>
      </c>
      <c r="ET106" s="115">
        <f t="shared" ca="1" si="516"/>
        <v>2816.5993052117487</v>
      </c>
      <c r="EU106" s="115">
        <f t="shared" ca="1" si="517"/>
        <v>6.5855309782608691</v>
      </c>
      <c r="EV106" s="138">
        <f t="shared" ref="EV106:EV122" ca="1" si="590">(ER106*(ET106-EE106-DQ106*(EU106-EG106)))*0.001</f>
        <v>0.7438149901927481</v>
      </c>
      <c r="EW106" s="138">
        <f t="shared" ca="1" si="487"/>
        <v>0.68278294218910041</v>
      </c>
      <c r="EX106" s="115">
        <v>21.47</v>
      </c>
      <c r="EY106" s="115">
        <f t="shared" ca="1" si="518"/>
        <v>121.70108100721571</v>
      </c>
      <c r="EZ106" s="115">
        <f t="shared" ca="1" si="519"/>
        <v>0.41179436272515191</v>
      </c>
      <c r="FA106" s="138">
        <f t="shared" ref="FA106:FA122" ca="1" si="591">(EX106*(EY106-EE106-DW106*(EZ106-EG106)))*0.001</f>
        <v>7.6761084702479679E-2</v>
      </c>
      <c r="FB106" s="138">
        <f t="shared" ref="FB106:FB120" ca="1" si="592">FA106</f>
        <v>7.6761084702479679E-2</v>
      </c>
      <c r="FC106" s="115">
        <f t="shared" ref="FC106:FC120" si="593">EX106</f>
        <v>21.47</v>
      </c>
      <c r="FD106" s="115">
        <v>37</v>
      </c>
      <c r="FE106" s="115">
        <f t="shared" ref="FE106:FE120" ca="1" si="594">FORECAST(FD106,OFFSET(KnownY1SAC,MATCH(FD106,KnownX1SAC,1)-1,0,2),OFFSET(KnownX1SAC,MATCH(FD106,KnownX1SAC,1)-1,0,2))</f>
        <v>154.93355555555553</v>
      </c>
      <c r="FF106" s="115">
        <f t="shared" ref="FF106:FF120" ca="1" si="595">FORECAST(FD106,OFFSET(KnownYSAC,MATCH(FD106,KnownXSAC,1)-1,0,2),OFFSET(KnownXSAC,MATCH(FD106,KnownXSAC,1)-1,0,2))</f>
        <v>0.52252222222222222</v>
      </c>
      <c r="FG106" s="138">
        <f t="shared" ref="FG106:FG122" ca="1" si="596">(FC106*(FE106-EE106-DW106*(FF106-EG106)))*0.001</f>
        <v>8.1462225449999703E-2</v>
      </c>
      <c r="FH106" s="138">
        <f t="shared" ref="FH106:FH122" ca="1" si="597">FG106</f>
        <v>8.1462225449999703E-2</v>
      </c>
      <c r="FI106" s="115">
        <f t="shared" ref="FI106:FI120" si="598">JS106</f>
        <v>82.209582519531253</v>
      </c>
      <c r="FJ106" s="115">
        <f t="shared" ca="1" si="520"/>
        <v>40.256435859256328</v>
      </c>
      <c r="FK106" s="115">
        <f t="shared" ca="1" si="521"/>
        <v>0.14042753412458633</v>
      </c>
      <c r="FL106" s="138">
        <f t="shared" ref="FL106:FL122" ca="1" si="599">(FI106*(FJ106-EE106-DW106*(FK106-EG106)))*0.001</f>
        <v>0.24980586512290731</v>
      </c>
      <c r="FM106" s="138">
        <f t="shared" ca="1" si="488"/>
        <v>0.26929479465376743</v>
      </c>
      <c r="FN106" s="115">
        <f t="shared" ref="FN106:FN120" si="600">FI106</f>
        <v>82.209582519531253</v>
      </c>
      <c r="FO106" s="115">
        <f t="shared" ca="1" si="522"/>
        <v>57.503543382856584</v>
      </c>
      <c r="FP106" s="115">
        <f t="shared" ca="1" si="523"/>
        <v>0.19789347142113581</v>
      </c>
      <c r="FQ106" s="138">
        <f t="shared" ref="FQ106:FQ122" ca="1" si="601">(FN106*(FO106-EE106-DW106*(FP106-EG106)))*0.001</f>
        <v>0.25914802385603247</v>
      </c>
      <c r="FR106" s="138">
        <f t="shared" ca="1" si="489"/>
        <v>0.27936579405332934</v>
      </c>
      <c r="FS106" s="139">
        <f t="shared" ref="FS106:FS122" si="602">(DD106-DJ106)-DZ106</f>
        <v>4.1513697791289763</v>
      </c>
      <c r="FT106" s="249">
        <f t="shared" ref="FT106:FT122" si="603">(DE106-DK106)-EA106</f>
        <v>4.0548529713631805</v>
      </c>
      <c r="FU106" s="139">
        <f t="shared" ref="FU106:FU122" ca="1" si="604">(DR106+EH106)-(EP106+EV106)</f>
        <v>0.54559708379510097</v>
      </c>
      <c r="FV106" s="249">
        <f t="shared" ref="FV106:FV122" ca="1" si="605">(DS106+EI106)-(EQ106+EW106)</f>
        <v>0.34518608346687096</v>
      </c>
      <c r="FW106" s="139">
        <f t="shared" ref="FW106:FW120" ca="1" si="606">(EV106+FA106+FQ106)-(FG106+FL106)</f>
        <v>0.74845600817835312</v>
      </c>
      <c r="FX106" s="249">
        <f t="shared" ref="FX106:FX122" ca="1" si="607">(EW106+FB106+FR106)-(FH106+FM106)</f>
        <v>0.68815280084114239</v>
      </c>
      <c r="FY106" s="249">
        <f t="shared" si="524"/>
        <v>0.15000000000000002</v>
      </c>
      <c r="FZ106" s="139">
        <f t="shared" si="525"/>
        <v>1050000</v>
      </c>
      <c r="GA106" s="139">
        <f t="shared" ref="GA106:GA122" si="608">FZ106/(8640*3600)</f>
        <v>3.3757716049382713E-2</v>
      </c>
      <c r="GB106" s="139">
        <f t="shared" si="361"/>
        <v>121.52777777777777</v>
      </c>
      <c r="GC106" s="139">
        <f t="shared" si="526"/>
        <v>1050000</v>
      </c>
      <c r="GD106" s="139">
        <f t="shared" si="362"/>
        <v>6.7515432098765427E-2</v>
      </c>
      <c r="GE106" s="139">
        <f t="shared" si="363"/>
        <v>243.05555555555554</v>
      </c>
      <c r="GF106" s="139">
        <f t="shared" si="364"/>
        <v>4.5814043209876545E-2</v>
      </c>
      <c r="GG106" s="139">
        <f t="shared" si="527"/>
        <v>712500</v>
      </c>
      <c r="GH106" s="139">
        <f t="shared" si="365"/>
        <v>164.93055555555554</v>
      </c>
      <c r="GI106" s="137">
        <f t="shared" si="528"/>
        <v>52.502032913080157</v>
      </c>
      <c r="GJ106" s="137">
        <f t="shared" ref="GJ106:GJ122" si="609">GI106/277.77777777778</f>
        <v>0.18900731848708707</v>
      </c>
      <c r="GK106" s="251">
        <f t="shared" si="529"/>
        <v>46.627910730484594</v>
      </c>
      <c r="GL106" s="137">
        <f t="shared" ref="GL106:GL122" si="610">GK106/277.77777777778</f>
        <v>0.16786047862974321</v>
      </c>
      <c r="GM106" s="137">
        <f t="shared" ca="1" si="530"/>
        <v>7.2319929072190039</v>
      </c>
      <c r="GN106" s="137">
        <f t="shared" ref="GN106:GN122" ca="1" si="611">GM106/277.77777777778</f>
        <v>2.6035174465988208E-2</v>
      </c>
      <c r="GO106" s="137">
        <f t="shared" ca="1" si="366"/>
        <v>9.1544214015429712E-2</v>
      </c>
      <c r="GP106" s="137">
        <f t="shared" ca="1" si="531"/>
        <v>7.2837372112381251</v>
      </c>
      <c r="GQ106" s="137">
        <f t="shared" ref="GQ106:GQ123" ca="1" si="612">GP106/277.77777777778</f>
        <v>2.6221453960457042E-2</v>
      </c>
      <c r="GR106" s="137">
        <f t="shared" ca="1" si="406"/>
        <v>9.2199205205545157E-2</v>
      </c>
      <c r="GS106" s="140">
        <f t="shared" si="532"/>
        <v>5.980878440791116E-2</v>
      </c>
      <c r="GT106" s="140">
        <f t="shared" si="533"/>
        <v>5.8418266758429337E-2</v>
      </c>
      <c r="GU106" s="140">
        <f t="shared" ref="GU106:GU120" si="613">GS106*3600</f>
        <v>215.31162386848018</v>
      </c>
      <c r="GV106" s="140">
        <f t="shared" ref="GV106:GV122" si="614">GT106*3600</f>
        <v>210.30576033034561</v>
      </c>
      <c r="GW106" s="141">
        <f t="shared" ca="1" si="534"/>
        <v>5.2350378460331885E-3</v>
      </c>
      <c r="GX106" s="141">
        <f t="shared" ca="1" si="535"/>
        <v>3.3120818724018015E-3</v>
      </c>
      <c r="GY106" s="141">
        <f t="shared" ref="GY106:GY122" ca="1" si="615">GW106*3600</f>
        <v>18.846136245719478</v>
      </c>
      <c r="GZ106" s="141">
        <f t="shared" ref="GZ106:GZ122" ca="1" si="616">GX106*3600</f>
        <v>11.923494740646486</v>
      </c>
      <c r="HA106" s="141">
        <f t="shared" ca="1" si="536"/>
        <v>1.3111926500004086E-2</v>
      </c>
      <c r="HB106" s="141">
        <f t="shared" ca="1" si="537"/>
        <v>1.0403722236830351E-2</v>
      </c>
      <c r="HC106" s="141">
        <f t="shared" ref="HC106:HC122" ca="1" si="617">HA106*3600</f>
        <v>47.202935400014709</v>
      </c>
      <c r="HD106" s="141">
        <f t="shared" ref="HD106:HD122" ca="1" si="618">HB106*3600</f>
        <v>37.453400052589267</v>
      </c>
      <c r="HE106" s="137">
        <f t="shared" si="367"/>
        <v>6.6075036449476681</v>
      </c>
      <c r="HF106" s="250">
        <f t="shared" si="368"/>
        <v>6.9156033573106273</v>
      </c>
      <c r="HG106" s="137">
        <v>2.4561338658186918</v>
      </c>
      <c r="HH106" s="251">
        <v>2.2503306128095049</v>
      </c>
      <c r="HI106" s="137">
        <f t="shared" ca="1" si="369"/>
        <v>1.1500401337991832</v>
      </c>
      <c r="HJ106" s="251">
        <f t="shared" ca="1" si="370"/>
        <v>0.94484572536545142</v>
      </c>
      <c r="HK106" s="137">
        <f t="shared" ca="1" si="371"/>
        <v>0.66069168990222837</v>
      </c>
      <c r="HL106" s="251">
        <f t="shared" ca="1" si="372"/>
        <v>0.59965964189858068</v>
      </c>
      <c r="HM106" s="137">
        <f t="shared" ca="1" si="373"/>
        <v>0.7438149901927481</v>
      </c>
      <c r="HN106" s="251">
        <f t="shared" ca="1" si="374"/>
        <v>0.68278294218910041</v>
      </c>
      <c r="HO106" s="137">
        <f t="shared" ca="1" si="375"/>
        <v>0.24980586512290731</v>
      </c>
      <c r="HP106" s="251">
        <f t="shared" ca="1" si="376"/>
        <v>0.26929479465376743</v>
      </c>
      <c r="JN106" s="143">
        <f t="shared" si="538"/>
        <v>19.168098256049646</v>
      </c>
      <c r="JO106" s="143">
        <f t="shared" si="490"/>
        <v>2456.1338658186919</v>
      </c>
      <c r="JP106" s="143">
        <f t="shared" si="539"/>
        <v>2860.7503859474473</v>
      </c>
      <c r="JQ106" s="143">
        <f t="shared" si="540"/>
        <v>0.86714572376675081</v>
      </c>
      <c r="JR106" s="143">
        <f t="shared" ca="1" si="491"/>
        <v>0.79599405280435753</v>
      </c>
      <c r="JS106" s="143">
        <f t="shared" si="541"/>
        <v>82.209582519531253</v>
      </c>
      <c r="JT106" s="143">
        <f t="shared" ca="1" si="492"/>
        <v>88.623270043226057</v>
      </c>
      <c r="JU106" s="143">
        <f t="shared" si="547"/>
        <v>0.29213249585220041</v>
      </c>
      <c r="JV106" s="143">
        <f t="shared" si="542"/>
        <v>0.34025757385923561</v>
      </c>
      <c r="JW106" s="143">
        <f t="shared" ca="1" si="543"/>
        <v>0.27688495423232062</v>
      </c>
      <c r="JX106" s="143">
        <f t="shared" ca="1" si="544"/>
        <v>0.2541657887933238</v>
      </c>
      <c r="JY106" s="143">
        <f t="shared" si="545"/>
        <v>0.69930154591901994</v>
      </c>
      <c r="JZ106" s="143">
        <f t="shared" si="546"/>
        <v>1.0313342684913116</v>
      </c>
      <c r="KA106" s="143">
        <f t="shared" si="493"/>
        <v>0.27559669420018901</v>
      </c>
      <c r="KB106" s="143">
        <f t="shared" si="494"/>
        <v>0.32099771118795806</v>
      </c>
      <c r="KC106" s="143">
        <f t="shared" ca="1" si="495"/>
        <v>0.54770607528508997</v>
      </c>
      <c r="KD106" s="143">
        <f t="shared" ca="1" si="496"/>
        <v>0.63466407880148035</v>
      </c>
      <c r="KE106" s="143">
        <f t="shared" ca="1" si="497"/>
        <v>0.39440761919208112</v>
      </c>
      <c r="KF106" s="143">
        <f t="shared" ca="1" si="498"/>
        <v>0.33584408544680444</v>
      </c>
      <c r="KG106" s="142">
        <f t="shared" si="499"/>
        <v>0.16786047862974321</v>
      </c>
      <c r="KH106" s="142">
        <f t="shared" ca="1" si="500"/>
        <v>9.2199205205545157E-2</v>
      </c>
      <c r="KI106" s="142">
        <f t="shared" ca="1" si="501"/>
        <v>281.3606955142144</v>
      </c>
      <c r="KJ106" s="142">
        <f t="shared" ca="1" si="502"/>
        <v>259.68265512358136</v>
      </c>
    </row>
    <row r="107" spans="1:296" x14ac:dyDescent="0.3">
      <c r="A107" s="195">
        <v>41482</v>
      </c>
      <c r="B107" s="196">
        <v>139</v>
      </c>
      <c r="C107" s="177">
        <v>24</v>
      </c>
      <c r="D107" s="166">
        <v>4.2</v>
      </c>
      <c r="E107" s="166">
        <v>50016</v>
      </c>
      <c r="F107" s="166">
        <v>300</v>
      </c>
      <c r="G107" s="166">
        <v>11.7</v>
      </c>
      <c r="H107" s="166">
        <v>0.85</v>
      </c>
      <c r="I107" s="166">
        <v>1.4</v>
      </c>
      <c r="J107" s="166">
        <v>1.33</v>
      </c>
      <c r="K107" s="166">
        <v>0.91</v>
      </c>
      <c r="L107" s="166">
        <v>26161.285462610424</v>
      </c>
      <c r="M107" s="169">
        <v>19</v>
      </c>
      <c r="N107" s="167">
        <v>73477.533613607287</v>
      </c>
      <c r="O107" s="176">
        <v>17</v>
      </c>
      <c r="P107" s="166">
        <v>2</v>
      </c>
      <c r="Q107" s="166">
        <v>5</v>
      </c>
      <c r="R107" s="168">
        <v>365.14569091796875</v>
      </c>
      <c r="S107" s="169">
        <v>77.705564960895572</v>
      </c>
      <c r="T107" s="166">
        <v>180</v>
      </c>
      <c r="U107" s="170">
        <v>3.0682570934295654</v>
      </c>
      <c r="V107" s="176">
        <v>17</v>
      </c>
      <c r="W107" s="166">
        <v>1250</v>
      </c>
      <c r="X107" s="169">
        <v>70902.415125310421</v>
      </c>
      <c r="Y107" s="169">
        <v>9836.5057992506772</v>
      </c>
      <c r="Z107" s="169">
        <v>339.02664184570312</v>
      </c>
      <c r="AA107" s="169">
        <v>11.907832145690918</v>
      </c>
      <c r="AB107" s="169">
        <v>15.391994476318359</v>
      </c>
      <c r="AC107" s="212">
        <v>37</v>
      </c>
      <c r="AD107" s="212">
        <v>28.975059509277344</v>
      </c>
      <c r="AE107" s="254">
        <v>20</v>
      </c>
      <c r="AF107" s="254">
        <v>10</v>
      </c>
      <c r="AG107" s="217">
        <v>5000000</v>
      </c>
      <c r="AH107" s="218">
        <v>300000</v>
      </c>
      <c r="AI107" s="219">
        <v>5000000</v>
      </c>
      <c r="AJ107" s="225">
        <f t="shared" si="473"/>
        <v>300000</v>
      </c>
      <c r="AK107" s="220">
        <v>2750000</v>
      </c>
      <c r="AL107" s="226">
        <f t="shared" si="474"/>
        <v>300000</v>
      </c>
      <c r="AM107" s="221">
        <v>14.407</v>
      </c>
      <c r="BK107" s="283"/>
      <c r="BM107" s="197">
        <f t="shared" si="475"/>
        <v>8.0249404907226563</v>
      </c>
      <c r="BN107" s="196">
        <f t="shared" si="476"/>
        <v>180</v>
      </c>
      <c r="BO107" s="197">
        <f t="shared" si="477"/>
        <v>3.4841623306274414</v>
      </c>
      <c r="BP107" s="196">
        <f t="shared" si="472"/>
        <v>12.682147325954206</v>
      </c>
      <c r="BQ107" s="115">
        <f t="shared" si="478"/>
        <v>659.74492511188635</v>
      </c>
      <c r="BR107" s="184">
        <f t="shared" si="479"/>
        <v>1.0041987768</v>
      </c>
      <c r="BS107" s="115">
        <f t="shared" si="480"/>
        <v>6863.8528613899143</v>
      </c>
      <c r="BT107" s="196">
        <v>900</v>
      </c>
      <c r="BU107" s="115">
        <f t="shared" si="548"/>
        <v>1.1850729520000001</v>
      </c>
      <c r="BV107" s="115">
        <f t="shared" si="549"/>
        <v>1.0719334055744285</v>
      </c>
      <c r="BW107" s="115">
        <f t="shared" si="550"/>
        <v>470.88837373825504</v>
      </c>
      <c r="BX107" s="115">
        <f t="shared" si="503"/>
        <v>1132.7978920273943</v>
      </c>
      <c r="BY107" s="115"/>
      <c r="BZ107" s="115">
        <f t="shared" si="504"/>
        <v>661.90951828913921</v>
      </c>
      <c r="CA107" s="115">
        <f t="shared" si="505"/>
        <v>10722.891515339201</v>
      </c>
      <c r="CB107" s="115">
        <f t="shared" si="506"/>
        <v>3061.5639005669705</v>
      </c>
      <c r="CC107" s="115">
        <f t="shared" si="507"/>
        <v>1090.0535609421011</v>
      </c>
      <c r="CD107" s="129">
        <f t="shared" si="551"/>
        <v>0.21537473629425014</v>
      </c>
      <c r="CE107" s="115">
        <f t="shared" si="508"/>
        <v>19.942743637982538</v>
      </c>
      <c r="CF107" s="115">
        <f t="shared" si="509"/>
        <v>21.584879155804327</v>
      </c>
      <c r="CG107" s="115">
        <f t="shared" si="510"/>
        <v>0.02</v>
      </c>
      <c r="CH107" s="115">
        <f t="shared" si="511"/>
        <v>0.05</v>
      </c>
      <c r="CI107" s="136">
        <v>30</v>
      </c>
      <c r="CJ107" s="115">
        <f t="shared" si="552"/>
        <v>165</v>
      </c>
      <c r="CK107" s="115">
        <f t="shared" si="512"/>
        <v>453</v>
      </c>
      <c r="CL107" s="115">
        <f t="shared" si="513"/>
        <v>638.14569091796875</v>
      </c>
      <c r="CM107" s="115">
        <f t="shared" ca="1" si="514"/>
        <v>2816.5993052117487</v>
      </c>
      <c r="CN107" s="115">
        <f t="shared" ca="1" si="553"/>
        <v>125.80344444444444</v>
      </c>
      <c r="CO107" s="115">
        <f t="shared" ca="1" si="554"/>
        <v>690.58718083896258</v>
      </c>
      <c r="CP107" s="115">
        <f t="shared" ca="1" si="555"/>
        <v>2790.6388281929471</v>
      </c>
      <c r="CQ107" s="115">
        <f t="shared" si="556"/>
        <v>1.072449112508886</v>
      </c>
      <c r="CR107" s="115">
        <f t="shared" ca="1" si="481"/>
        <v>505.42966408845587</v>
      </c>
      <c r="CS107" s="115">
        <f t="shared" ca="1" si="482"/>
        <v>25.027017606102653</v>
      </c>
      <c r="CT107" s="115">
        <f t="shared" si="557"/>
        <v>1.1149244012731749</v>
      </c>
      <c r="CU107" s="115">
        <f t="shared" ca="1" si="558"/>
        <v>1.0138907011592704</v>
      </c>
      <c r="CV107" s="115">
        <f t="shared" si="360"/>
        <v>188.90951828913921</v>
      </c>
      <c r="CW107" s="115">
        <f t="shared" si="559"/>
        <v>473</v>
      </c>
      <c r="CX107" s="115">
        <f t="shared" si="560"/>
        <v>438</v>
      </c>
      <c r="CY107" s="115">
        <f t="shared" ca="1" si="561"/>
        <v>447.97298239389733</v>
      </c>
      <c r="CZ107" s="115">
        <f t="shared" ca="1" si="562"/>
        <v>190.17270852407142</v>
      </c>
      <c r="DA107" s="115">
        <v>0.21890000000000001</v>
      </c>
      <c r="DB107" s="115">
        <v>2.7E-2</v>
      </c>
      <c r="DC107" s="115">
        <v>1.06</v>
      </c>
      <c r="DD107" s="138">
        <f t="shared" si="515"/>
        <v>11.418513779122808</v>
      </c>
      <c r="DE107" s="138">
        <f t="shared" si="563"/>
        <v>11.418513779122808</v>
      </c>
      <c r="DF107" s="115">
        <f t="shared" si="564"/>
        <v>638.14569091796875</v>
      </c>
      <c r="DG107" s="115">
        <v>661.90951828913921</v>
      </c>
      <c r="DH107" s="115">
        <f t="shared" si="565"/>
        <v>1.1149244012731749</v>
      </c>
      <c r="DI107" s="115">
        <f t="shared" si="566"/>
        <v>1.1212797178557885</v>
      </c>
      <c r="DJ107" s="138">
        <f t="shared" si="483"/>
        <v>2.4232874978039902</v>
      </c>
      <c r="DK107" s="138">
        <f t="shared" si="484"/>
        <v>2.7142400301939538</v>
      </c>
      <c r="DL107" s="115">
        <f t="shared" si="567"/>
        <v>638.14569091796875</v>
      </c>
      <c r="DM107" s="115">
        <f t="shared" si="471"/>
        <v>661.90951828913921</v>
      </c>
      <c r="DN107" s="115">
        <f t="shared" si="568"/>
        <v>12.797439574371971</v>
      </c>
      <c r="DO107" s="115">
        <f t="shared" si="569"/>
        <v>1.1149244012731749</v>
      </c>
      <c r="DP107" s="115">
        <f t="shared" si="570"/>
        <v>1.1212797178557885</v>
      </c>
      <c r="DQ107" s="115">
        <v>298.14999999999998</v>
      </c>
      <c r="DR107" s="138">
        <f t="shared" si="571"/>
        <v>1.6139094735374577</v>
      </c>
      <c r="DS107" s="138">
        <f t="shared" si="572"/>
        <v>1.8076838601091734</v>
      </c>
      <c r="DT107" s="115">
        <f t="shared" si="573"/>
        <v>638.14569091796875</v>
      </c>
      <c r="DU107" s="139">
        <f t="shared" si="422"/>
        <v>6.41793516192228</v>
      </c>
      <c r="DV107" s="115">
        <f t="shared" si="574"/>
        <v>1.1149244012731749</v>
      </c>
      <c r="DW107" s="115">
        <v>298.14999999999998</v>
      </c>
      <c r="DX107" s="138">
        <f t="shared" si="485"/>
        <v>0.80937802426653271</v>
      </c>
      <c r="DY107" s="138">
        <f t="shared" si="486"/>
        <v>0.90655617008478051</v>
      </c>
      <c r="DZ107" s="138">
        <f t="shared" si="575"/>
        <v>3.0615639005669704</v>
      </c>
      <c r="EA107" s="138">
        <f t="shared" si="576"/>
        <v>3.8590386539492867</v>
      </c>
      <c r="EB107" s="115">
        <f t="shared" si="577"/>
        <v>21.584879155804327</v>
      </c>
      <c r="EC107" s="115">
        <v>30</v>
      </c>
      <c r="ED107" s="198">
        <f t="shared" ca="1" si="578"/>
        <v>125.80344444444444</v>
      </c>
      <c r="EE107" s="198">
        <v>104.83</v>
      </c>
      <c r="EF107" s="198">
        <f t="shared" ca="1" si="579"/>
        <v>0.42491111111111107</v>
      </c>
      <c r="EG107" s="199">
        <v>0.36720000000000003</v>
      </c>
      <c r="EH107" s="138">
        <f t="shared" ca="1" si="580"/>
        <v>8.1307577644819357E-2</v>
      </c>
      <c r="EI107" s="138">
        <f t="shared" ca="1" si="581"/>
        <v>8.1307577644819357E-2</v>
      </c>
      <c r="EJ107" s="115">
        <f t="shared" si="582"/>
        <v>12.797439574371971</v>
      </c>
      <c r="EK107" s="115">
        <v>435</v>
      </c>
      <c r="EL107" s="115">
        <f t="shared" ca="1" si="583"/>
        <v>447.97298239389733</v>
      </c>
      <c r="EM107" s="115">
        <f t="shared" ca="1" si="584"/>
        <v>1.0623795020431375</v>
      </c>
      <c r="EN107" s="115">
        <f t="shared" ca="1" si="585"/>
        <v>1.0663947962938634</v>
      </c>
      <c r="EO107" s="115">
        <v>298.14999999999998</v>
      </c>
      <c r="EP107" s="138">
        <f t="shared" ca="1" si="586"/>
        <v>0.32934371005623508</v>
      </c>
      <c r="EQ107" s="138">
        <f t="shared" ca="1" si="587"/>
        <v>0.3880603362033575</v>
      </c>
      <c r="ER107" s="115">
        <f t="shared" si="588"/>
        <v>0.85229363706376826</v>
      </c>
      <c r="ES107" s="115">
        <f t="shared" si="589"/>
        <v>453</v>
      </c>
      <c r="ET107" s="115">
        <f t="shared" ca="1" si="516"/>
        <v>2816.5993052117487</v>
      </c>
      <c r="EU107" s="115">
        <f t="shared" ca="1" si="517"/>
        <v>6.5855309782608691</v>
      </c>
      <c r="EV107" s="138">
        <f t="shared" ca="1" si="590"/>
        <v>0.73107525750129987</v>
      </c>
      <c r="EW107" s="138">
        <f t="shared" ca="1" si="487"/>
        <v>1.0064415025101321</v>
      </c>
      <c r="EX107" s="115">
        <v>21.47</v>
      </c>
      <c r="EY107" s="115">
        <f t="shared" ca="1" si="518"/>
        <v>121.34828794182671</v>
      </c>
      <c r="EZ107" s="115">
        <f t="shared" ca="1" si="519"/>
        <v>0.41061888537936742</v>
      </c>
      <c r="FA107" s="138">
        <f t="shared" ca="1" si="591"/>
        <v>7.671117780033998E-2</v>
      </c>
      <c r="FB107" s="138">
        <f t="shared" ca="1" si="592"/>
        <v>7.671117780033998E-2</v>
      </c>
      <c r="FC107" s="115">
        <f t="shared" si="593"/>
        <v>21.47</v>
      </c>
      <c r="FD107" s="115">
        <v>37</v>
      </c>
      <c r="FE107" s="115">
        <f t="shared" ca="1" si="594"/>
        <v>154.93355555555553</v>
      </c>
      <c r="FF107" s="115">
        <f t="shared" ca="1" si="595"/>
        <v>0.52252222222222222</v>
      </c>
      <c r="FG107" s="138">
        <f t="shared" ca="1" si="596"/>
        <v>8.1462225449999703E-2</v>
      </c>
      <c r="FH107" s="138">
        <f t="shared" ca="1" si="597"/>
        <v>8.1462225449999703E-2</v>
      </c>
      <c r="FI107" s="115">
        <f t="shared" si="598"/>
        <v>94.927459716796889</v>
      </c>
      <c r="FJ107" s="115">
        <f t="shared" ca="1" si="520"/>
        <v>49.920045066621576</v>
      </c>
      <c r="FK107" s="115">
        <f t="shared" ca="1" si="521"/>
        <v>0.17262588158713446</v>
      </c>
      <c r="FL107" s="138">
        <f t="shared" ca="1" si="599"/>
        <v>0.29449521172415399</v>
      </c>
      <c r="FM107" s="138">
        <f t="shared" ca="1" si="488"/>
        <v>0.54969467069726397</v>
      </c>
      <c r="FN107" s="115">
        <f t="shared" si="600"/>
        <v>94.927459716796889</v>
      </c>
      <c r="FO107" s="115">
        <f t="shared" ca="1" si="522"/>
        <v>64.501651549445256</v>
      </c>
      <c r="FP107" s="115">
        <f t="shared" ca="1" si="523"/>
        <v>0.22121058964199489</v>
      </c>
      <c r="FQ107" s="138">
        <f t="shared" ca="1" si="601"/>
        <v>0.30361544110550431</v>
      </c>
      <c r="FR107" s="138">
        <f t="shared" ca="1" si="489"/>
        <v>0.56671817833636529</v>
      </c>
      <c r="FS107" s="139">
        <f t="shared" si="602"/>
        <v>5.9336623807518478</v>
      </c>
      <c r="FT107" s="249">
        <f t="shared" si="603"/>
        <v>4.8452350949795671</v>
      </c>
      <c r="FU107" s="139">
        <f t="shared" ca="1" si="604"/>
        <v>0.63479808362474222</v>
      </c>
      <c r="FV107" s="249">
        <f t="shared" ca="1" si="605"/>
        <v>0.49448959904050316</v>
      </c>
      <c r="FW107" s="139">
        <f t="shared" ca="1" si="606"/>
        <v>0.73544443923299041</v>
      </c>
      <c r="FX107" s="249">
        <f t="shared" ca="1" si="607"/>
        <v>1.0187139624995738</v>
      </c>
      <c r="FY107" s="249">
        <f t="shared" si="524"/>
        <v>0.15000000000000002</v>
      </c>
      <c r="FZ107" s="139">
        <f t="shared" si="525"/>
        <v>1050000</v>
      </c>
      <c r="GA107" s="139">
        <f t="shared" si="608"/>
        <v>3.3757716049382713E-2</v>
      </c>
      <c r="GB107" s="139">
        <f t="shared" si="361"/>
        <v>121.52777777777777</v>
      </c>
      <c r="GC107" s="139">
        <f t="shared" si="526"/>
        <v>1050000</v>
      </c>
      <c r="GD107" s="139">
        <f t="shared" si="362"/>
        <v>6.7515432098765427E-2</v>
      </c>
      <c r="GE107" s="139">
        <f t="shared" si="363"/>
        <v>243.05555555555554</v>
      </c>
      <c r="GF107" s="139">
        <f t="shared" si="364"/>
        <v>4.5814043209876545E-2</v>
      </c>
      <c r="GG107" s="139">
        <f t="shared" si="527"/>
        <v>712500</v>
      </c>
      <c r="GH107" s="139">
        <f t="shared" si="365"/>
        <v>164.93055555555554</v>
      </c>
      <c r="GI107" s="137">
        <f t="shared" si="528"/>
        <v>53.355718315757443</v>
      </c>
      <c r="GJ107" s="137">
        <f t="shared" si="609"/>
        <v>0.19208058593672528</v>
      </c>
      <c r="GK107" s="251">
        <f t="shared" si="529"/>
        <v>41.243481141946681</v>
      </c>
      <c r="GL107" s="137">
        <f t="shared" si="610"/>
        <v>0.14847653211100686</v>
      </c>
      <c r="GM107" s="137">
        <f t="shared" ca="1" si="530"/>
        <v>8.9344574119797322</v>
      </c>
      <c r="GN107" s="137">
        <f t="shared" ca="1" si="611"/>
        <v>3.2164046683126779E-2</v>
      </c>
      <c r="GO107" s="137">
        <f t="shared" ca="1" si="366"/>
        <v>0.11309439761999571</v>
      </c>
      <c r="GP107" s="137">
        <f t="shared" ca="1" si="531"/>
        <v>9.5916778346070029</v>
      </c>
      <c r="GQ107" s="137">
        <f t="shared" ca="1" si="612"/>
        <v>3.4530040204584937E-2</v>
      </c>
      <c r="GR107" s="137">
        <f t="shared" ca="1" si="406"/>
        <v>0.12141364347603706</v>
      </c>
      <c r="GS107" s="140">
        <f t="shared" si="532"/>
        <v>8.5486273919491873E-2</v>
      </c>
      <c r="GT107" s="140">
        <f t="shared" si="533"/>
        <v>6.9805302013370624E-2</v>
      </c>
      <c r="GU107" s="140">
        <f t="shared" si="613"/>
        <v>307.75058611017073</v>
      </c>
      <c r="GV107" s="140">
        <f t="shared" si="614"/>
        <v>251.29908724813424</v>
      </c>
      <c r="GW107" s="141">
        <f t="shared" ca="1" si="534"/>
        <v>6.0909269698605859E-3</v>
      </c>
      <c r="GX107" s="141">
        <f t="shared" ca="1" si="535"/>
        <v>4.7446583611487677E-3</v>
      </c>
      <c r="GY107" s="141">
        <f t="shared" ca="1" si="615"/>
        <v>21.92733709149811</v>
      </c>
      <c r="GZ107" s="141">
        <f t="shared" ca="1" si="616"/>
        <v>17.080770100135563</v>
      </c>
      <c r="HA107" s="141">
        <f t="shared" ca="1" si="536"/>
        <v>1.3950696529109541E-2</v>
      </c>
      <c r="HB107" s="141">
        <f t="shared" ca="1" si="537"/>
        <v>1.4999218243057503E-2</v>
      </c>
      <c r="HC107" s="141">
        <f t="shared" ca="1" si="617"/>
        <v>50.222507504794351</v>
      </c>
      <c r="HD107" s="141">
        <f t="shared" ca="1" si="618"/>
        <v>53.99718567500701</v>
      </c>
      <c r="HE107" s="137">
        <f t="shared" si="367"/>
        <v>8.9952262813188177</v>
      </c>
      <c r="HF107" s="250">
        <f t="shared" si="368"/>
        <v>8.7042737489288537</v>
      </c>
      <c r="HG107" s="137">
        <v>3.0615639005669704</v>
      </c>
      <c r="HH107" s="251">
        <v>4.4001795210881083</v>
      </c>
      <c r="HI107" s="137">
        <f t="shared" ca="1" si="369"/>
        <v>1.2258491373341003</v>
      </c>
      <c r="HJ107" s="251">
        <f t="shared" ca="1" si="370"/>
        <v>1.4196235239058159</v>
      </c>
      <c r="HK107" s="137">
        <f t="shared" ca="1" si="371"/>
        <v>0.64976767985648054</v>
      </c>
      <c r="HL107" s="251">
        <f t="shared" ca="1" si="372"/>
        <v>0.92513392486531276</v>
      </c>
      <c r="HM107" s="137">
        <f t="shared" ca="1" si="373"/>
        <v>0.73107525750129987</v>
      </c>
      <c r="HN107" s="251">
        <f t="shared" ca="1" si="374"/>
        <v>1.0064415025101321</v>
      </c>
      <c r="HO107" s="137">
        <f t="shared" ca="1" si="375"/>
        <v>0.29449521172415399</v>
      </c>
      <c r="HP107" s="251">
        <f t="shared" ca="1" si="376"/>
        <v>0.54969467069726397</v>
      </c>
      <c r="JN107" s="143">
        <f t="shared" si="538"/>
        <v>19.215374736294251</v>
      </c>
      <c r="JO107" s="143">
        <f t="shared" si="490"/>
        <v>3061.5639005669705</v>
      </c>
      <c r="JP107" s="143">
        <f t="shared" si="539"/>
        <v>3859.0386539492865</v>
      </c>
      <c r="JQ107" s="143">
        <f t="shared" si="540"/>
        <v>0.85229363706376826</v>
      </c>
      <c r="JR107" s="143">
        <f t="shared" ca="1" si="491"/>
        <v>1.173317903820263</v>
      </c>
      <c r="JS107" s="143">
        <f t="shared" si="541"/>
        <v>94.927459716796889</v>
      </c>
      <c r="JT107" s="143">
        <f t="shared" ca="1" si="492"/>
        <v>177.18834341533932</v>
      </c>
      <c r="JU107" s="143">
        <f t="shared" si="547"/>
        <v>0.28421016932470661</v>
      </c>
      <c r="JV107" s="143">
        <f t="shared" si="542"/>
        <v>0.35824110320428143</v>
      </c>
      <c r="JW107" s="143">
        <f t="shared" ca="1" si="543"/>
        <v>0.21251106010644724</v>
      </c>
      <c r="JX107" s="143">
        <f t="shared" ca="1" si="544"/>
        <v>0.29255531279305191</v>
      </c>
      <c r="JY107" s="143">
        <f t="shared" si="545"/>
        <v>0.72294431835130279</v>
      </c>
      <c r="JZ107" s="143">
        <f t="shared" si="546"/>
        <v>0.73309635365948478</v>
      </c>
      <c r="KA107" s="143">
        <f t="shared" si="493"/>
        <v>0.26812280124972321</v>
      </c>
      <c r="KB107" s="143">
        <f t="shared" si="494"/>
        <v>0.3379633049096995</v>
      </c>
      <c r="KC107" s="143">
        <f t="shared" ca="1" si="495"/>
        <v>0.50582671462112239</v>
      </c>
      <c r="KD107" s="143">
        <f t="shared" ca="1" si="496"/>
        <v>0.65167553882172091</v>
      </c>
      <c r="KE107" s="143">
        <f t="shared" ca="1" si="497"/>
        <v>0.54617647357177623</v>
      </c>
      <c r="KF107" s="143">
        <f t="shared" ca="1" si="498"/>
        <v>0.40282475532093953</v>
      </c>
      <c r="KG107" s="142">
        <f t="shared" si="499"/>
        <v>0.14847653211100686</v>
      </c>
      <c r="KH107" s="142">
        <f t="shared" ca="1" si="500"/>
        <v>0.12141364347603706</v>
      </c>
      <c r="KI107" s="142">
        <f t="shared" ca="1" si="501"/>
        <v>379.90043070646317</v>
      </c>
      <c r="KJ107" s="142">
        <f t="shared" ca="1" si="502"/>
        <v>322.37704302327683</v>
      </c>
    </row>
    <row r="108" spans="1:296" x14ac:dyDescent="0.3">
      <c r="A108" s="195">
        <v>41483</v>
      </c>
      <c r="B108" s="196">
        <v>140</v>
      </c>
      <c r="C108" s="177">
        <v>24</v>
      </c>
      <c r="D108" s="166">
        <v>4.2</v>
      </c>
      <c r="E108" s="166">
        <v>50016</v>
      </c>
      <c r="F108" s="166">
        <v>300</v>
      </c>
      <c r="G108" s="166">
        <v>11.7</v>
      </c>
      <c r="H108" s="166">
        <v>0.85</v>
      </c>
      <c r="I108" s="166">
        <v>1.4</v>
      </c>
      <c r="J108" s="166">
        <v>1.33</v>
      </c>
      <c r="K108" s="166">
        <v>0.91</v>
      </c>
      <c r="L108" s="166">
        <v>27743.361171320081</v>
      </c>
      <c r="M108" s="169">
        <v>19</v>
      </c>
      <c r="N108" s="167">
        <v>80165.558888621628</v>
      </c>
      <c r="O108" s="176">
        <v>17</v>
      </c>
      <c r="P108" s="166">
        <v>2</v>
      </c>
      <c r="Q108" s="166">
        <v>5</v>
      </c>
      <c r="R108" s="168">
        <v>378.93362426757812</v>
      </c>
      <c r="S108" s="169">
        <v>90.596610174048692</v>
      </c>
      <c r="T108" s="166">
        <v>180</v>
      </c>
      <c r="U108" s="170">
        <v>3.5429618358612061</v>
      </c>
      <c r="V108" s="176">
        <v>17</v>
      </c>
      <c r="W108" s="166">
        <v>1250</v>
      </c>
      <c r="X108" s="169">
        <v>66156.39328995347</v>
      </c>
      <c r="Y108" s="169">
        <v>8666.084922073409</v>
      </c>
      <c r="Z108" s="169">
        <v>296.90716552734375</v>
      </c>
      <c r="AA108" s="169">
        <v>10.490847587585449</v>
      </c>
      <c r="AB108" s="169">
        <v>13.911069869995117</v>
      </c>
      <c r="AC108" s="212">
        <v>37</v>
      </c>
      <c r="AD108" s="212">
        <v>27.90449333190918</v>
      </c>
      <c r="AE108" s="254">
        <v>20</v>
      </c>
      <c r="AF108" s="254">
        <v>10</v>
      </c>
      <c r="AG108" s="217">
        <v>5000000</v>
      </c>
      <c r="AH108" s="218">
        <v>300000</v>
      </c>
      <c r="AI108" s="219">
        <v>5000000</v>
      </c>
      <c r="AJ108" s="225">
        <f t="shared" si="473"/>
        <v>300000</v>
      </c>
      <c r="AK108" s="220">
        <v>2750000</v>
      </c>
      <c r="AL108" s="226">
        <f t="shared" si="474"/>
        <v>300000</v>
      </c>
      <c r="AM108" s="221">
        <v>14.407</v>
      </c>
      <c r="BM108" s="197">
        <f t="shared" si="475"/>
        <v>9.0955066680908203</v>
      </c>
      <c r="BN108" s="196">
        <f t="shared" si="476"/>
        <v>180</v>
      </c>
      <c r="BO108" s="197">
        <f t="shared" si="477"/>
        <v>3.420222282409668</v>
      </c>
      <c r="BP108" s="196">
        <f t="shared" si="472"/>
        <v>12.690743533192247</v>
      </c>
      <c r="BQ108" s="115">
        <f t="shared" si="478"/>
        <v>659.74492511188635</v>
      </c>
      <c r="BR108" s="184">
        <f t="shared" si="479"/>
        <v>1.0041987768</v>
      </c>
      <c r="BS108" s="115">
        <f t="shared" si="480"/>
        <v>6863.8528613899143</v>
      </c>
      <c r="BT108" s="196">
        <v>900</v>
      </c>
      <c r="BU108" s="115">
        <f t="shared" si="548"/>
        <v>1.1850729520000001</v>
      </c>
      <c r="BV108" s="115">
        <f t="shared" si="549"/>
        <v>1.0748140714462662</v>
      </c>
      <c r="BW108" s="115">
        <f t="shared" si="550"/>
        <v>482.6388091031024</v>
      </c>
      <c r="BX108" s="115">
        <f t="shared" si="503"/>
        <v>1161.0654585124867</v>
      </c>
      <c r="BY108" s="115"/>
      <c r="BZ108" s="115">
        <f t="shared" si="504"/>
        <v>678.42664940938425</v>
      </c>
      <c r="CA108" s="115">
        <f t="shared" si="505"/>
        <v>10997.917528359118</v>
      </c>
      <c r="CB108" s="115">
        <f t="shared" si="506"/>
        <v>3340.2316203592345</v>
      </c>
      <c r="CC108" s="115">
        <f t="shared" si="507"/>
        <v>1155.9733821383368</v>
      </c>
      <c r="CD108" s="129">
        <f t="shared" si="551"/>
        <v>0.22839929271552628</v>
      </c>
      <c r="CE108" s="115">
        <f t="shared" si="508"/>
        <v>17.465127383961399</v>
      </c>
      <c r="CF108" s="115">
        <f t="shared" si="509"/>
        <v>25.165725048346861</v>
      </c>
      <c r="CG108" s="115">
        <f t="shared" si="510"/>
        <v>0.02</v>
      </c>
      <c r="CH108" s="115">
        <f t="shared" si="511"/>
        <v>0.05</v>
      </c>
      <c r="CI108" s="136">
        <v>30</v>
      </c>
      <c r="CJ108" s="115">
        <f t="shared" si="552"/>
        <v>165</v>
      </c>
      <c r="CK108" s="115">
        <f t="shared" si="512"/>
        <v>453</v>
      </c>
      <c r="CL108" s="115">
        <f t="shared" si="513"/>
        <v>651.93362426757812</v>
      </c>
      <c r="CM108" s="115">
        <f t="shared" ca="1" si="514"/>
        <v>2816.5993052117487</v>
      </c>
      <c r="CN108" s="115">
        <f t="shared" ca="1" si="553"/>
        <v>125.80344444444444</v>
      </c>
      <c r="CO108" s="115">
        <f t="shared" ca="1" si="554"/>
        <v>690.58718083896258</v>
      </c>
      <c r="CP108" s="115">
        <f t="shared" ca="1" si="555"/>
        <v>2790.6388281929471</v>
      </c>
      <c r="CQ108" s="115">
        <f t="shared" si="556"/>
        <v>1.072449112508886</v>
      </c>
      <c r="CR108" s="115">
        <f t="shared" ca="1" si="481"/>
        <v>583.62710687192157</v>
      </c>
      <c r="CS108" s="115">
        <f t="shared" ca="1" si="482"/>
        <v>28.879492218256527</v>
      </c>
      <c r="CT108" s="115">
        <f t="shared" si="557"/>
        <v>1.1186073582874916</v>
      </c>
      <c r="CU108" s="115">
        <f t="shared" ca="1" si="558"/>
        <v>1.0167728775944753</v>
      </c>
      <c r="CV108" s="115">
        <f t="shared" si="360"/>
        <v>205.42664940938425</v>
      </c>
      <c r="CW108" s="115">
        <f t="shared" si="559"/>
        <v>473</v>
      </c>
      <c r="CX108" s="115">
        <f t="shared" si="560"/>
        <v>438</v>
      </c>
      <c r="CY108" s="115">
        <f t="shared" ca="1" si="561"/>
        <v>444.12050778174347</v>
      </c>
      <c r="CZ108" s="115">
        <f t="shared" ca="1" si="562"/>
        <v>207.81311648583466</v>
      </c>
      <c r="DA108" s="115">
        <v>0.21890000000000001</v>
      </c>
      <c r="DB108" s="115">
        <v>2.7E-2</v>
      </c>
      <c r="DC108" s="115">
        <v>1.06</v>
      </c>
      <c r="DD108" s="138">
        <f t="shared" si="515"/>
        <v>12.109036165927348</v>
      </c>
      <c r="DE108" s="138">
        <f t="shared" si="563"/>
        <v>12.109036165927348</v>
      </c>
      <c r="DF108" s="115">
        <f t="shared" si="564"/>
        <v>651.93362426757812</v>
      </c>
      <c r="DG108" s="115">
        <v>678.42664940938425</v>
      </c>
      <c r="DH108" s="115">
        <f t="shared" si="565"/>
        <v>1.1186073582874916</v>
      </c>
      <c r="DI108" s="115">
        <f t="shared" si="566"/>
        <v>1.1257163243638342</v>
      </c>
      <c r="DJ108" s="138">
        <f t="shared" si="483"/>
        <v>2.5924220229879844</v>
      </c>
      <c r="DK108" s="138">
        <f t="shared" si="484"/>
        <v>2.9252849644202343</v>
      </c>
      <c r="DL108" s="115">
        <f t="shared" si="567"/>
        <v>651.93362426757812</v>
      </c>
      <c r="DM108" s="115">
        <f t="shared" si="471"/>
        <v>678.42664940938425</v>
      </c>
      <c r="DN108" s="115">
        <f t="shared" si="568"/>
        <v>12.806113928948541</v>
      </c>
      <c r="DO108" s="115">
        <f t="shared" si="569"/>
        <v>1.1186073582874916</v>
      </c>
      <c r="DP108" s="115">
        <f t="shared" si="570"/>
        <v>1.1257163243638342</v>
      </c>
      <c r="DQ108" s="115">
        <v>298.14999999999998</v>
      </c>
      <c r="DR108" s="138">
        <f t="shared" si="571"/>
        <v>1.7265530673099978</v>
      </c>
      <c r="DS108" s="138">
        <f t="shared" si="572"/>
        <v>1.9482397863038765</v>
      </c>
      <c r="DT108" s="115">
        <f t="shared" si="573"/>
        <v>651.93362426757812</v>
      </c>
      <c r="DU108" s="139">
        <f t="shared" si="422"/>
        <v>6.422285363766985</v>
      </c>
      <c r="DV108" s="115">
        <f t="shared" si="574"/>
        <v>1.1186073582874916</v>
      </c>
      <c r="DW108" s="115">
        <v>298.14999999999998</v>
      </c>
      <c r="DX108" s="138">
        <f t="shared" si="485"/>
        <v>0.86586895567798672</v>
      </c>
      <c r="DY108" s="138">
        <f t="shared" si="486"/>
        <v>0.97704517811635827</v>
      </c>
      <c r="DZ108" s="138">
        <f t="shared" si="575"/>
        <v>3.3402316203592344</v>
      </c>
      <c r="EA108" s="138">
        <f t="shared" si="576"/>
        <v>4.1340646669692029</v>
      </c>
      <c r="EB108" s="115">
        <f t="shared" si="577"/>
        <v>25.165725048346861</v>
      </c>
      <c r="EC108" s="115">
        <v>30</v>
      </c>
      <c r="ED108" s="198">
        <f t="shared" ca="1" si="578"/>
        <v>125.80344444444444</v>
      </c>
      <c r="EE108" s="198">
        <v>104.83</v>
      </c>
      <c r="EF108" s="198">
        <f t="shared" ca="1" si="579"/>
        <v>0.42491111111111107</v>
      </c>
      <c r="EG108" s="199">
        <v>0.36720000000000003</v>
      </c>
      <c r="EH108" s="138">
        <f t="shared" ca="1" si="580"/>
        <v>9.4796182484367067E-2</v>
      </c>
      <c r="EI108" s="138">
        <f t="shared" ca="1" si="581"/>
        <v>9.4796182484367067E-2</v>
      </c>
      <c r="EJ108" s="115">
        <f t="shared" si="582"/>
        <v>12.806113928948541</v>
      </c>
      <c r="EK108" s="115">
        <v>435</v>
      </c>
      <c r="EL108" s="115">
        <f t="shared" ca="1" si="583"/>
        <v>444.12050778174347</v>
      </c>
      <c r="EM108" s="115">
        <f t="shared" ca="1" si="584"/>
        <v>1.0626610516361141</v>
      </c>
      <c r="EN108" s="115">
        <f t="shared" ca="1" si="585"/>
        <v>1.0654744264212876</v>
      </c>
      <c r="EO108" s="115">
        <v>298.14999999999998</v>
      </c>
      <c r="EP108" s="138">
        <f t="shared" ca="1" si="586"/>
        <v>0.32965428679997871</v>
      </c>
      <c r="EQ108" s="138">
        <f t="shared" ca="1" si="587"/>
        <v>0.37055920179591589</v>
      </c>
      <c r="ER108" s="115">
        <f t="shared" si="588"/>
        <v>0.98415606551700174</v>
      </c>
      <c r="ES108" s="115">
        <f t="shared" si="589"/>
        <v>453</v>
      </c>
      <c r="ET108" s="115">
        <f t="shared" ca="1" si="516"/>
        <v>2816.5993052117487</v>
      </c>
      <c r="EU108" s="115">
        <f t="shared" ca="1" si="517"/>
        <v>6.5855309782608691</v>
      </c>
      <c r="EV108" s="138">
        <f t="shared" ca="1" si="590"/>
        <v>0.84418341018950505</v>
      </c>
      <c r="EW108" s="138">
        <f t="shared" ca="1" si="487"/>
        <v>1.0987983645944219</v>
      </c>
      <c r="EX108" s="115">
        <v>21.47</v>
      </c>
      <c r="EY108" s="115">
        <f t="shared" ca="1" si="518"/>
        <v>116.86784953774347</v>
      </c>
      <c r="EZ108" s="115">
        <f t="shared" ca="1" si="519"/>
        <v>0.39569043479495575</v>
      </c>
      <c r="FA108" s="138">
        <f t="shared" ca="1" si="591"/>
        <v>7.6077364885880738E-2</v>
      </c>
      <c r="FB108" s="138">
        <f t="shared" ca="1" si="592"/>
        <v>7.6077364885880738E-2</v>
      </c>
      <c r="FC108" s="115">
        <f t="shared" si="593"/>
        <v>21.47</v>
      </c>
      <c r="FD108" s="115">
        <v>37</v>
      </c>
      <c r="FE108" s="115">
        <f t="shared" ca="1" si="594"/>
        <v>154.93355555555553</v>
      </c>
      <c r="FF108" s="115">
        <f t="shared" ca="1" si="595"/>
        <v>0.52252222222222222</v>
      </c>
      <c r="FG108" s="138">
        <f t="shared" ca="1" si="596"/>
        <v>8.1462225449999703E-2</v>
      </c>
      <c r="FH108" s="138">
        <f t="shared" ca="1" si="597"/>
        <v>8.1462225449999703E-2</v>
      </c>
      <c r="FI108" s="115">
        <f t="shared" si="598"/>
        <v>83.134006347656253</v>
      </c>
      <c r="FJ108" s="115">
        <f t="shared" ca="1" si="520"/>
        <v>43.98980724822151</v>
      </c>
      <c r="FK108" s="115">
        <f t="shared" ca="1" si="521"/>
        <v>0.1528668191379971</v>
      </c>
      <c r="FL108" s="138">
        <f t="shared" ca="1" si="599"/>
        <v>0.25465983943570275</v>
      </c>
      <c r="FM108" s="138">
        <f t="shared" ca="1" si="488"/>
        <v>0.59723180132908149</v>
      </c>
      <c r="FN108" s="115">
        <f t="shared" si="600"/>
        <v>83.134006347656253</v>
      </c>
      <c r="FO108" s="115">
        <f t="shared" ca="1" si="522"/>
        <v>58.303817524804018</v>
      </c>
      <c r="FP108" s="115">
        <f t="shared" ca="1" si="523"/>
        <v>0.2005599187427097</v>
      </c>
      <c r="FQ108" s="138">
        <f t="shared" ca="1" si="601"/>
        <v>0.26250042617001956</v>
      </c>
      <c r="FR108" s="138">
        <f t="shared" ca="1" si="489"/>
        <v>0.61561965451075773</v>
      </c>
      <c r="FS108" s="139">
        <f t="shared" si="602"/>
        <v>6.1763825225801297</v>
      </c>
      <c r="FT108" s="249">
        <f t="shared" si="603"/>
        <v>5.0496865345379112</v>
      </c>
      <c r="FU108" s="139">
        <f t="shared" ca="1" si="604"/>
        <v>0.64751155280488115</v>
      </c>
      <c r="FV108" s="249">
        <f t="shared" ca="1" si="605"/>
        <v>0.5736784023979058</v>
      </c>
      <c r="FW108" s="139">
        <f t="shared" ca="1" si="606"/>
        <v>0.846639136359703</v>
      </c>
      <c r="FX108" s="249">
        <f t="shared" ca="1" si="607"/>
        <v>1.1118013572119794</v>
      </c>
      <c r="FY108" s="249">
        <f t="shared" si="524"/>
        <v>0.15000000000000002</v>
      </c>
      <c r="FZ108" s="139">
        <f t="shared" si="525"/>
        <v>1050000</v>
      </c>
      <c r="GA108" s="139">
        <f t="shared" si="608"/>
        <v>3.3757716049382713E-2</v>
      </c>
      <c r="GB108" s="139">
        <f t="shared" si="361"/>
        <v>121.52777777777777</v>
      </c>
      <c r="GC108" s="139">
        <f t="shared" si="526"/>
        <v>1050000</v>
      </c>
      <c r="GD108" s="139">
        <f t="shared" si="362"/>
        <v>6.7515432098765427E-2</v>
      </c>
      <c r="GE108" s="139">
        <f t="shared" si="363"/>
        <v>243.05555555555554</v>
      </c>
      <c r="GF108" s="139">
        <f t="shared" si="364"/>
        <v>4.5814043209876545E-2</v>
      </c>
      <c r="GG108" s="139">
        <f t="shared" si="527"/>
        <v>712500</v>
      </c>
      <c r="GH108" s="139">
        <f t="shared" si="365"/>
        <v>164.93055555555554</v>
      </c>
      <c r="GI108" s="137">
        <f t="shared" si="528"/>
        <v>51.153211940534277</v>
      </c>
      <c r="GJ108" s="137">
        <f t="shared" si="609"/>
        <v>0.18415156298592192</v>
      </c>
      <c r="GK108" s="251">
        <f t="shared" si="529"/>
        <v>40.170639065316017</v>
      </c>
      <c r="GL108" s="137">
        <f t="shared" si="610"/>
        <v>0.1446143006351365</v>
      </c>
      <c r="GM108" s="137">
        <f t="shared" ca="1" si="530"/>
        <v>9.1415679464264059</v>
      </c>
      <c r="GN108" s="137">
        <f t="shared" ca="1" si="611"/>
        <v>3.2909644607134803E-2</v>
      </c>
      <c r="GO108" s="137">
        <f t="shared" ca="1" si="366"/>
        <v>0.11571604995476373</v>
      </c>
      <c r="GP108" s="137">
        <f t="shared" ca="1" si="531"/>
        <v>10.115433332414389</v>
      </c>
      <c r="GQ108" s="137">
        <f t="shared" ca="1" si="612"/>
        <v>3.6415559996691507E-2</v>
      </c>
      <c r="GR108" s="137">
        <f t="shared" ca="1" si="406"/>
        <v>0.12804345990397858</v>
      </c>
      <c r="GS108" s="140">
        <f t="shared" si="532"/>
        <v>8.8983143002811932E-2</v>
      </c>
      <c r="GT108" s="140">
        <f t="shared" si="533"/>
        <v>7.2750833903087689E-2</v>
      </c>
      <c r="GU108" s="140">
        <f t="shared" si="613"/>
        <v>320.33931481012297</v>
      </c>
      <c r="GV108" s="140">
        <f t="shared" si="614"/>
        <v>261.90300205111566</v>
      </c>
      <c r="GW108" s="141">
        <f t="shared" ca="1" si="534"/>
        <v>6.2129134948791086E-3</v>
      </c>
      <c r="GX108" s="141">
        <f t="shared" ca="1" si="535"/>
        <v>5.5044798390688539E-3</v>
      </c>
      <c r="GY108" s="141">
        <f t="shared" ca="1" si="615"/>
        <v>22.366488581564791</v>
      </c>
      <c r="GZ108" s="141">
        <f t="shared" ca="1" si="616"/>
        <v>19.816127420647874</v>
      </c>
      <c r="HA108" s="141">
        <f t="shared" ca="1" si="536"/>
        <v>1.5142750850769122E-2</v>
      </c>
      <c r="HB108" s="141">
        <f t="shared" ca="1" si="537"/>
        <v>1.6763295837386494E-2</v>
      </c>
      <c r="HC108" s="141">
        <f t="shared" ca="1" si="617"/>
        <v>54.51390306276884</v>
      </c>
      <c r="HD108" s="141">
        <f t="shared" ca="1" si="618"/>
        <v>60.347865014591378</v>
      </c>
      <c r="HE108" s="137">
        <f t="shared" si="367"/>
        <v>9.516614142939364</v>
      </c>
      <c r="HF108" s="250">
        <f t="shared" si="368"/>
        <v>9.1837512015071141</v>
      </c>
      <c r="HG108" s="137">
        <v>3.3402316203592344</v>
      </c>
      <c r="HH108" s="251">
        <v>4.7377627121549688</v>
      </c>
      <c r="HI108" s="137">
        <f t="shared" ca="1" si="369"/>
        <v>1.355993865514082</v>
      </c>
      <c r="HJ108" s="251">
        <f t="shared" ca="1" si="370"/>
        <v>1.5776805845079607</v>
      </c>
      <c r="HK108" s="137">
        <f t="shared" ca="1" si="371"/>
        <v>0.74938722770513799</v>
      </c>
      <c r="HL108" s="251">
        <f t="shared" ca="1" si="372"/>
        <v>1.0040021821100549</v>
      </c>
      <c r="HM108" s="137">
        <f t="shared" ca="1" si="373"/>
        <v>0.84418341018950505</v>
      </c>
      <c r="HN108" s="251">
        <f t="shared" ca="1" si="374"/>
        <v>1.0987983645944219</v>
      </c>
      <c r="HO108" s="137">
        <f t="shared" ca="1" si="375"/>
        <v>0.25465983943570275</v>
      </c>
      <c r="HP108" s="251">
        <f t="shared" ca="1" si="376"/>
        <v>0.59723180132908149</v>
      </c>
      <c r="JN108" s="143">
        <f t="shared" si="538"/>
        <v>19.228399292715526</v>
      </c>
      <c r="JO108" s="143">
        <f t="shared" si="490"/>
        <v>3340.2316203592345</v>
      </c>
      <c r="JP108" s="143">
        <f t="shared" si="539"/>
        <v>4134.0646669692032</v>
      </c>
      <c r="JQ108" s="143">
        <f t="shared" si="540"/>
        <v>0.98415606551700174</v>
      </c>
      <c r="JR108" s="143">
        <f t="shared" ca="1" si="491"/>
        <v>1.2809883044882493</v>
      </c>
      <c r="JS108" s="143">
        <f t="shared" si="541"/>
        <v>83.134006347656253</v>
      </c>
      <c r="JT108" s="143">
        <f t="shared" ca="1" si="492"/>
        <v>194.96702924471089</v>
      </c>
      <c r="JU108" s="143">
        <f t="shared" si="547"/>
        <v>0.29239697272880638</v>
      </c>
      <c r="JV108" s="143">
        <f t="shared" si="542"/>
        <v>0.36188747699984758</v>
      </c>
      <c r="JW108" s="143">
        <f t="shared" ca="1" si="543"/>
        <v>0.23141866121712823</v>
      </c>
      <c r="JX108" s="143">
        <f t="shared" ca="1" si="544"/>
        <v>0.30121706185262387</v>
      </c>
      <c r="JY108" s="143">
        <f t="shared" si="545"/>
        <v>0.68261549993136805</v>
      </c>
      <c r="JZ108" s="143">
        <f t="shared" si="546"/>
        <v>0.57219977061366278</v>
      </c>
      <c r="KA108" s="143">
        <f t="shared" si="493"/>
        <v>0.27584620068755317</v>
      </c>
      <c r="KB108" s="143">
        <f t="shared" si="494"/>
        <v>0.34140328018853539</v>
      </c>
      <c r="KC108" s="143">
        <f t="shared" ca="1" si="495"/>
        <v>0.53646494517772481</v>
      </c>
      <c r="KD108" s="143">
        <f t="shared" ca="1" si="496"/>
        <v>0.63637861298976317</v>
      </c>
      <c r="KE108" s="143">
        <f t="shared" ca="1" si="497"/>
        <v>0.54353175302506573</v>
      </c>
      <c r="KF108" s="143">
        <f t="shared" ca="1" si="498"/>
        <v>0.30166411275309934</v>
      </c>
      <c r="KG108" s="142">
        <f t="shared" si="499"/>
        <v>0.1446143006351365</v>
      </c>
      <c r="KH108" s="142">
        <f t="shared" ca="1" si="500"/>
        <v>0.12804345990397858</v>
      </c>
      <c r="KI108" s="142">
        <f t="shared" ca="1" si="501"/>
        <v>397.21970645445663</v>
      </c>
      <c r="KJ108" s="142">
        <f t="shared" ca="1" si="502"/>
        <v>342.06699448635493</v>
      </c>
    </row>
    <row r="109" spans="1:296" x14ac:dyDescent="0.3">
      <c r="A109" s="195">
        <v>41484</v>
      </c>
      <c r="B109" s="196">
        <v>141</v>
      </c>
      <c r="C109" s="177">
        <v>24</v>
      </c>
      <c r="D109" s="166">
        <v>4.2</v>
      </c>
      <c r="E109" s="166">
        <v>50016</v>
      </c>
      <c r="F109" s="166">
        <v>300</v>
      </c>
      <c r="G109" s="166">
        <v>11.7</v>
      </c>
      <c r="H109" s="166">
        <v>0.85</v>
      </c>
      <c r="I109" s="166">
        <v>1.4</v>
      </c>
      <c r="J109" s="166">
        <v>1.33</v>
      </c>
      <c r="K109" s="166">
        <v>0.91</v>
      </c>
      <c r="L109" s="166">
        <v>27297.607825025916</v>
      </c>
      <c r="M109" s="169">
        <v>19</v>
      </c>
      <c r="N109" s="167">
        <v>78434.329999685287</v>
      </c>
      <c r="O109" s="176">
        <v>17</v>
      </c>
      <c r="P109" s="166">
        <v>2</v>
      </c>
      <c r="Q109" s="166">
        <v>5</v>
      </c>
      <c r="R109" s="168">
        <v>379.61685180664062</v>
      </c>
      <c r="S109" s="169">
        <v>139.70567927876255</v>
      </c>
      <c r="T109" s="166">
        <v>180</v>
      </c>
      <c r="U109" s="170">
        <v>5.5764060020446777</v>
      </c>
      <c r="V109" s="176">
        <v>17</v>
      </c>
      <c r="W109" s="166">
        <v>1250</v>
      </c>
      <c r="X109" s="169">
        <v>79906.431170329452</v>
      </c>
      <c r="Y109" s="169">
        <v>11232.765856269747</v>
      </c>
      <c r="Z109" s="169">
        <v>273.26083374023437</v>
      </c>
      <c r="AA109" s="169">
        <v>9.7744541168212891</v>
      </c>
      <c r="AB109" s="169">
        <v>14.361950874328613</v>
      </c>
      <c r="AC109" s="212">
        <v>37</v>
      </c>
      <c r="AD109" s="212">
        <v>28.4493408203125</v>
      </c>
      <c r="AE109" s="254">
        <v>20</v>
      </c>
      <c r="AF109" s="254">
        <v>10</v>
      </c>
      <c r="AG109" s="217">
        <v>5000000</v>
      </c>
      <c r="AH109" s="218">
        <v>300000</v>
      </c>
      <c r="AI109" s="219">
        <v>5000000</v>
      </c>
      <c r="AJ109" s="225">
        <f t="shared" si="473"/>
        <v>300000</v>
      </c>
      <c r="AK109" s="220">
        <v>2750000</v>
      </c>
      <c r="AL109" s="226">
        <f t="shared" si="474"/>
        <v>300000</v>
      </c>
      <c r="AM109" s="221">
        <v>14.407</v>
      </c>
      <c r="BM109" s="197">
        <f t="shared" si="475"/>
        <v>8.5506591796875</v>
      </c>
      <c r="BN109" s="196">
        <f t="shared" si="476"/>
        <v>180</v>
      </c>
      <c r="BO109" s="197">
        <f t="shared" si="477"/>
        <v>4.5874967575073242</v>
      </c>
      <c r="BP109" s="196">
        <f t="shared" si="472"/>
        <v>12.688321532702195</v>
      </c>
      <c r="BQ109" s="115">
        <f t="shared" si="478"/>
        <v>659.74492511188635</v>
      </c>
      <c r="BR109" s="184">
        <f t="shared" si="479"/>
        <v>1.0041987768</v>
      </c>
      <c r="BS109" s="115">
        <f t="shared" si="480"/>
        <v>6863.8528613899143</v>
      </c>
      <c r="BT109" s="196">
        <v>900</v>
      </c>
      <c r="BU109" s="115">
        <f t="shared" si="548"/>
        <v>1.1850729520000001</v>
      </c>
      <c r="BV109" s="115">
        <f t="shared" si="549"/>
        <v>1.0740001550341176</v>
      </c>
      <c r="BW109" s="115">
        <f t="shared" si="550"/>
        <v>479.32970883987878</v>
      </c>
      <c r="BX109" s="115">
        <f t="shared" si="503"/>
        <v>1153.1048843897313</v>
      </c>
      <c r="BY109" s="115"/>
      <c r="BZ109" s="115">
        <f t="shared" si="504"/>
        <v>673.77517554985252</v>
      </c>
      <c r="CA109" s="115">
        <f t="shared" si="505"/>
        <v>10920.428338084173</v>
      </c>
      <c r="CB109" s="115">
        <f t="shared" si="506"/>
        <v>3268.0970833202205</v>
      </c>
      <c r="CC109" s="115">
        <f t="shared" si="507"/>
        <v>1137.4003260427464</v>
      </c>
      <c r="CD109" s="129">
        <f t="shared" si="551"/>
        <v>0.22472959500332501</v>
      </c>
      <c r="CE109" s="115">
        <f t="shared" si="508"/>
        <v>16.074166690602024</v>
      </c>
      <c r="CF109" s="115">
        <f t="shared" si="509"/>
        <v>38.807133132989598</v>
      </c>
      <c r="CG109" s="115">
        <f t="shared" si="510"/>
        <v>0.02</v>
      </c>
      <c r="CH109" s="115">
        <f t="shared" si="511"/>
        <v>0.05</v>
      </c>
      <c r="CI109" s="136">
        <v>30</v>
      </c>
      <c r="CJ109" s="115">
        <f t="shared" si="552"/>
        <v>165</v>
      </c>
      <c r="CK109" s="115">
        <f t="shared" si="512"/>
        <v>453</v>
      </c>
      <c r="CL109" s="115">
        <f t="shared" si="513"/>
        <v>652.61685180664062</v>
      </c>
      <c r="CM109" s="115">
        <f t="shared" ca="1" si="514"/>
        <v>2816.5993052117487</v>
      </c>
      <c r="CN109" s="115">
        <f t="shared" ca="1" si="553"/>
        <v>125.80344444444444</v>
      </c>
      <c r="CO109" s="115">
        <f t="shared" ca="1" si="554"/>
        <v>690.58718083896258</v>
      </c>
      <c r="CP109" s="115">
        <f t="shared" ca="1" si="555"/>
        <v>2790.6388281929471</v>
      </c>
      <c r="CQ109" s="115">
        <f t="shared" si="556"/>
        <v>1.072449112508886</v>
      </c>
      <c r="CR109" s="115">
        <f t="shared" ca="1" si="481"/>
        <v>918.59349676721979</v>
      </c>
      <c r="CS109" s="115">
        <f t="shared" ca="1" si="482"/>
        <v>45.463237235107421</v>
      </c>
      <c r="CT109" s="115">
        <f t="shared" si="557"/>
        <v>1.1187901887249387</v>
      </c>
      <c r="CU109" s="115">
        <f t="shared" ca="1" si="558"/>
        <v>1.019711575892112</v>
      </c>
      <c r="CV109" s="115">
        <f t="shared" si="360"/>
        <v>200.77517554985252</v>
      </c>
      <c r="CW109" s="115">
        <f t="shared" si="559"/>
        <v>473</v>
      </c>
      <c r="CX109" s="115">
        <f t="shared" si="560"/>
        <v>438</v>
      </c>
      <c r="CY109" s="115">
        <f t="shared" ca="1" si="561"/>
        <v>427.53676276489256</v>
      </c>
      <c r="CZ109" s="115">
        <f t="shared" ca="1" si="562"/>
        <v>225.08008904174807</v>
      </c>
      <c r="DA109" s="115">
        <v>0.21890000000000001</v>
      </c>
      <c r="DB109" s="115">
        <v>2.7E-2</v>
      </c>
      <c r="DC109" s="115">
        <v>1.06</v>
      </c>
      <c r="DD109" s="138">
        <f t="shared" si="515"/>
        <v>11.914479949107481</v>
      </c>
      <c r="DE109" s="138">
        <f t="shared" si="563"/>
        <v>11.914479949107481</v>
      </c>
      <c r="DF109" s="115">
        <f t="shared" si="564"/>
        <v>652.61685180664062</v>
      </c>
      <c r="DG109" s="115">
        <v>673.77517554985252</v>
      </c>
      <c r="DH109" s="115">
        <f t="shared" si="565"/>
        <v>1.1187901887249387</v>
      </c>
      <c r="DI109" s="115">
        <f t="shared" si="566"/>
        <v>1.1244655468328117</v>
      </c>
      <c r="DJ109" s="138">
        <f t="shared" si="483"/>
        <v>2.6003290151319147</v>
      </c>
      <c r="DK109" s="138">
        <f t="shared" si="484"/>
        <v>2.8652662657823056</v>
      </c>
      <c r="DL109" s="115">
        <f t="shared" si="567"/>
        <v>652.61685180664062</v>
      </c>
      <c r="DM109" s="115">
        <f t="shared" si="471"/>
        <v>673.77517554985252</v>
      </c>
      <c r="DN109" s="115">
        <f t="shared" si="568"/>
        <v>12.803669910272214</v>
      </c>
      <c r="DO109" s="115">
        <f t="shared" si="569"/>
        <v>1.1187901887249387</v>
      </c>
      <c r="DP109" s="115">
        <f t="shared" si="570"/>
        <v>1.1244655468328117</v>
      </c>
      <c r="DQ109" s="115">
        <v>298.14999999999998</v>
      </c>
      <c r="DR109" s="138">
        <f t="shared" si="571"/>
        <v>1.7318191240778551</v>
      </c>
      <c r="DS109" s="138">
        <f t="shared" si="572"/>
        <v>1.908267333011016</v>
      </c>
      <c r="DT109" s="115">
        <f t="shared" si="573"/>
        <v>652.61685180664062</v>
      </c>
      <c r="DU109" s="139">
        <f t="shared" si="422"/>
        <v>6.4210596847311106</v>
      </c>
      <c r="DV109" s="115">
        <f t="shared" si="574"/>
        <v>1.1187901887249387</v>
      </c>
      <c r="DW109" s="115">
        <v>298.14999999999998</v>
      </c>
      <c r="DX109" s="138">
        <f t="shared" si="485"/>
        <v>0.86850989105405951</v>
      </c>
      <c r="DY109" s="138">
        <f t="shared" si="486"/>
        <v>0.95699893277129033</v>
      </c>
      <c r="DZ109" s="138">
        <f t="shared" si="575"/>
        <v>3.2680970833202205</v>
      </c>
      <c r="EA109" s="138">
        <f t="shared" si="576"/>
        <v>4.0565754766942588</v>
      </c>
      <c r="EB109" s="115">
        <f t="shared" si="577"/>
        <v>38.807133132989598</v>
      </c>
      <c r="EC109" s="115">
        <v>30</v>
      </c>
      <c r="ED109" s="198">
        <f t="shared" ca="1" si="578"/>
        <v>125.80344444444444</v>
      </c>
      <c r="EE109" s="198">
        <v>104.83</v>
      </c>
      <c r="EF109" s="198">
        <f t="shared" ca="1" si="579"/>
        <v>0.42491111111111107</v>
      </c>
      <c r="EG109" s="199">
        <v>0.36720000000000003</v>
      </c>
      <c r="EH109" s="138">
        <f t="shared" ca="1" si="580"/>
        <v>0.14618168429888603</v>
      </c>
      <c r="EI109" s="138">
        <f t="shared" ca="1" si="581"/>
        <v>0.14618168429888603</v>
      </c>
      <c r="EJ109" s="115">
        <f t="shared" si="582"/>
        <v>12.803669910272214</v>
      </c>
      <c r="EK109" s="115">
        <v>435</v>
      </c>
      <c r="EL109" s="115">
        <f t="shared" ca="1" si="583"/>
        <v>427.53676276489256</v>
      </c>
      <c r="EM109" s="115">
        <f t="shared" ca="1" si="584"/>
        <v>1.0638182776861307</v>
      </c>
      <c r="EN109" s="115">
        <f t="shared" ca="1" si="585"/>
        <v>1.0615496931487349</v>
      </c>
      <c r="EO109" s="115">
        <v>298.14999999999998</v>
      </c>
      <c r="EP109" s="138">
        <f t="shared" ca="1" si="586"/>
        <v>0.32995029433884804</v>
      </c>
      <c r="EQ109" s="138">
        <f t="shared" ca="1" si="587"/>
        <v>0.29793775124790944</v>
      </c>
      <c r="ER109" s="115">
        <f t="shared" si="588"/>
        <v>1.5490016672346327</v>
      </c>
      <c r="ES109" s="115">
        <f t="shared" si="589"/>
        <v>453</v>
      </c>
      <c r="ET109" s="115">
        <f t="shared" ca="1" si="516"/>
        <v>2816.5993052117487</v>
      </c>
      <c r="EU109" s="115">
        <f t="shared" ca="1" si="517"/>
        <v>6.5855309782608691</v>
      </c>
      <c r="EV109" s="138">
        <f t="shared" ca="1" si="590"/>
        <v>1.3286932384534198</v>
      </c>
      <c r="EW109" s="138">
        <f t="shared" ca="1" si="487"/>
        <v>1.0738888204593815</v>
      </c>
      <c r="EX109" s="115">
        <v>21.47</v>
      </c>
      <c r="EY109" s="115">
        <f t="shared" ca="1" si="518"/>
        <v>119.14809681532118</v>
      </c>
      <c r="EZ109" s="115">
        <f t="shared" ca="1" si="519"/>
        <v>0.40328803032769095</v>
      </c>
      <c r="FA109" s="138">
        <f t="shared" ca="1" si="591"/>
        <v>7.6399933804889297E-2</v>
      </c>
      <c r="FB109" s="138">
        <f t="shared" ca="1" si="592"/>
        <v>7.6399933804889297E-2</v>
      </c>
      <c r="FC109" s="115">
        <f t="shared" si="593"/>
        <v>21.47</v>
      </c>
      <c r="FD109" s="115">
        <v>37</v>
      </c>
      <c r="FE109" s="115">
        <f t="shared" ca="1" si="594"/>
        <v>154.93355555555553</v>
      </c>
      <c r="FF109" s="115">
        <f t="shared" ca="1" si="595"/>
        <v>0.52252222222222222</v>
      </c>
      <c r="FG109" s="138">
        <f t="shared" ca="1" si="596"/>
        <v>8.1462225449999703E-2</v>
      </c>
      <c r="FH109" s="138">
        <f t="shared" ca="1" si="597"/>
        <v>8.1462225449999703E-2</v>
      </c>
      <c r="FI109" s="115">
        <f t="shared" si="598"/>
        <v>76.513033447265627</v>
      </c>
      <c r="FJ109" s="115">
        <f t="shared" ca="1" si="520"/>
        <v>40.991620973798973</v>
      </c>
      <c r="FK109" s="115">
        <f t="shared" ca="1" si="521"/>
        <v>0.14287711018456353</v>
      </c>
      <c r="FL109" s="138">
        <f t="shared" ca="1" si="599"/>
        <v>0.23286669595263668</v>
      </c>
      <c r="FM109" s="138">
        <f t="shared" ca="1" si="488"/>
        <v>0.43719122018834949</v>
      </c>
      <c r="FN109" s="115">
        <f t="shared" si="600"/>
        <v>76.513033447265627</v>
      </c>
      <c r="FO109" s="115">
        <f t="shared" ca="1" si="522"/>
        <v>60.190804625829067</v>
      </c>
      <c r="FP109" s="115">
        <f t="shared" ca="1" si="523"/>
        <v>0.20684720385869343</v>
      </c>
      <c r="FQ109" s="138">
        <f t="shared" ca="1" si="601"/>
        <v>0.24254561175287506</v>
      </c>
      <c r="FR109" s="138">
        <f t="shared" ca="1" si="489"/>
        <v>0.45536271951544594</v>
      </c>
      <c r="FS109" s="139">
        <f t="shared" si="602"/>
        <v>6.0460538506553441</v>
      </c>
      <c r="FT109" s="249">
        <f t="shared" si="603"/>
        <v>4.9926382066309154</v>
      </c>
      <c r="FU109" s="139">
        <f t="shared" ca="1" si="604"/>
        <v>0.21935727558447349</v>
      </c>
      <c r="FV109" s="249">
        <f t="shared" ca="1" si="605"/>
        <v>0.68262244560261109</v>
      </c>
      <c r="FW109" s="139">
        <f t="shared" ca="1" si="606"/>
        <v>1.3333098626085478</v>
      </c>
      <c r="FX109" s="249">
        <f t="shared" ca="1" si="607"/>
        <v>1.0869980281413676</v>
      </c>
      <c r="FY109" s="249">
        <f t="shared" si="524"/>
        <v>0.15000000000000002</v>
      </c>
      <c r="FZ109" s="139">
        <f t="shared" si="525"/>
        <v>1050000</v>
      </c>
      <c r="GA109" s="139">
        <f t="shared" si="608"/>
        <v>3.3757716049382713E-2</v>
      </c>
      <c r="GB109" s="139">
        <f t="shared" si="361"/>
        <v>121.52777777777777</v>
      </c>
      <c r="GC109" s="139">
        <f t="shared" si="526"/>
        <v>1050000</v>
      </c>
      <c r="GD109" s="139">
        <f t="shared" si="362"/>
        <v>6.7515432098765427E-2</v>
      </c>
      <c r="GE109" s="139">
        <f t="shared" si="363"/>
        <v>243.05555555555554</v>
      </c>
      <c r="GF109" s="139">
        <f t="shared" si="364"/>
        <v>4.5814043209876545E-2</v>
      </c>
      <c r="GG109" s="139">
        <f t="shared" si="527"/>
        <v>712500</v>
      </c>
      <c r="GH109" s="139">
        <f t="shared" si="365"/>
        <v>164.93055555555554</v>
      </c>
      <c r="GI109" s="137">
        <f t="shared" si="528"/>
        <v>51.389748919130447</v>
      </c>
      <c r="GJ109" s="137">
        <f t="shared" si="609"/>
        <v>0.18500309610886814</v>
      </c>
      <c r="GK109" s="251">
        <f t="shared" si="529"/>
        <v>40.460171030467151</v>
      </c>
      <c r="GL109" s="137">
        <f t="shared" si="610"/>
        <v>0.14565661570968058</v>
      </c>
      <c r="GM109" s="137">
        <f t="shared" ca="1" si="530"/>
        <v>8.8774202510489211</v>
      </c>
      <c r="GN109" s="137">
        <f t="shared" ca="1" si="611"/>
        <v>3.195871290377586E-2</v>
      </c>
      <c r="GO109" s="137">
        <f t="shared" ca="1" si="366"/>
        <v>0.11237240824112468</v>
      </c>
      <c r="GP109" s="137">
        <f t="shared" ca="1" si="531"/>
        <v>9.7345608799808812</v>
      </c>
      <c r="GQ109" s="137">
        <f t="shared" ca="1" si="612"/>
        <v>3.5044419167930892E-2</v>
      </c>
      <c r="GR109" s="137">
        <f t="shared" ca="1" si="406"/>
        <v>0.12322228962001017</v>
      </c>
      <c r="GS109" s="140">
        <f t="shared" si="532"/>
        <v>8.7105497826391542E-2</v>
      </c>
      <c r="GT109" s="140">
        <f t="shared" si="533"/>
        <v>7.1928938642931595E-2</v>
      </c>
      <c r="GU109" s="140">
        <f t="shared" si="613"/>
        <v>313.57979217500957</v>
      </c>
      <c r="GV109" s="140">
        <f t="shared" si="614"/>
        <v>258.94417911455372</v>
      </c>
      <c r="GW109" s="141">
        <f t="shared" ca="1" si="534"/>
        <v>2.1047466593841092E-3</v>
      </c>
      <c r="GX109" s="141">
        <f t="shared" ca="1" si="535"/>
        <v>6.5498046881486806E-3</v>
      </c>
      <c r="GY109" s="141">
        <f t="shared" ca="1" si="615"/>
        <v>7.5770879737827928</v>
      </c>
      <c r="GZ109" s="141">
        <f t="shared" ca="1" si="616"/>
        <v>23.579296877335249</v>
      </c>
      <c r="HA109" s="141">
        <f t="shared" ca="1" si="536"/>
        <v>1.5166342644285992E-2</v>
      </c>
      <c r="HB109" s="141">
        <f t="shared" ca="1" si="537"/>
        <v>1.8104244879256329E-2</v>
      </c>
      <c r="HC109" s="141">
        <f t="shared" ca="1" si="617"/>
        <v>54.598833519429569</v>
      </c>
      <c r="HD109" s="141">
        <f t="shared" ca="1" si="618"/>
        <v>65.175281565322791</v>
      </c>
      <c r="HE109" s="137">
        <f t="shared" si="367"/>
        <v>9.314150933975565</v>
      </c>
      <c r="HF109" s="250">
        <f t="shared" si="368"/>
        <v>9.0492136833251742</v>
      </c>
      <c r="HG109" s="137">
        <v>3.2680970833202205</v>
      </c>
      <c r="HH109" s="251">
        <v>4.53861936825892</v>
      </c>
      <c r="HI109" s="137">
        <f t="shared" ca="1" si="369"/>
        <v>1.4338813728299455</v>
      </c>
      <c r="HJ109" s="251">
        <f t="shared" ca="1" si="370"/>
        <v>1.6103295817631067</v>
      </c>
      <c r="HK109" s="137">
        <f t="shared" ca="1" si="371"/>
        <v>1.1825115541545337</v>
      </c>
      <c r="HL109" s="251">
        <f t="shared" ca="1" si="372"/>
        <v>0.92770713616049549</v>
      </c>
      <c r="HM109" s="137">
        <f t="shared" ca="1" si="373"/>
        <v>1.3286932384534198</v>
      </c>
      <c r="HN109" s="251">
        <f t="shared" ca="1" si="374"/>
        <v>1.0738888204593815</v>
      </c>
      <c r="HO109" s="137">
        <f t="shared" ca="1" si="375"/>
        <v>0.23286669595263668</v>
      </c>
      <c r="HP109" s="251">
        <f t="shared" ca="1" si="376"/>
        <v>0.43719122018834949</v>
      </c>
      <c r="JN109" s="143">
        <f t="shared" si="538"/>
        <v>19.224729595003325</v>
      </c>
      <c r="JO109" s="143">
        <f t="shared" si="490"/>
        <v>3268.0970833202205</v>
      </c>
      <c r="JP109" s="143">
        <f t="shared" si="539"/>
        <v>4056.5754766942591</v>
      </c>
      <c r="JQ109" s="143">
        <f t="shared" si="540"/>
        <v>1.5490016672346327</v>
      </c>
      <c r="JR109" s="143">
        <f t="shared" ca="1" si="491"/>
        <v>1.2519485500298428</v>
      </c>
      <c r="JS109" s="143">
        <f t="shared" si="541"/>
        <v>76.513033447265627</v>
      </c>
      <c r="JT109" s="143">
        <f t="shared" ca="1" si="492"/>
        <v>143.64796269504205</v>
      </c>
      <c r="JU109" s="143">
        <f t="shared" si="547"/>
        <v>0.29075401722245853</v>
      </c>
      <c r="JV109" s="143">
        <f t="shared" si="542"/>
        <v>0.36090286975706626</v>
      </c>
      <c r="JW109" s="143">
        <f t="shared" ca="1" si="543"/>
        <v>0.37017460590035134</v>
      </c>
      <c r="JX109" s="143">
        <f t="shared" ca="1" si="544"/>
        <v>0.29918596662466634</v>
      </c>
      <c r="JY109" s="143">
        <f t="shared" si="545"/>
        <v>0.73253772798307459</v>
      </c>
      <c r="JZ109" s="143">
        <f t="shared" si="546"/>
        <v>1.1025472580069267</v>
      </c>
      <c r="KA109" s="143">
        <f t="shared" si="493"/>
        <v>0.27429624266269675</v>
      </c>
      <c r="KB109" s="143">
        <f t="shared" si="494"/>
        <v>0.34047440543119456</v>
      </c>
      <c r="KC109" s="143">
        <f t="shared" ca="1" si="495"/>
        <v>0.84352510667826719</v>
      </c>
      <c r="KD109" s="143">
        <f t="shared" ca="1" si="496"/>
        <v>0.57609768004433837</v>
      </c>
      <c r="KE109" s="143">
        <f t="shared" ca="1" si="497"/>
        <v>0.40711031892606031</v>
      </c>
      <c r="KF109" s="143">
        <f t="shared" ca="1" si="498"/>
        <v>0.1752599390237661</v>
      </c>
      <c r="KG109" s="142">
        <f t="shared" si="499"/>
        <v>0.14565661570968058</v>
      </c>
      <c r="KH109" s="142">
        <f t="shared" ca="1" si="500"/>
        <v>0.12322228962001017</v>
      </c>
      <c r="KI109" s="142">
        <f t="shared" ca="1" si="501"/>
        <v>375.75571366822192</v>
      </c>
      <c r="KJ109" s="142">
        <f t="shared" ca="1" si="502"/>
        <v>347.69875755721176</v>
      </c>
    </row>
    <row r="110" spans="1:296" x14ac:dyDescent="0.3">
      <c r="A110" s="195">
        <v>41485</v>
      </c>
      <c r="B110" s="196">
        <v>142</v>
      </c>
      <c r="C110" s="177">
        <v>24</v>
      </c>
      <c r="D110" s="166">
        <v>4.2</v>
      </c>
      <c r="E110" s="166">
        <v>50016</v>
      </c>
      <c r="F110" s="166">
        <v>300</v>
      </c>
      <c r="G110" s="166">
        <v>11.7</v>
      </c>
      <c r="H110" s="166">
        <v>0.85</v>
      </c>
      <c r="I110" s="166">
        <v>1.4</v>
      </c>
      <c r="J110" s="166">
        <v>1.33</v>
      </c>
      <c r="K110" s="166">
        <v>0.91</v>
      </c>
      <c r="L110" s="166">
        <v>20488.652686066926</v>
      </c>
      <c r="M110" s="169">
        <v>19</v>
      </c>
      <c r="N110" s="167">
        <v>58922.211110979319</v>
      </c>
      <c r="O110" s="176">
        <v>17</v>
      </c>
      <c r="P110" s="166">
        <v>2</v>
      </c>
      <c r="Q110" s="166">
        <v>5</v>
      </c>
      <c r="R110" s="168">
        <v>367.76980590820312</v>
      </c>
      <c r="S110" s="169">
        <v>121.09204322949518</v>
      </c>
      <c r="T110" s="166">
        <v>180</v>
      </c>
      <c r="U110" s="170">
        <v>4.7814617156982422</v>
      </c>
      <c r="V110" s="176">
        <v>17</v>
      </c>
      <c r="W110" s="166">
        <v>1250</v>
      </c>
      <c r="X110" s="169">
        <v>61585.448652788997</v>
      </c>
      <c r="Y110" s="169">
        <v>8152.2356130946428</v>
      </c>
      <c r="Z110" s="169">
        <v>273.47122192382812</v>
      </c>
      <c r="AA110" s="169">
        <v>10.839481353759766</v>
      </c>
      <c r="AB110" s="169">
        <v>13.822934150695801</v>
      </c>
      <c r="AC110" s="212">
        <v>37</v>
      </c>
      <c r="AD110" s="212">
        <v>27.142385482788086</v>
      </c>
      <c r="AE110" s="254">
        <v>20</v>
      </c>
      <c r="AF110" s="254">
        <v>10</v>
      </c>
      <c r="AG110" s="217">
        <v>5000000</v>
      </c>
      <c r="AH110" s="218">
        <v>300000</v>
      </c>
      <c r="AI110" s="219">
        <v>5000000</v>
      </c>
      <c r="AJ110" s="225">
        <f t="shared" si="473"/>
        <v>300000</v>
      </c>
      <c r="AK110" s="220">
        <v>2750000</v>
      </c>
      <c r="AL110" s="226">
        <f t="shared" si="474"/>
        <v>300000</v>
      </c>
      <c r="AM110" s="221">
        <v>14.407</v>
      </c>
      <c r="BM110" s="197">
        <f t="shared" si="475"/>
        <v>9.8576145172119141</v>
      </c>
      <c r="BN110" s="196">
        <f t="shared" si="476"/>
        <v>180</v>
      </c>
      <c r="BO110" s="197">
        <f t="shared" si="477"/>
        <v>2.9834527969360352</v>
      </c>
      <c r="BP110" s="196">
        <f t="shared" si="472"/>
        <v>12.651325079797445</v>
      </c>
      <c r="BQ110" s="115">
        <f t="shared" si="478"/>
        <v>659.74492511188635</v>
      </c>
      <c r="BR110" s="184">
        <f t="shared" si="479"/>
        <v>1.0041987768</v>
      </c>
      <c r="BS110" s="115">
        <f t="shared" si="480"/>
        <v>6863.8528613899143</v>
      </c>
      <c r="BT110" s="196">
        <v>900</v>
      </c>
      <c r="BU110" s="115">
        <f t="shared" si="548"/>
        <v>1.1850729520000001</v>
      </c>
      <c r="BV110" s="115">
        <f t="shared" si="549"/>
        <v>1.061805386865964</v>
      </c>
      <c r="BW110" s="115">
        <f t="shared" si="550"/>
        <v>428.62516976111579</v>
      </c>
      <c r="BX110" s="115">
        <f t="shared" si="503"/>
        <v>1031.1269418708737</v>
      </c>
      <c r="BY110" s="115"/>
      <c r="BZ110" s="115">
        <f t="shared" si="504"/>
        <v>602.50177210975789</v>
      </c>
      <c r="CA110" s="115">
        <f t="shared" si="505"/>
        <v>9736.768305640664</v>
      </c>
      <c r="CB110" s="115">
        <f t="shared" si="506"/>
        <v>2455.0921296241381</v>
      </c>
      <c r="CC110" s="115">
        <f t="shared" si="507"/>
        <v>853.69386191945523</v>
      </c>
      <c r="CD110" s="129">
        <f t="shared" si="551"/>
        <v>0.16867436332946278</v>
      </c>
      <c r="CE110" s="115">
        <f t="shared" si="508"/>
        <v>16.086542466107538</v>
      </c>
      <c r="CF110" s="115">
        <f t="shared" si="509"/>
        <v>33.636678674859773</v>
      </c>
      <c r="CG110" s="115">
        <f t="shared" si="510"/>
        <v>0.02</v>
      </c>
      <c r="CH110" s="115">
        <f t="shared" si="511"/>
        <v>0.05</v>
      </c>
      <c r="CI110" s="136">
        <v>30</v>
      </c>
      <c r="CJ110" s="115">
        <f t="shared" si="552"/>
        <v>165</v>
      </c>
      <c r="CK110" s="115">
        <f t="shared" si="512"/>
        <v>453</v>
      </c>
      <c r="CL110" s="115">
        <f t="shared" si="513"/>
        <v>640.76980590820312</v>
      </c>
      <c r="CM110" s="115">
        <f t="shared" ca="1" si="514"/>
        <v>2816.5993052117487</v>
      </c>
      <c r="CN110" s="115">
        <f t="shared" ca="1" si="553"/>
        <v>125.80344444444444</v>
      </c>
      <c r="CO110" s="115">
        <f t="shared" ca="1" si="554"/>
        <v>690.58718083896258</v>
      </c>
      <c r="CP110" s="115">
        <f t="shared" ca="1" si="555"/>
        <v>2790.6388281929471</v>
      </c>
      <c r="CQ110" s="115">
        <f t="shared" si="556"/>
        <v>1.072449112508886</v>
      </c>
      <c r="CR110" s="115">
        <f t="shared" ca="1" si="481"/>
        <v>787.64344552232421</v>
      </c>
      <c r="CS110" s="115">
        <f t="shared" ca="1" si="482"/>
        <v>39.096223954850871</v>
      </c>
      <c r="CT110" s="115">
        <f t="shared" si="557"/>
        <v>1.1156243188454649</v>
      </c>
      <c r="CU110" s="115">
        <f t="shared" ca="1" si="558"/>
        <v>1.0166150197115322</v>
      </c>
      <c r="CV110" s="115">
        <f t="shared" si="360"/>
        <v>129.50177210975789</v>
      </c>
      <c r="CW110" s="115">
        <f t="shared" si="559"/>
        <v>473</v>
      </c>
      <c r="CX110" s="115">
        <f t="shared" si="560"/>
        <v>438</v>
      </c>
      <c r="CY110" s="115">
        <f t="shared" ca="1" si="561"/>
        <v>433.90377604514913</v>
      </c>
      <c r="CZ110" s="115">
        <f t="shared" ca="1" si="562"/>
        <v>206.866029863054</v>
      </c>
      <c r="DA110" s="115">
        <v>0.21890000000000001</v>
      </c>
      <c r="DB110" s="115">
        <v>2.7E-2</v>
      </c>
      <c r="DC110" s="115">
        <v>1.06</v>
      </c>
      <c r="DD110" s="138">
        <f t="shared" si="515"/>
        <v>8.9426019736635958</v>
      </c>
      <c r="DE110" s="138">
        <f t="shared" si="563"/>
        <v>8.9426019736635958</v>
      </c>
      <c r="DF110" s="115">
        <f t="shared" si="564"/>
        <v>640.76980590820312</v>
      </c>
      <c r="DG110" s="115">
        <v>602.50177210975789</v>
      </c>
      <c r="DH110" s="115">
        <f t="shared" si="565"/>
        <v>1.1156243188454649</v>
      </c>
      <c r="DI110" s="115">
        <f t="shared" si="566"/>
        <v>1.1054730935366073</v>
      </c>
      <c r="DJ110" s="138">
        <f t="shared" si="483"/>
        <v>2.4488676565407457</v>
      </c>
      <c r="DK110" s="138">
        <f t="shared" si="484"/>
        <v>2.0047243281621738</v>
      </c>
      <c r="DL110" s="115">
        <f t="shared" si="567"/>
        <v>640.76980590820312</v>
      </c>
      <c r="DM110" s="115">
        <f t="shared" si="471"/>
        <v>602.50177210975789</v>
      </c>
      <c r="DN110" s="115">
        <f t="shared" si="568"/>
        <v>12.766337125977422</v>
      </c>
      <c r="DO110" s="115">
        <f t="shared" si="569"/>
        <v>1.1156243188454649</v>
      </c>
      <c r="DP110" s="115">
        <f t="shared" si="570"/>
        <v>1.1054730935366073</v>
      </c>
      <c r="DQ110" s="115">
        <v>298.14999999999998</v>
      </c>
      <c r="DR110" s="138">
        <f t="shared" si="571"/>
        <v>1.6309458592561368</v>
      </c>
      <c r="DS110" s="138">
        <f t="shared" si="572"/>
        <v>1.3351464025560076</v>
      </c>
      <c r="DT110" s="115">
        <f t="shared" si="573"/>
        <v>640.76980590820312</v>
      </c>
      <c r="DU110" s="139">
        <f t="shared" si="422"/>
        <v>6.4023372373520395</v>
      </c>
      <c r="DV110" s="115">
        <f t="shared" si="574"/>
        <v>1.1156243188454649</v>
      </c>
      <c r="DW110" s="115">
        <v>298.14999999999998</v>
      </c>
      <c r="DX110" s="138">
        <f t="shared" si="485"/>
        <v>0.81792179728460901</v>
      </c>
      <c r="DY110" s="138">
        <f t="shared" si="486"/>
        <v>0.66957792560616591</v>
      </c>
      <c r="DZ110" s="138">
        <f t="shared" si="575"/>
        <v>2.4550921296241381</v>
      </c>
      <c r="EA110" s="138">
        <f t="shared" si="576"/>
        <v>2.8729154442507499</v>
      </c>
      <c r="EB110" s="115">
        <f t="shared" si="577"/>
        <v>33.636678674859773</v>
      </c>
      <c r="EC110" s="115">
        <v>30</v>
      </c>
      <c r="ED110" s="198">
        <f t="shared" ca="1" si="578"/>
        <v>125.80344444444444</v>
      </c>
      <c r="EE110" s="198">
        <v>104.83</v>
      </c>
      <c r="EF110" s="198">
        <f t="shared" ca="1" si="579"/>
        <v>0.42491111111111107</v>
      </c>
      <c r="EG110" s="199">
        <v>0.36720000000000003</v>
      </c>
      <c r="EH110" s="138">
        <f t="shared" ca="1" si="580"/>
        <v>0.12670522004449408</v>
      </c>
      <c r="EI110" s="138">
        <f t="shared" ca="1" si="581"/>
        <v>0.12670522004449408</v>
      </c>
      <c r="EJ110" s="115">
        <f t="shared" si="582"/>
        <v>12.766337125977422</v>
      </c>
      <c r="EK110" s="115">
        <v>435</v>
      </c>
      <c r="EL110" s="115">
        <f t="shared" ca="1" si="583"/>
        <v>433.90377604514913</v>
      </c>
      <c r="EM110" s="115">
        <f t="shared" ca="1" si="584"/>
        <v>1.0633843813796502</v>
      </c>
      <c r="EN110" s="115">
        <f t="shared" ca="1" si="585"/>
        <v>1.063049270972604</v>
      </c>
      <c r="EO110" s="115">
        <v>298.14999999999998</v>
      </c>
      <c r="EP110" s="138">
        <f t="shared" ca="1" si="586"/>
        <v>0.32885404587915912</v>
      </c>
      <c r="EQ110" s="138">
        <f t="shared" ca="1" si="587"/>
        <v>0.32408297301836114</v>
      </c>
      <c r="ER110" s="115">
        <f t="shared" si="588"/>
        <v>1.3281838099161785</v>
      </c>
      <c r="ES110" s="115">
        <f t="shared" si="589"/>
        <v>453</v>
      </c>
      <c r="ET110" s="115">
        <f t="shared" ca="1" si="516"/>
        <v>2816.5993052117487</v>
      </c>
      <c r="EU110" s="115">
        <f t="shared" ca="1" si="517"/>
        <v>6.5855309782608691</v>
      </c>
      <c r="EV110" s="138">
        <f t="shared" ca="1" si="590"/>
        <v>1.1392814384825423</v>
      </c>
      <c r="EW110" s="138">
        <f t="shared" ca="1" si="487"/>
        <v>0.68869381309135025</v>
      </c>
      <c r="EX110" s="115">
        <v>21.47</v>
      </c>
      <c r="EY110" s="115">
        <f t="shared" ca="1" si="518"/>
        <v>113.67834351052178</v>
      </c>
      <c r="EZ110" s="115">
        <f t="shared" ca="1" si="519"/>
        <v>0.38506326423221166</v>
      </c>
      <c r="FA110" s="138">
        <f t="shared" ca="1" si="591"/>
        <v>7.5626170174898991E-2</v>
      </c>
      <c r="FB110" s="138">
        <f t="shared" ca="1" si="592"/>
        <v>7.5626170174898991E-2</v>
      </c>
      <c r="FC110" s="115">
        <f t="shared" si="593"/>
        <v>21.47</v>
      </c>
      <c r="FD110" s="115">
        <v>37</v>
      </c>
      <c r="FE110" s="115">
        <f t="shared" ca="1" si="594"/>
        <v>154.93355555555553</v>
      </c>
      <c r="FF110" s="115">
        <f t="shared" ca="1" si="595"/>
        <v>0.52252222222222222</v>
      </c>
      <c r="FG110" s="138">
        <f t="shared" ca="1" si="596"/>
        <v>8.1462225449999703E-2</v>
      </c>
      <c r="FH110" s="138">
        <f t="shared" ca="1" si="597"/>
        <v>8.1462225449999703E-2</v>
      </c>
      <c r="FI110" s="115">
        <f t="shared" si="598"/>
        <v>76.571942138671886</v>
      </c>
      <c r="FJ110" s="115">
        <f t="shared" ca="1" si="520"/>
        <v>45.448878296746152</v>
      </c>
      <c r="FK110" s="115">
        <f t="shared" ca="1" si="521"/>
        <v>0.15772832332187228</v>
      </c>
      <c r="FL110" s="138">
        <f t="shared" ca="1" si="599"/>
        <v>0.23529475844883463</v>
      </c>
      <c r="FM110" s="138">
        <f t="shared" ca="1" si="488"/>
        <v>0.3385526731970363</v>
      </c>
      <c r="FN110" s="115">
        <f t="shared" si="600"/>
        <v>76.571942138671886</v>
      </c>
      <c r="FO110" s="115">
        <f t="shared" ca="1" si="522"/>
        <v>57.934959746678679</v>
      </c>
      <c r="FP110" s="115">
        <f t="shared" ca="1" si="523"/>
        <v>0.19933091510136922</v>
      </c>
      <c r="FQ110" s="138">
        <f t="shared" ca="1" si="601"/>
        <v>0.24159423341781788</v>
      </c>
      <c r="FR110" s="138">
        <f t="shared" ca="1" si="489"/>
        <v>0.34761664089672845</v>
      </c>
      <c r="FS110" s="139">
        <f t="shared" si="602"/>
        <v>4.0386421874987128</v>
      </c>
      <c r="FT110" s="249">
        <f t="shared" si="603"/>
        <v>4.0649622012506716</v>
      </c>
      <c r="FU110" s="139">
        <f t="shared" ca="1" si="604"/>
        <v>0.28951559493892942</v>
      </c>
      <c r="FV110" s="249">
        <f t="shared" ca="1" si="605"/>
        <v>0.44907483649079016</v>
      </c>
      <c r="FW110" s="139">
        <f t="shared" ca="1" si="606"/>
        <v>1.1397448581764249</v>
      </c>
      <c r="FX110" s="249">
        <f t="shared" ca="1" si="607"/>
        <v>0.69192172551594178</v>
      </c>
      <c r="FY110" s="249">
        <f t="shared" si="524"/>
        <v>0.15000000000000002</v>
      </c>
      <c r="FZ110" s="139">
        <f t="shared" si="525"/>
        <v>1050000</v>
      </c>
      <c r="GA110" s="139">
        <f t="shared" si="608"/>
        <v>3.3757716049382713E-2</v>
      </c>
      <c r="GB110" s="139">
        <f t="shared" si="361"/>
        <v>121.52777777777777</v>
      </c>
      <c r="GC110" s="139">
        <f t="shared" si="526"/>
        <v>1050000</v>
      </c>
      <c r="GD110" s="139">
        <f t="shared" si="362"/>
        <v>6.7515432098765427E-2</v>
      </c>
      <c r="GE110" s="139">
        <f t="shared" si="363"/>
        <v>243.05555555555554</v>
      </c>
      <c r="GF110" s="139">
        <f t="shared" si="364"/>
        <v>4.5814043209876545E-2</v>
      </c>
      <c r="GG110" s="139">
        <f t="shared" si="527"/>
        <v>712500</v>
      </c>
      <c r="GH110" s="139">
        <f t="shared" si="365"/>
        <v>164.93055555555554</v>
      </c>
      <c r="GI110" s="137">
        <f t="shared" si="528"/>
        <v>51.856687909981851</v>
      </c>
      <c r="GJ110" s="137">
        <f t="shared" si="609"/>
        <v>0.18668407647593319</v>
      </c>
      <c r="GK110" s="251">
        <f t="shared" si="529"/>
        <v>46.542170099612321</v>
      </c>
      <c r="GL110" s="137">
        <f t="shared" si="610"/>
        <v>0.16755181235860303</v>
      </c>
      <c r="GM110" s="137">
        <f t="shared" ca="1" si="530"/>
        <v>7.1922555939931252</v>
      </c>
      <c r="GN110" s="137">
        <f t="shared" ca="1" si="611"/>
        <v>2.5892120138375045E-2</v>
      </c>
      <c r="GO110" s="137">
        <f t="shared" ca="1" si="366"/>
        <v>9.1041210050545177E-2</v>
      </c>
      <c r="GP110" s="137">
        <f t="shared" ca="1" si="531"/>
        <v>7.5544695547666612</v>
      </c>
      <c r="GQ110" s="137">
        <f t="shared" ca="1" si="612"/>
        <v>2.7196090397159763E-2</v>
      </c>
      <c r="GR110" s="137">
        <f t="shared" ca="1" si="406"/>
        <v>9.5626196895779766E-2</v>
      </c>
      <c r="GS110" s="140">
        <f t="shared" si="532"/>
        <v>5.8184717995293955E-2</v>
      </c>
      <c r="GT110" s="140">
        <f t="shared" si="533"/>
        <v>5.8563910433418423E-2</v>
      </c>
      <c r="GU110" s="140">
        <f t="shared" si="613"/>
        <v>209.46498478305824</v>
      </c>
      <c r="GV110" s="140">
        <f t="shared" si="614"/>
        <v>210.83007756030634</v>
      </c>
      <c r="GW110" s="141">
        <f t="shared" ca="1" si="534"/>
        <v>2.7779200834059134E-3</v>
      </c>
      <c r="GX110" s="141">
        <f t="shared" ca="1" si="535"/>
        <v>4.3089008987689942E-3</v>
      </c>
      <c r="GY110" s="141">
        <f t="shared" ca="1" si="615"/>
        <v>10.000512300261288</v>
      </c>
      <c r="GZ110" s="141">
        <f t="shared" ca="1" si="616"/>
        <v>15.512043235568379</v>
      </c>
      <c r="HA110" s="141">
        <f t="shared" ca="1" si="536"/>
        <v>1.4062719429657897E-2</v>
      </c>
      <c r="HB110" s="141">
        <f t="shared" ca="1" si="537"/>
        <v>1.194416114428855E-2</v>
      </c>
      <c r="HC110" s="141">
        <f t="shared" ca="1" si="617"/>
        <v>50.625789946768428</v>
      </c>
      <c r="HD110" s="141">
        <f t="shared" ca="1" si="618"/>
        <v>42.998980119438777</v>
      </c>
      <c r="HE110" s="137">
        <f t="shared" si="367"/>
        <v>6.4937343171228505</v>
      </c>
      <c r="HF110" s="250">
        <f t="shared" si="368"/>
        <v>6.9378776455014215</v>
      </c>
      <c r="HG110" s="137">
        <v>2.4550921296241381</v>
      </c>
      <c r="HH110" s="251">
        <v>2.0036081685824758</v>
      </c>
      <c r="HI110" s="137">
        <f t="shared" ca="1" si="369"/>
        <v>1.3068628862377756</v>
      </c>
      <c r="HJ110" s="251">
        <f t="shared" ca="1" si="370"/>
        <v>1.0110634295376464</v>
      </c>
      <c r="HK110" s="137">
        <f t="shared" ca="1" si="371"/>
        <v>1.0125762184380482</v>
      </c>
      <c r="HL110" s="251">
        <f t="shared" ca="1" si="372"/>
        <v>0.56198859304685622</v>
      </c>
      <c r="HM110" s="137">
        <f t="shared" ca="1" si="373"/>
        <v>1.1392814384825423</v>
      </c>
      <c r="HN110" s="251">
        <f t="shared" ca="1" si="374"/>
        <v>0.68869381309135025</v>
      </c>
      <c r="HO110" s="137">
        <f t="shared" ca="1" si="375"/>
        <v>0.23529475844883463</v>
      </c>
      <c r="HP110" s="251">
        <f t="shared" ca="1" si="376"/>
        <v>0.3385526731970363</v>
      </c>
      <c r="JN110" s="143">
        <f t="shared" si="538"/>
        <v>19.168674363329462</v>
      </c>
      <c r="JO110" s="143">
        <f t="shared" si="490"/>
        <v>2455.0921296241381</v>
      </c>
      <c r="JP110" s="143">
        <f t="shared" si="539"/>
        <v>2872.9154442507497</v>
      </c>
      <c r="JQ110" s="143">
        <f t="shared" si="540"/>
        <v>1.3281838099161785</v>
      </c>
      <c r="JR110" s="143">
        <f t="shared" ca="1" si="491"/>
        <v>0.80288499543687297</v>
      </c>
      <c r="JS110" s="143">
        <f t="shared" si="541"/>
        <v>76.571942138671886</v>
      </c>
      <c r="JT110" s="143">
        <f t="shared" ca="1" si="492"/>
        <v>110.17515168563905</v>
      </c>
      <c r="JU110" s="143">
        <f t="shared" si="547"/>
        <v>0.29101123644614579</v>
      </c>
      <c r="JV110" s="143">
        <f t="shared" si="542"/>
        <v>0.34053739391223331</v>
      </c>
      <c r="JW110" s="143">
        <f t="shared" ca="1" si="543"/>
        <v>0.42264806317039239</v>
      </c>
      <c r="JX110" s="143">
        <f t="shared" ca="1" si="544"/>
        <v>0.25549008031605147</v>
      </c>
      <c r="JY110" s="143">
        <f t="shared" si="545"/>
        <v>0.68980071254637565</v>
      </c>
      <c r="JZ110" s="143">
        <f t="shared" si="546"/>
        <v>0.41024135540027001</v>
      </c>
      <c r="KA110" s="143">
        <f t="shared" si="493"/>
        <v>0.27453890230768468</v>
      </c>
      <c r="KB110" s="143">
        <f t="shared" si="494"/>
        <v>0.32126169237003144</v>
      </c>
      <c r="KC110" s="143">
        <f t="shared" ca="1" si="495"/>
        <v>0.77765347115725258</v>
      </c>
      <c r="KD110" s="143">
        <f t="shared" ca="1" si="496"/>
        <v>0.55583910626047517</v>
      </c>
      <c r="KE110" s="143">
        <f t="shared" ca="1" si="497"/>
        <v>0.49158663365562971</v>
      </c>
      <c r="KF110" s="143">
        <f t="shared" ca="1" si="498"/>
        <v>0.20652908974119141</v>
      </c>
      <c r="KG110" s="142">
        <f t="shared" si="499"/>
        <v>0.16755181235860303</v>
      </c>
      <c r="KH110" s="142">
        <f t="shared" ca="1" si="500"/>
        <v>9.5626196895779766E-2</v>
      </c>
      <c r="KI110" s="142">
        <f t="shared" ca="1" si="501"/>
        <v>270.09128703008793</v>
      </c>
      <c r="KJ110" s="142">
        <f t="shared" ca="1" si="502"/>
        <v>269.34110091531346</v>
      </c>
    </row>
    <row r="111" spans="1:296" ht="17.25" thickBot="1" x14ac:dyDescent="0.35">
      <c r="A111" s="205">
        <v>41486</v>
      </c>
      <c r="B111" s="196">
        <v>143</v>
      </c>
      <c r="C111" s="177">
        <v>24</v>
      </c>
      <c r="D111" s="166">
        <v>4.2</v>
      </c>
      <c r="E111" s="166">
        <v>50016</v>
      </c>
      <c r="F111" s="166">
        <v>300</v>
      </c>
      <c r="G111" s="166">
        <v>11.7</v>
      </c>
      <c r="H111" s="166">
        <v>0.85</v>
      </c>
      <c r="I111" s="166">
        <v>1.4</v>
      </c>
      <c r="J111" s="166">
        <v>1.33</v>
      </c>
      <c r="K111" s="166">
        <v>0.91</v>
      </c>
      <c r="L111" s="171">
        <v>27768.364871367812</v>
      </c>
      <c r="M111" s="174">
        <v>19</v>
      </c>
      <c r="N111" s="172">
        <v>81055.036110535264</v>
      </c>
      <c r="O111" s="187">
        <v>17</v>
      </c>
      <c r="P111" s="171">
        <v>2</v>
      </c>
      <c r="Q111" s="171">
        <v>5</v>
      </c>
      <c r="R111" s="173">
        <v>388.16970825195312</v>
      </c>
      <c r="S111" s="174">
        <v>134.17825468510273</v>
      </c>
      <c r="T111" s="171">
        <v>180</v>
      </c>
      <c r="U111" s="175">
        <v>5.3310556411743164</v>
      </c>
      <c r="V111" s="187">
        <v>17</v>
      </c>
      <c r="W111" s="171">
        <v>1250</v>
      </c>
      <c r="X111" s="174">
        <v>62074.370641574264</v>
      </c>
      <c r="Y111" s="174">
        <v>8763.1892087180167</v>
      </c>
      <c r="Z111" s="174">
        <v>245.6976318359375</v>
      </c>
      <c r="AA111" s="174">
        <v>10.17634391784668</v>
      </c>
      <c r="AB111" s="174">
        <v>14.296874046325684</v>
      </c>
      <c r="AC111" s="213">
        <v>37</v>
      </c>
      <c r="AD111" s="213">
        <v>27.752128601074219</v>
      </c>
      <c r="AE111" s="254">
        <v>20</v>
      </c>
      <c r="AF111" s="254">
        <v>10</v>
      </c>
      <c r="AG111" s="217">
        <v>5000000</v>
      </c>
      <c r="AH111" s="218">
        <v>300000</v>
      </c>
      <c r="AI111" s="219">
        <v>5000000</v>
      </c>
      <c r="AJ111" s="225">
        <f t="shared" si="473"/>
        <v>300000</v>
      </c>
      <c r="AK111" s="220">
        <v>2750000</v>
      </c>
      <c r="AL111" s="226">
        <f t="shared" si="474"/>
        <v>300000</v>
      </c>
      <c r="AM111" s="221">
        <v>14.407</v>
      </c>
      <c r="BM111" s="197">
        <f t="shared" si="475"/>
        <v>9.2478713989257812</v>
      </c>
      <c r="BN111" s="196">
        <f t="shared" si="476"/>
        <v>180</v>
      </c>
      <c r="BO111" s="197">
        <f t="shared" si="477"/>
        <v>4.1205301284790039</v>
      </c>
      <c r="BP111" s="196">
        <f t="shared" si="472"/>
        <v>12.690879390778672</v>
      </c>
      <c r="BQ111" s="115">
        <f t="shared" si="478"/>
        <v>659.74492511188635</v>
      </c>
      <c r="BR111" s="184">
        <f t="shared" si="479"/>
        <v>1.0041987768</v>
      </c>
      <c r="BS111" s="115">
        <f t="shared" si="480"/>
        <v>6863.8528613899143</v>
      </c>
      <c r="BT111" s="196">
        <v>900</v>
      </c>
      <c r="BU111" s="115">
        <f t="shared" si="548"/>
        <v>1.1850729520000001</v>
      </c>
      <c r="BV111" s="115">
        <f t="shared" si="549"/>
        <v>1.0748597785768264</v>
      </c>
      <c r="BW111" s="115">
        <f t="shared" si="550"/>
        <v>482.82438948029221</v>
      </c>
      <c r="BX111" s="115">
        <f t="shared" si="503"/>
        <v>1161.5119020260809</v>
      </c>
      <c r="BY111" s="115"/>
      <c r="BZ111" s="115">
        <f t="shared" si="504"/>
        <v>678.68751254578865</v>
      </c>
      <c r="CA111" s="115">
        <f t="shared" si="505"/>
        <v>11002.264139521285</v>
      </c>
      <c r="CB111" s="115">
        <f t="shared" si="506"/>
        <v>3377.2931712723025</v>
      </c>
      <c r="CC111" s="115">
        <f t="shared" si="507"/>
        <v>1157.0152029736589</v>
      </c>
      <c r="CD111" s="129">
        <f t="shared" si="551"/>
        <v>0.22860513754344414</v>
      </c>
      <c r="CE111" s="115">
        <f t="shared" si="508"/>
        <v>14.452801872702207</v>
      </c>
      <c r="CF111" s="115">
        <f t="shared" si="509"/>
        <v>37.271737412528537</v>
      </c>
      <c r="CG111" s="115">
        <f t="shared" si="510"/>
        <v>0.02</v>
      </c>
      <c r="CH111" s="115">
        <f t="shared" si="511"/>
        <v>0.05</v>
      </c>
      <c r="CI111" s="136">
        <v>30</v>
      </c>
      <c r="CJ111" s="115">
        <f t="shared" si="552"/>
        <v>165</v>
      </c>
      <c r="CK111" s="115">
        <f t="shared" si="512"/>
        <v>453</v>
      </c>
      <c r="CL111" s="115">
        <f t="shared" si="513"/>
        <v>661.16970825195312</v>
      </c>
      <c r="CM111" s="115">
        <f t="shared" ca="1" si="514"/>
        <v>2816.5993052117487</v>
      </c>
      <c r="CN111" s="115">
        <f t="shared" ca="1" si="553"/>
        <v>125.80344444444444</v>
      </c>
      <c r="CO111" s="115">
        <f t="shared" ca="1" si="554"/>
        <v>690.58718083896258</v>
      </c>
      <c r="CP111" s="115">
        <f t="shared" ca="1" si="555"/>
        <v>2790.6388281929471</v>
      </c>
      <c r="CQ111" s="115">
        <f t="shared" si="556"/>
        <v>1.072449112508886</v>
      </c>
      <c r="CR111" s="115">
        <f t="shared" ca="1" si="481"/>
        <v>878.17727781860538</v>
      </c>
      <c r="CS111" s="115">
        <f t="shared" ca="1" si="482"/>
        <v>43.454188583928222</v>
      </c>
      <c r="CT111" s="115">
        <f t="shared" si="557"/>
        <v>1.1210813349404829</v>
      </c>
      <c r="CU111" s="115">
        <f t="shared" ca="1" si="558"/>
        <v>1.0208548716052361</v>
      </c>
      <c r="CV111" s="115">
        <f t="shared" si="360"/>
        <v>205.68751254578865</v>
      </c>
      <c r="CW111" s="115">
        <f t="shared" si="559"/>
        <v>473</v>
      </c>
      <c r="CX111" s="115">
        <f t="shared" si="560"/>
        <v>438</v>
      </c>
      <c r="CY111" s="115">
        <f t="shared" ca="1" si="561"/>
        <v>429.54581141607179</v>
      </c>
      <c r="CZ111" s="115">
        <f t="shared" ca="1" si="562"/>
        <v>231.62389683588134</v>
      </c>
      <c r="DA111" s="115">
        <v>0.21890000000000001</v>
      </c>
      <c r="DB111" s="115">
        <v>2.7E-2</v>
      </c>
      <c r="DC111" s="115">
        <v>1.06</v>
      </c>
      <c r="DD111" s="138">
        <f t="shared" si="515"/>
        <v>12.119949432935277</v>
      </c>
      <c r="DE111" s="138">
        <f t="shared" si="563"/>
        <v>12.119949432935277</v>
      </c>
      <c r="DF111" s="115">
        <f t="shared" si="564"/>
        <v>661.16970825195312</v>
      </c>
      <c r="DG111" s="115">
        <v>678.68751254578865</v>
      </c>
      <c r="DH111" s="115">
        <f t="shared" si="565"/>
        <v>1.1210813349404829</v>
      </c>
      <c r="DI111" s="115">
        <f t="shared" si="566"/>
        <v>1.1257864992399504</v>
      </c>
      <c r="DJ111" s="138">
        <f t="shared" si="483"/>
        <v>2.70686796696164</v>
      </c>
      <c r="DK111" s="138">
        <f t="shared" si="484"/>
        <v>2.9286644040366023</v>
      </c>
      <c r="DL111" s="115">
        <f t="shared" si="567"/>
        <v>661.16970825195312</v>
      </c>
      <c r="DM111" s="115">
        <f t="shared" si="471"/>
        <v>678.68751254578865</v>
      </c>
      <c r="DN111" s="115">
        <f t="shared" si="568"/>
        <v>12.806251021603934</v>
      </c>
      <c r="DO111" s="115">
        <f t="shared" si="569"/>
        <v>1.1210813349404829</v>
      </c>
      <c r="DP111" s="115">
        <f t="shared" si="570"/>
        <v>1.1257864992399504</v>
      </c>
      <c r="DQ111" s="115">
        <v>298.14999999999998</v>
      </c>
      <c r="DR111" s="138">
        <f t="shared" si="571"/>
        <v>1.8027740659964524</v>
      </c>
      <c r="DS111" s="138">
        <f t="shared" si="572"/>
        <v>1.9504904930883775</v>
      </c>
      <c r="DT111" s="115">
        <f t="shared" si="573"/>
        <v>661.16970825195312</v>
      </c>
      <c r="DU111" s="139">
        <f t="shared" si="422"/>
        <v>6.422354115939509</v>
      </c>
      <c r="DV111" s="115">
        <f t="shared" si="574"/>
        <v>1.1210813349404829</v>
      </c>
      <c r="DW111" s="115">
        <v>298.14999999999998</v>
      </c>
      <c r="DX111" s="138">
        <f t="shared" si="485"/>
        <v>0.90409390096518749</v>
      </c>
      <c r="DY111" s="138">
        <f t="shared" si="486"/>
        <v>0.97817391094822514</v>
      </c>
      <c r="DZ111" s="138">
        <f t="shared" si="575"/>
        <v>3.3772931712723024</v>
      </c>
      <c r="EA111" s="138">
        <f t="shared" si="576"/>
        <v>4.1384112781313709</v>
      </c>
      <c r="EB111" s="115">
        <f t="shared" si="577"/>
        <v>37.271737412528537</v>
      </c>
      <c r="EC111" s="115">
        <v>30</v>
      </c>
      <c r="ED111" s="198">
        <f t="shared" ca="1" si="578"/>
        <v>125.80344444444444</v>
      </c>
      <c r="EE111" s="198">
        <v>104.83</v>
      </c>
      <c r="EF111" s="198">
        <f t="shared" ca="1" si="579"/>
        <v>0.42491111111111107</v>
      </c>
      <c r="EG111" s="199">
        <v>0.36720000000000003</v>
      </c>
      <c r="EH111" s="138">
        <f t="shared" ca="1" si="580"/>
        <v>0.14039803798538139</v>
      </c>
      <c r="EI111" s="138">
        <f t="shared" ca="1" si="581"/>
        <v>0.14039803798538139</v>
      </c>
      <c r="EJ111" s="115">
        <f t="shared" si="582"/>
        <v>12.806251021603934</v>
      </c>
      <c r="EK111" s="115">
        <v>435</v>
      </c>
      <c r="EL111" s="115">
        <f t="shared" ca="1" si="583"/>
        <v>429.54581141607179</v>
      </c>
      <c r="EM111" s="115">
        <f t="shared" ca="1" si="584"/>
        <v>1.0636827499268522</v>
      </c>
      <c r="EN111" s="115">
        <f t="shared" ca="1" si="585"/>
        <v>1.0620218789630487</v>
      </c>
      <c r="EO111" s="115">
        <v>298.14999999999998</v>
      </c>
      <c r="EP111" s="138">
        <f t="shared" ca="1" si="586"/>
        <v>0.32997476621431115</v>
      </c>
      <c r="EQ111" s="138">
        <f t="shared" ca="1" si="587"/>
        <v>0.30644417319469408</v>
      </c>
      <c r="ER111" s="115">
        <f t="shared" si="588"/>
        <v>1.4808487892150879</v>
      </c>
      <c r="ES111" s="115">
        <f t="shared" si="589"/>
        <v>453</v>
      </c>
      <c r="ET111" s="115">
        <f t="shared" ca="1" si="516"/>
        <v>2816.5993052117487</v>
      </c>
      <c r="EU111" s="115">
        <f t="shared" ca="1" si="517"/>
        <v>6.5855309782608691</v>
      </c>
      <c r="EV111" s="138">
        <f t="shared" ca="1" si="590"/>
        <v>1.2702334768397525</v>
      </c>
      <c r="EW111" s="138">
        <f t="shared" ca="1" si="487"/>
        <v>1.1026387407672666</v>
      </c>
      <c r="EX111" s="115">
        <v>21.47</v>
      </c>
      <c r="EY111" s="115">
        <f t="shared" ca="1" si="518"/>
        <v>116.23018620978461</v>
      </c>
      <c r="EZ111" s="115">
        <f t="shared" ca="1" si="519"/>
        <v>0.39356579327053492</v>
      </c>
      <c r="FA111" s="138">
        <f t="shared" ca="1" si="591"/>
        <v>7.5987159594369247E-2</v>
      </c>
      <c r="FB111" s="138">
        <f t="shared" ca="1" si="592"/>
        <v>7.5987159594369247E-2</v>
      </c>
      <c r="FC111" s="115">
        <f t="shared" si="593"/>
        <v>21.47</v>
      </c>
      <c r="FD111" s="115">
        <v>37</v>
      </c>
      <c r="FE111" s="115">
        <f t="shared" ca="1" si="594"/>
        <v>154.93355555555553</v>
      </c>
      <c r="FF111" s="115">
        <f t="shared" ca="1" si="595"/>
        <v>0.52252222222222222</v>
      </c>
      <c r="FG111" s="138">
        <f t="shared" ca="1" si="596"/>
        <v>8.1462225449999703E-2</v>
      </c>
      <c r="FH111" s="138">
        <f t="shared" ca="1" si="597"/>
        <v>8.1462225449999703E-2</v>
      </c>
      <c r="FI111" s="115">
        <f t="shared" si="598"/>
        <v>68.795336914062503</v>
      </c>
      <c r="FJ111" s="115">
        <f t="shared" ca="1" si="520"/>
        <v>42.673574445512564</v>
      </c>
      <c r="FK111" s="115">
        <f t="shared" ca="1" si="521"/>
        <v>0.14848124018775094</v>
      </c>
      <c r="FL111" s="138">
        <f t="shared" ca="1" si="599"/>
        <v>0.21014035689225644</v>
      </c>
      <c r="FM111" s="138">
        <f t="shared" ca="1" si="488"/>
        <v>0.49413398716457907</v>
      </c>
      <c r="FN111" s="115">
        <f t="shared" si="600"/>
        <v>68.795336914062503</v>
      </c>
      <c r="FO111" s="115">
        <f t="shared" ca="1" si="522"/>
        <v>59.918450869878136</v>
      </c>
      <c r="FP111" s="115">
        <f t="shared" ca="1" si="523"/>
        <v>0.20593974364598591</v>
      </c>
      <c r="FQ111" s="138">
        <f t="shared" ca="1" si="601"/>
        <v>0.2179571319941058</v>
      </c>
      <c r="FR111" s="138">
        <f t="shared" ca="1" si="489"/>
        <v>0.51251472233115181</v>
      </c>
      <c r="FS111" s="139">
        <f t="shared" si="602"/>
        <v>6.0357882947013337</v>
      </c>
      <c r="FT111" s="249">
        <f t="shared" si="603"/>
        <v>5.0528737507673034</v>
      </c>
      <c r="FU111" s="139">
        <f t="shared" ca="1" si="604"/>
        <v>0.34296386092777009</v>
      </c>
      <c r="FV111" s="249">
        <f t="shared" ca="1" si="605"/>
        <v>0.6818056171117981</v>
      </c>
      <c r="FW111" s="139">
        <f t="shared" ca="1" si="606"/>
        <v>1.2725751860859715</v>
      </c>
      <c r="FX111" s="249">
        <f t="shared" ca="1" si="607"/>
        <v>1.115544410078209</v>
      </c>
      <c r="FY111" s="249">
        <f t="shared" si="524"/>
        <v>0.15000000000000002</v>
      </c>
      <c r="FZ111" s="139">
        <f t="shared" si="525"/>
        <v>1050000</v>
      </c>
      <c r="GA111" s="139">
        <f t="shared" si="608"/>
        <v>3.3757716049382713E-2</v>
      </c>
      <c r="GB111" s="139">
        <f t="shared" si="361"/>
        <v>121.52777777777777</v>
      </c>
      <c r="GC111" s="139">
        <f t="shared" si="526"/>
        <v>1050000</v>
      </c>
      <c r="GD111" s="139">
        <f t="shared" si="362"/>
        <v>6.7515432098765427E-2</v>
      </c>
      <c r="GE111" s="139">
        <f t="shared" si="363"/>
        <v>243.05555555555554</v>
      </c>
      <c r="GF111" s="139">
        <f t="shared" si="364"/>
        <v>4.5814043209876545E-2</v>
      </c>
      <c r="GG111" s="139">
        <f t="shared" si="527"/>
        <v>712500</v>
      </c>
      <c r="GH111" s="139">
        <f t="shared" si="365"/>
        <v>164.93055555555554</v>
      </c>
      <c r="GI111" s="137">
        <f t="shared" si="528"/>
        <v>50.15021561360593</v>
      </c>
      <c r="GJ111" s="137">
        <f t="shared" si="609"/>
        <v>0.1805407762089799</v>
      </c>
      <c r="GK111" s="251">
        <f t="shared" si="529"/>
        <v>40.154674896343344</v>
      </c>
      <c r="GL111" s="137">
        <f t="shared" si="610"/>
        <v>0.14455682962683489</v>
      </c>
      <c r="GM111" s="137">
        <f t="shared" ca="1" si="530"/>
        <v>8.8146495724153766</v>
      </c>
      <c r="GN111" s="137">
        <f t="shared" ca="1" si="611"/>
        <v>3.1732738460695104E-2</v>
      </c>
      <c r="GO111" s="137">
        <f t="shared" ca="1" si="366"/>
        <v>0.11157784268880136</v>
      </c>
      <c r="GP111" s="137">
        <f t="shared" ca="1" si="531"/>
        <v>9.9789094545788579</v>
      </c>
      <c r="GQ111" s="137">
        <f t="shared" ca="1" si="612"/>
        <v>3.5924074036483601E-2</v>
      </c>
      <c r="GR111" s="137">
        <f t="shared" ca="1" si="406"/>
        <v>0.12631530955163012</v>
      </c>
      <c r="GS111" s="140">
        <f t="shared" si="532"/>
        <v>8.6957601961762124E-2</v>
      </c>
      <c r="GT111" s="140">
        <f t="shared" si="533"/>
        <v>7.2796752127304548E-2</v>
      </c>
      <c r="GU111" s="140">
        <f t="shared" si="613"/>
        <v>313.04736706234365</v>
      </c>
      <c r="GV111" s="140">
        <f t="shared" si="614"/>
        <v>262.06830765829636</v>
      </c>
      <c r="GW111" s="141">
        <f t="shared" ca="1" si="534"/>
        <v>3.2907595093613312E-3</v>
      </c>
      <c r="GX111" s="141">
        <f t="shared" ca="1" si="535"/>
        <v>6.5419671681359636E-3</v>
      </c>
      <c r="GY111" s="141">
        <f t="shared" ca="1" si="615"/>
        <v>11.846734233700792</v>
      </c>
      <c r="GZ111" s="141">
        <f t="shared" ca="1" si="616"/>
        <v>23.551081805289471</v>
      </c>
      <c r="HA111" s="141">
        <f t="shared" ca="1" si="536"/>
        <v>1.5916941209656765E-2</v>
      </c>
      <c r="HB111" s="141">
        <f t="shared" ca="1" si="537"/>
        <v>1.8287947882450466E-2</v>
      </c>
      <c r="HC111" s="141">
        <f t="shared" ca="1" si="617"/>
        <v>57.30098835476435</v>
      </c>
      <c r="HD111" s="141">
        <f t="shared" ca="1" si="618"/>
        <v>65.836612376821677</v>
      </c>
      <c r="HE111" s="137">
        <f t="shared" si="367"/>
        <v>9.4130814659736366</v>
      </c>
      <c r="HF111" s="250">
        <f t="shared" si="368"/>
        <v>9.1912850288986743</v>
      </c>
      <c r="HG111" s="137">
        <v>3.3772931712723024</v>
      </c>
      <c r="HH111" s="251">
        <v>4.5375947373445182</v>
      </c>
      <c r="HI111" s="137">
        <f t="shared" ca="1" si="369"/>
        <v>1.4963298928017583</v>
      </c>
      <c r="HJ111" s="251">
        <f t="shared" ca="1" si="370"/>
        <v>1.6440463198936834</v>
      </c>
      <c r="HK111" s="137">
        <f t="shared" ca="1" si="371"/>
        <v>1.1298354388543712</v>
      </c>
      <c r="HL111" s="251">
        <f t="shared" ca="1" si="372"/>
        <v>0.96224070278188523</v>
      </c>
      <c r="HM111" s="137">
        <f t="shared" ca="1" si="373"/>
        <v>1.2702334768397525</v>
      </c>
      <c r="HN111" s="251">
        <f t="shared" ca="1" si="374"/>
        <v>1.1026387407672666</v>
      </c>
      <c r="HO111" s="137">
        <f t="shared" ca="1" si="375"/>
        <v>0.21014035689225644</v>
      </c>
      <c r="HP111" s="251">
        <f t="shared" ca="1" si="376"/>
        <v>0.49413398716457907</v>
      </c>
      <c r="JN111" s="143">
        <f t="shared" si="538"/>
        <v>19.228605137543443</v>
      </c>
      <c r="JO111" s="143">
        <f t="shared" si="490"/>
        <v>3377.2931712723025</v>
      </c>
      <c r="JP111" s="143">
        <f t="shared" si="539"/>
        <v>4138.4112781313706</v>
      </c>
      <c r="JQ111" s="143">
        <f t="shared" si="540"/>
        <v>1.4808487892150879</v>
      </c>
      <c r="JR111" s="143">
        <f t="shared" ca="1" si="491"/>
        <v>1.2854654470839841</v>
      </c>
      <c r="JS111" s="143">
        <f t="shared" si="541"/>
        <v>68.795336914062503</v>
      </c>
      <c r="JT111" s="143">
        <f t="shared" ca="1" si="492"/>
        <v>161.76861327548704</v>
      </c>
      <c r="JU111" s="143">
        <f t="shared" si="547"/>
        <v>0.2953750575741167</v>
      </c>
      <c r="JV111" s="143">
        <f t="shared" si="542"/>
        <v>0.36194177039209424</v>
      </c>
      <c r="JW111" s="143">
        <f t="shared" ca="1" si="543"/>
        <v>0.34789771023699639</v>
      </c>
      <c r="JX111" s="143">
        <f t="shared" ca="1" si="544"/>
        <v>0.30199605043154698</v>
      </c>
      <c r="JY111" s="143">
        <f t="shared" si="545"/>
        <v>0.73565618224948004</v>
      </c>
      <c r="JZ111" s="143">
        <f t="shared" si="546"/>
        <v>0.76235015087755609</v>
      </c>
      <c r="KA111" s="143">
        <f t="shared" si="493"/>
        <v>0.27865571469256295</v>
      </c>
      <c r="KB111" s="143">
        <f t="shared" si="494"/>
        <v>0.34145450036990027</v>
      </c>
      <c r="KC111" s="143">
        <f t="shared" ca="1" si="495"/>
        <v>0.76713469311229177</v>
      </c>
      <c r="KD111" s="143">
        <f t="shared" ca="1" si="496"/>
        <v>0.585288073175524</v>
      </c>
      <c r="KE111" s="143">
        <f t="shared" ca="1" si="497"/>
        <v>0.4481376981374135</v>
      </c>
      <c r="KF111" s="143">
        <f t="shared" ca="1" si="498"/>
        <v>0.16543443447504641</v>
      </c>
      <c r="KG111" s="142">
        <f t="shared" si="499"/>
        <v>0.14455682962683489</v>
      </c>
      <c r="KH111" s="142">
        <f t="shared" ca="1" si="500"/>
        <v>0.12631530955163012</v>
      </c>
      <c r="KI111" s="142">
        <f t="shared" ca="1" si="501"/>
        <v>382.19508965080877</v>
      </c>
      <c r="KJ111" s="142">
        <f t="shared" ca="1" si="502"/>
        <v>351.45600184040751</v>
      </c>
    </row>
    <row r="112" spans="1:296" x14ac:dyDescent="0.3">
      <c r="A112" s="200">
        <v>41487</v>
      </c>
      <c r="B112" s="196">
        <v>144</v>
      </c>
      <c r="C112" s="206">
        <v>24</v>
      </c>
      <c r="D112" s="147">
        <v>4.2</v>
      </c>
      <c r="E112" s="147">
        <v>50016</v>
      </c>
      <c r="F112" s="147">
        <v>300</v>
      </c>
      <c r="G112" s="147">
        <v>11.7</v>
      </c>
      <c r="H112" s="147">
        <v>0.85</v>
      </c>
      <c r="I112" s="147">
        <v>1.4</v>
      </c>
      <c r="J112" s="147">
        <v>1.33</v>
      </c>
      <c r="K112" s="147">
        <v>0.91</v>
      </c>
      <c r="L112" s="147">
        <v>27615.90641784668</v>
      </c>
      <c r="M112" s="150">
        <v>19</v>
      </c>
      <c r="N112" s="148">
        <v>80321.93611163646</v>
      </c>
      <c r="O112" s="185">
        <v>17</v>
      </c>
      <c r="P112" s="147">
        <v>2</v>
      </c>
      <c r="Q112" s="147">
        <v>5</v>
      </c>
      <c r="R112" s="149">
        <v>391.7955322265625</v>
      </c>
      <c r="S112" s="150">
        <v>136.49169688016991</v>
      </c>
      <c r="T112" s="147">
        <v>180</v>
      </c>
      <c r="U112" s="151">
        <v>5.3910002708435059</v>
      </c>
      <c r="V112" s="185">
        <v>17</v>
      </c>
      <c r="W112" s="147">
        <v>1250</v>
      </c>
      <c r="X112" s="150">
        <v>65287.206750452518</v>
      </c>
      <c r="Y112" s="150">
        <v>9100.6696866061538</v>
      </c>
      <c r="Z112" s="150">
        <v>277.82595825195312</v>
      </c>
      <c r="AA112" s="150">
        <v>9.8954172134399414</v>
      </c>
      <c r="AB112" s="150">
        <v>13.967325210571289</v>
      </c>
      <c r="AC112" s="214">
        <v>37</v>
      </c>
      <c r="AD112" s="214">
        <v>27.596271514892578</v>
      </c>
      <c r="AE112" s="254">
        <v>20</v>
      </c>
      <c r="AF112" s="254">
        <v>10</v>
      </c>
      <c r="AG112" s="217">
        <v>5000000</v>
      </c>
      <c r="AH112" s="218">
        <v>300000</v>
      </c>
      <c r="AI112" s="219">
        <v>5000000</v>
      </c>
      <c r="AJ112" s="225">
        <f t="shared" si="473"/>
        <v>300000</v>
      </c>
      <c r="AK112" s="220">
        <v>2750000</v>
      </c>
      <c r="AL112" s="226">
        <f t="shared" si="474"/>
        <v>300000</v>
      </c>
      <c r="AM112" s="221">
        <v>14.407</v>
      </c>
      <c r="BM112" s="197">
        <f t="shared" si="475"/>
        <v>9.4037284851074219</v>
      </c>
      <c r="BN112" s="196">
        <f t="shared" si="476"/>
        <v>180</v>
      </c>
      <c r="BO112" s="197">
        <f t="shared" si="477"/>
        <v>4.0719079971313477</v>
      </c>
      <c r="BP112" s="196">
        <f t="shared" si="472"/>
        <v>12.690051007879902</v>
      </c>
      <c r="BQ112" s="115">
        <f t="shared" si="478"/>
        <v>659.74492511188635</v>
      </c>
      <c r="BR112" s="184">
        <f t="shared" si="479"/>
        <v>1.0041987768</v>
      </c>
      <c r="BS112" s="115">
        <f t="shared" si="480"/>
        <v>6863.8528613899143</v>
      </c>
      <c r="BT112" s="196">
        <v>900</v>
      </c>
      <c r="BU112" s="115">
        <f t="shared" si="548"/>
        <v>1.1850729520000001</v>
      </c>
      <c r="BV112" s="115">
        <f t="shared" si="549"/>
        <v>1.0745811678155008</v>
      </c>
      <c r="BW112" s="115">
        <f t="shared" si="550"/>
        <v>481.69276330950061</v>
      </c>
      <c r="BX112" s="115">
        <f t="shared" si="503"/>
        <v>1158.789592849791</v>
      </c>
      <c r="BY112" s="115"/>
      <c r="BZ112" s="115">
        <f t="shared" si="504"/>
        <v>677.0968295402904</v>
      </c>
      <c r="CA112" s="115">
        <f t="shared" si="505"/>
        <v>10975.760957409164</v>
      </c>
      <c r="CB112" s="115">
        <f t="shared" si="506"/>
        <v>3346.7473379848525</v>
      </c>
      <c r="CC112" s="115">
        <f t="shared" si="507"/>
        <v>1150.6627674102783</v>
      </c>
      <c r="CD112" s="129">
        <f t="shared" si="551"/>
        <v>0.22735001193924276</v>
      </c>
      <c r="CE112" s="115">
        <f t="shared" si="508"/>
        <v>16.342703426585476</v>
      </c>
      <c r="CF112" s="115">
        <f t="shared" si="509"/>
        <v>37.914360244491647</v>
      </c>
      <c r="CG112" s="115">
        <f t="shared" si="510"/>
        <v>0.02</v>
      </c>
      <c r="CH112" s="115">
        <f t="shared" si="511"/>
        <v>0.05</v>
      </c>
      <c r="CI112" s="136">
        <v>30</v>
      </c>
      <c r="CJ112" s="115">
        <f t="shared" si="552"/>
        <v>165</v>
      </c>
      <c r="CK112" s="115">
        <f t="shared" si="512"/>
        <v>453</v>
      </c>
      <c r="CL112" s="115">
        <f t="shared" si="513"/>
        <v>664.7955322265625</v>
      </c>
      <c r="CM112" s="115">
        <f t="shared" ca="1" si="514"/>
        <v>2816.5993052117487</v>
      </c>
      <c r="CN112" s="115">
        <f t="shared" ca="1" si="553"/>
        <v>125.80344444444444</v>
      </c>
      <c r="CO112" s="115">
        <f t="shared" ca="1" si="554"/>
        <v>690.58718083896258</v>
      </c>
      <c r="CP112" s="115">
        <f t="shared" ca="1" si="555"/>
        <v>2790.6388281929471</v>
      </c>
      <c r="CQ112" s="115">
        <f t="shared" si="556"/>
        <v>1.072449112508886</v>
      </c>
      <c r="CR112" s="115">
        <f t="shared" ca="1" si="481"/>
        <v>888.05187212899943</v>
      </c>
      <c r="CS112" s="115">
        <f t="shared" ca="1" si="482"/>
        <v>43.945674243777098</v>
      </c>
      <c r="CT112" s="115">
        <f t="shared" si="557"/>
        <v>1.1220539054785958</v>
      </c>
      <c r="CU112" s="115">
        <f t="shared" ca="1" si="558"/>
        <v>1.0215824104803581</v>
      </c>
      <c r="CV112" s="115">
        <f t="shared" si="360"/>
        <v>204.0968295402904</v>
      </c>
      <c r="CW112" s="115">
        <f t="shared" si="559"/>
        <v>473</v>
      </c>
      <c r="CX112" s="115">
        <f t="shared" si="560"/>
        <v>438</v>
      </c>
      <c r="CY112" s="115">
        <f t="shared" ca="1" si="561"/>
        <v>429.05432575622291</v>
      </c>
      <c r="CZ112" s="115">
        <f t="shared" ca="1" si="562"/>
        <v>235.74120647033959</v>
      </c>
      <c r="DA112" s="115">
        <v>0.21890000000000001</v>
      </c>
      <c r="DB112" s="115">
        <v>2.7E-2</v>
      </c>
      <c r="DC112" s="115">
        <v>1.06</v>
      </c>
      <c r="DD112" s="138">
        <f t="shared" si="515"/>
        <v>12.053406488982356</v>
      </c>
      <c r="DE112" s="138">
        <f t="shared" si="563"/>
        <v>12.053406488982356</v>
      </c>
      <c r="DF112" s="115">
        <f t="shared" si="564"/>
        <v>664.7955322265625</v>
      </c>
      <c r="DG112" s="115">
        <v>677.0968295402904</v>
      </c>
      <c r="DH112" s="115">
        <f t="shared" si="565"/>
        <v>1.1220539054785958</v>
      </c>
      <c r="DI112" s="115">
        <f t="shared" si="566"/>
        <v>1.1253586360900945</v>
      </c>
      <c r="DJ112" s="138">
        <f t="shared" si="483"/>
        <v>2.7520851846080077</v>
      </c>
      <c r="DK112" s="138">
        <f t="shared" si="484"/>
        <v>2.908079583746805</v>
      </c>
      <c r="DL112" s="115">
        <f t="shared" si="567"/>
        <v>664.7955322265625</v>
      </c>
      <c r="DM112" s="115">
        <f t="shared" si="471"/>
        <v>677.0968295402904</v>
      </c>
      <c r="DN112" s="115">
        <f t="shared" si="568"/>
        <v>12.805415107951537</v>
      </c>
      <c r="DO112" s="115">
        <f t="shared" si="569"/>
        <v>1.1220539054785958</v>
      </c>
      <c r="DP112" s="115">
        <f t="shared" si="570"/>
        <v>1.1253586360900945</v>
      </c>
      <c r="DQ112" s="115">
        <v>298.14999999999998</v>
      </c>
      <c r="DR112" s="138">
        <f t="shared" si="571"/>
        <v>1.8328887329489332</v>
      </c>
      <c r="DS112" s="138">
        <f t="shared" si="572"/>
        <v>1.936781002775372</v>
      </c>
      <c r="DT112" s="115">
        <f t="shared" si="573"/>
        <v>664.7955322265625</v>
      </c>
      <c r="DU112" s="139">
        <f t="shared" si="422"/>
        <v>6.4219349039877063</v>
      </c>
      <c r="DV112" s="115">
        <f t="shared" si="574"/>
        <v>1.1220539054785958</v>
      </c>
      <c r="DW112" s="115">
        <v>298.14999999999998</v>
      </c>
      <c r="DX112" s="138">
        <f t="shared" si="485"/>
        <v>0.91919645165907449</v>
      </c>
      <c r="DY112" s="138">
        <f t="shared" si="486"/>
        <v>0.97129858097143262</v>
      </c>
      <c r="DZ112" s="138">
        <f t="shared" si="575"/>
        <v>3.3467473379848527</v>
      </c>
      <c r="EA112" s="138">
        <f t="shared" si="576"/>
        <v>4.11190809601925</v>
      </c>
      <c r="EB112" s="115">
        <f t="shared" si="577"/>
        <v>37.914360244491647</v>
      </c>
      <c r="EC112" s="115">
        <v>30</v>
      </c>
      <c r="ED112" s="198">
        <f t="shared" ca="1" si="578"/>
        <v>125.80344444444444</v>
      </c>
      <c r="EE112" s="198">
        <v>104.83</v>
      </c>
      <c r="EF112" s="198">
        <f t="shared" ca="1" si="579"/>
        <v>0.42491111111111107</v>
      </c>
      <c r="EG112" s="199">
        <v>0.36720000000000003</v>
      </c>
      <c r="EH112" s="138">
        <f t="shared" ca="1" si="580"/>
        <v>0.1428187189365705</v>
      </c>
      <c r="EI112" s="138">
        <f t="shared" ca="1" si="581"/>
        <v>0.1428187189365705</v>
      </c>
      <c r="EJ112" s="115">
        <f t="shared" si="582"/>
        <v>12.805415107951537</v>
      </c>
      <c r="EK112" s="115">
        <v>435</v>
      </c>
      <c r="EL112" s="115">
        <f t="shared" ca="1" si="583"/>
        <v>429.05432575622291</v>
      </c>
      <c r="EM112" s="115">
        <f t="shared" ca="1" si="584"/>
        <v>1.0637160223540618</v>
      </c>
      <c r="EN112" s="115">
        <f t="shared" ca="1" si="585"/>
        <v>1.0619062804176975</v>
      </c>
      <c r="EO112" s="115">
        <v>298.14999999999998</v>
      </c>
      <c r="EP112" s="138">
        <f t="shared" ca="1" si="586"/>
        <v>0.32996354855263671</v>
      </c>
      <c r="EQ112" s="138">
        <f t="shared" ca="1" si="587"/>
        <v>0.30434908757156043</v>
      </c>
      <c r="ER112" s="115">
        <f t="shared" si="588"/>
        <v>1.4975000752343073</v>
      </c>
      <c r="ES112" s="115">
        <f t="shared" si="589"/>
        <v>453</v>
      </c>
      <c r="ET112" s="115">
        <f t="shared" ca="1" si="516"/>
        <v>2816.5993052117487</v>
      </c>
      <c r="EU112" s="115">
        <f t="shared" ca="1" si="517"/>
        <v>6.5855309782608691</v>
      </c>
      <c r="EV112" s="138">
        <f t="shared" ca="1" si="590"/>
        <v>1.284516515788825</v>
      </c>
      <c r="EW112" s="138">
        <f t="shared" ca="1" si="487"/>
        <v>1.0949891859871252</v>
      </c>
      <c r="EX112" s="115">
        <v>21.47</v>
      </c>
      <c r="EY112" s="115">
        <f t="shared" ca="1" si="518"/>
        <v>115.57790698666042</v>
      </c>
      <c r="EZ112" s="115">
        <f t="shared" ca="1" si="519"/>
        <v>0.39139245279100204</v>
      </c>
      <c r="FA112" s="138">
        <f t="shared" ca="1" si="591"/>
        <v>7.5894886705387549E-2</v>
      </c>
      <c r="FB112" s="138">
        <f t="shared" ca="1" si="592"/>
        <v>7.5894886705387549E-2</v>
      </c>
      <c r="FC112" s="115">
        <f t="shared" si="593"/>
        <v>21.47</v>
      </c>
      <c r="FD112" s="115">
        <v>37</v>
      </c>
      <c r="FE112" s="115">
        <f t="shared" ca="1" si="594"/>
        <v>154.93355555555553</v>
      </c>
      <c r="FF112" s="115">
        <f t="shared" ca="1" si="595"/>
        <v>0.52252222222222222</v>
      </c>
      <c r="FG112" s="138">
        <f t="shared" ca="1" si="596"/>
        <v>8.1462225449999703E-2</v>
      </c>
      <c r="FH112" s="138">
        <f t="shared" ca="1" si="597"/>
        <v>8.1462225449999703E-2</v>
      </c>
      <c r="FI112" s="115">
        <f t="shared" si="598"/>
        <v>77.791268310546883</v>
      </c>
      <c r="FJ112" s="115">
        <f t="shared" ca="1" si="520"/>
        <v>41.497864973492099</v>
      </c>
      <c r="FK112" s="115">
        <f t="shared" ca="1" si="521"/>
        <v>0.1445638733651903</v>
      </c>
      <c r="FL112" s="138">
        <f t="shared" ca="1" si="599"/>
        <v>0.23701646894801409</v>
      </c>
      <c r="FM112" s="138">
        <f t="shared" ca="1" si="488"/>
        <v>0.49177153828712783</v>
      </c>
      <c r="FN112" s="115">
        <f t="shared" si="600"/>
        <v>77.791268310546883</v>
      </c>
      <c r="FO112" s="115">
        <f t="shared" ca="1" si="522"/>
        <v>58.539252375708692</v>
      </c>
      <c r="FP112" s="115">
        <f t="shared" ca="1" si="523"/>
        <v>0.20134436821407742</v>
      </c>
      <c r="FQ112" s="138">
        <f t="shared" ca="1" si="601"/>
        <v>0.24575109527194941</v>
      </c>
      <c r="FR112" s="138">
        <f t="shared" ca="1" si="489"/>
        <v>0.50989450097723121</v>
      </c>
      <c r="FS112" s="139">
        <f t="shared" si="602"/>
        <v>5.9545739663894945</v>
      </c>
      <c r="FT112" s="249">
        <f t="shared" si="603"/>
        <v>5.0334188092163012</v>
      </c>
      <c r="FU112" s="139">
        <f t="shared" ca="1" si="604"/>
        <v>0.36122738754404193</v>
      </c>
      <c r="FV112" s="249">
        <f t="shared" ca="1" si="605"/>
        <v>0.68026144815325695</v>
      </c>
      <c r="FW112" s="139">
        <f t="shared" ca="1" si="606"/>
        <v>1.2876838033681481</v>
      </c>
      <c r="FX112" s="249">
        <f t="shared" ca="1" si="607"/>
        <v>1.1075448099326164</v>
      </c>
      <c r="FY112" s="249">
        <f t="shared" si="524"/>
        <v>0.15000000000000002</v>
      </c>
      <c r="FZ112" s="139">
        <f t="shared" si="525"/>
        <v>1050000</v>
      </c>
      <c r="GA112" s="139">
        <f t="shared" si="608"/>
        <v>3.3757716049382713E-2</v>
      </c>
      <c r="GB112" s="139">
        <f t="shared" si="361"/>
        <v>121.52777777777777</v>
      </c>
      <c r="GC112" s="139">
        <f t="shared" si="526"/>
        <v>1050000</v>
      </c>
      <c r="GD112" s="139">
        <f t="shared" si="362"/>
        <v>6.7515432098765427E-2</v>
      </c>
      <c r="GE112" s="139">
        <f t="shared" si="363"/>
        <v>243.05555555555554</v>
      </c>
      <c r="GF112" s="139">
        <f t="shared" si="364"/>
        <v>4.5814043209876545E-2</v>
      </c>
      <c r="GG112" s="139">
        <f t="shared" si="527"/>
        <v>712500</v>
      </c>
      <c r="GH112" s="139">
        <f t="shared" si="365"/>
        <v>164.93055555555554</v>
      </c>
      <c r="GI112" s="137">
        <f t="shared" si="528"/>
        <v>50.126835144512853</v>
      </c>
      <c r="GJ112" s="137">
        <f t="shared" si="609"/>
        <v>0.18045660652024484</v>
      </c>
      <c r="GK112" s="251">
        <f t="shared" si="529"/>
        <v>40.252465986130943</v>
      </c>
      <c r="GL112" s="137">
        <f t="shared" si="610"/>
        <v>0.14490887755007023</v>
      </c>
      <c r="GM112" s="137">
        <f t="shared" ca="1" si="530"/>
        <v>9.0103027473864596</v>
      </c>
      <c r="GN112" s="137">
        <f t="shared" ca="1" si="611"/>
        <v>3.2437089890590999E-2</v>
      </c>
      <c r="GO112" s="137">
        <f t="shared" ca="1" si="366"/>
        <v>0.11405446515678974</v>
      </c>
      <c r="GP112" s="137">
        <f t="shared" ca="1" si="531"/>
        <v>9.9305121765132487</v>
      </c>
      <c r="GQ112" s="137">
        <f t="shared" ca="1" si="612"/>
        <v>3.5749843835447409E-2</v>
      </c>
      <c r="GR112" s="137">
        <f t="shared" ca="1" si="406"/>
        <v>0.12570268577864771</v>
      </c>
      <c r="GS112" s="140">
        <f t="shared" si="532"/>
        <v>8.5787547133773456E-2</v>
      </c>
      <c r="GT112" s="140">
        <f t="shared" si="533"/>
        <v>7.2516464784379245E-2</v>
      </c>
      <c r="GU112" s="140">
        <f t="shared" si="613"/>
        <v>308.83516968158443</v>
      </c>
      <c r="GV112" s="140">
        <f t="shared" si="614"/>
        <v>261.05927322376527</v>
      </c>
      <c r="GW112" s="141">
        <f t="shared" ca="1" si="534"/>
        <v>3.4659991795831097E-3</v>
      </c>
      <c r="GX112" s="141">
        <f t="shared" ca="1" si="535"/>
        <v>6.527150771240285E-3</v>
      </c>
      <c r="GY112" s="141">
        <f t="shared" ca="1" si="615"/>
        <v>12.477597046499195</v>
      </c>
      <c r="GZ112" s="141">
        <f t="shared" ca="1" si="616"/>
        <v>23.497742776465024</v>
      </c>
      <c r="HA112" s="141">
        <f t="shared" ca="1" si="536"/>
        <v>1.6264593648513723E-2</v>
      </c>
      <c r="HB112" s="141">
        <f t="shared" ca="1" si="537"/>
        <v>1.8219206636554779E-2</v>
      </c>
      <c r="HC112" s="141">
        <f t="shared" ca="1" si="617"/>
        <v>58.552537134649398</v>
      </c>
      <c r="HD112" s="141">
        <f t="shared" ca="1" si="618"/>
        <v>65.589143891597203</v>
      </c>
      <c r="HE112" s="137">
        <f t="shared" si="367"/>
        <v>9.3013213043743477</v>
      </c>
      <c r="HF112" s="250">
        <f t="shared" si="368"/>
        <v>9.1453269052355513</v>
      </c>
      <c r="HG112" s="137">
        <v>3.3467473379848527</v>
      </c>
      <c r="HH112" s="251">
        <v>4.3922031493512952</v>
      </c>
      <c r="HI112" s="137">
        <f t="shared" ca="1" si="369"/>
        <v>1.5285396453773727</v>
      </c>
      <c r="HJ112" s="251">
        <f t="shared" ca="1" si="370"/>
        <v>1.6324319152038116</v>
      </c>
      <c r="HK112" s="137">
        <f t="shared" ca="1" si="371"/>
        <v>1.1416977968522546</v>
      </c>
      <c r="HL112" s="251">
        <f t="shared" ca="1" si="372"/>
        <v>0.95217046705055475</v>
      </c>
      <c r="HM112" s="137">
        <f t="shared" ca="1" si="373"/>
        <v>1.284516515788825</v>
      </c>
      <c r="HN112" s="251">
        <f t="shared" ca="1" si="374"/>
        <v>1.0949891859871252</v>
      </c>
      <c r="HO112" s="137">
        <f t="shared" ca="1" si="375"/>
        <v>0.23701646894801409</v>
      </c>
      <c r="HP112" s="251">
        <f t="shared" ca="1" si="376"/>
        <v>0.49177153828712783</v>
      </c>
      <c r="JN112" s="143">
        <f t="shared" si="538"/>
        <v>19.227350011939244</v>
      </c>
      <c r="JO112" s="143">
        <f t="shared" si="490"/>
        <v>3346.7473379848525</v>
      </c>
      <c r="JP112" s="143">
        <f t="shared" si="539"/>
        <v>4111.9080960192496</v>
      </c>
      <c r="JQ112" s="143">
        <f t="shared" si="540"/>
        <v>1.4975000752343073</v>
      </c>
      <c r="JR112" s="143">
        <f t="shared" ca="1" si="491"/>
        <v>1.2765475322748188</v>
      </c>
      <c r="JS112" s="143">
        <f t="shared" si="541"/>
        <v>77.791268310546883</v>
      </c>
      <c r="JT112" s="143">
        <f t="shared" ca="1" si="492"/>
        <v>161.40452961846759</v>
      </c>
      <c r="JU112" s="143">
        <f t="shared" si="547"/>
        <v>0.29431946740588649</v>
      </c>
      <c r="JV112" s="143">
        <f t="shared" si="542"/>
        <v>0.36160919203749459</v>
      </c>
      <c r="JW112" s="143">
        <f t="shared" ca="1" si="543"/>
        <v>0.35374810329821899</v>
      </c>
      <c r="JX112" s="143">
        <f t="shared" ca="1" si="544"/>
        <v>0.30155341944913289</v>
      </c>
      <c r="JY112" s="143">
        <f t="shared" si="545"/>
        <v>0.72639072271490224</v>
      </c>
      <c r="JZ112" s="143">
        <f t="shared" si="546"/>
        <v>0.72380148146898848</v>
      </c>
      <c r="KA112" s="143">
        <f t="shared" si="493"/>
        <v>0.27765987491121374</v>
      </c>
      <c r="KB112" s="143">
        <f t="shared" si="494"/>
        <v>0.34114074720518367</v>
      </c>
      <c r="KC112" s="143">
        <f t="shared" ca="1" si="495"/>
        <v>0.75965045280072152</v>
      </c>
      <c r="KD112" s="143">
        <f t="shared" ca="1" si="496"/>
        <v>0.5832834179376325</v>
      </c>
      <c r="KE112" s="143">
        <f t="shared" ca="1" si="497"/>
        <v>0.44911086299340863</v>
      </c>
      <c r="KF112" s="143">
        <f t="shared" ca="1" si="498"/>
        <v>0.18451803930482097</v>
      </c>
      <c r="KG112" s="142">
        <f t="shared" si="499"/>
        <v>0.14490887755007023</v>
      </c>
      <c r="KH112" s="142">
        <f t="shared" ca="1" si="500"/>
        <v>0.12570268577864771</v>
      </c>
      <c r="KI112" s="142">
        <f t="shared" ca="1" si="501"/>
        <v>379.86530386273301</v>
      </c>
      <c r="KJ112" s="142">
        <f t="shared" ca="1" si="502"/>
        <v>350.14615989182749</v>
      </c>
    </row>
    <row r="113" spans="1:296" x14ac:dyDescent="0.3">
      <c r="A113" s="201">
        <v>41488</v>
      </c>
      <c r="B113" s="196">
        <v>145</v>
      </c>
      <c r="C113" s="179">
        <v>24</v>
      </c>
      <c r="D113" s="152">
        <v>4.2</v>
      </c>
      <c r="E113" s="152">
        <v>50016</v>
      </c>
      <c r="F113" s="152">
        <v>300</v>
      </c>
      <c r="G113" s="152">
        <v>11.7</v>
      </c>
      <c r="H113" s="152">
        <v>0.85</v>
      </c>
      <c r="I113" s="152">
        <v>1.4</v>
      </c>
      <c r="J113" s="152">
        <v>1.33</v>
      </c>
      <c r="K113" s="152">
        <v>0.91</v>
      </c>
      <c r="L113" s="152">
        <v>27025.291972205043</v>
      </c>
      <c r="M113" s="155">
        <v>19</v>
      </c>
      <c r="N113" s="153">
        <v>77994.836111806333</v>
      </c>
      <c r="O113" s="178">
        <v>17</v>
      </c>
      <c r="P113" s="152">
        <v>2</v>
      </c>
      <c r="Q113" s="152">
        <v>5</v>
      </c>
      <c r="R113" s="154">
        <v>384.1834716796875</v>
      </c>
      <c r="S113" s="155">
        <v>126.89928123124992</v>
      </c>
      <c r="T113" s="152">
        <v>180</v>
      </c>
      <c r="U113" s="156">
        <v>5.0283732414245605</v>
      </c>
      <c r="V113" s="178">
        <v>17</v>
      </c>
      <c r="W113" s="152">
        <v>1250</v>
      </c>
      <c r="X113" s="155">
        <v>63675.976662009954</v>
      </c>
      <c r="Y113" s="155">
        <v>7200.6273168940097</v>
      </c>
      <c r="Z113" s="155">
        <v>276.9749755859375</v>
      </c>
      <c r="AA113" s="155">
        <v>9.3102293014526367</v>
      </c>
      <c r="AB113" s="155">
        <v>13.066950798034668</v>
      </c>
      <c r="AC113" s="215">
        <v>37</v>
      </c>
      <c r="AD113" s="215">
        <v>27.054723739624023</v>
      </c>
      <c r="AE113" s="254">
        <v>20</v>
      </c>
      <c r="AF113" s="254">
        <v>10</v>
      </c>
      <c r="AG113" s="217">
        <v>5000000</v>
      </c>
      <c r="AH113" s="218">
        <v>300000</v>
      </c>
      <c r="AI113" s="219">
        <v>5000000</v>
      </c>
      <c r="AJ113" s="225">
        <f t="shared" si="473"/>
        <v>300000</v>
      </c>
      <c r="AK113" s="220">
        <v>2750000</v>
      </c>
      <c r="AL113" s="226">
        <f t="shared" si="474"/>
        <v>300000</v>
      </c>
      <c r="AM113" s="221">
        <v>14.407</v>
      </c>
      <c r="BK113" s="283"/>
      <c r="BM113" s="197">
        <f t="shared" si="475"/>
        <v>9.9452762603759766</v>
      </c>
      <c r="BN113" s="196">
        <f t="shared" si="476"/>
        <v>180</v>
      </c>
      <c r="BO113" s="197">
        <f t="shared" si="477"/>
        <v>3.7567214965820313</v>
      </c>
      <c r="BP113" s="196">
        <f t="shared" si="472"/>
        <v>12.686841904709574</v>
      </c>
      <c r="BQ113" s="115">
        <f t="shared" si="478"/>
        <v>659.74492511188635</v>
      </c>
      <c r="BR113" s="184">
        <f t="shared" si="479"/>
        <v>1.0041987768</v>
      </c>
      <c r="BS113" s="115">
        <f t="shared" si="480"/>
        <v>6863.8528613899143</v>
      </c>
      <c r="BT113" s="196">
        <v>900</v>
      </c>
      <c r="BU113" s="115">
        <f t="shared" si="548"/>
        <v>1.1850729520000001</v>
      </c>
      <c r="BV113" s="115">
        <f t="shared" si="549"/>
        <v>1.0735037960625937</v>
      </c>
      <c r="BW113" s="115">
        <f t="shared" si="550"/>
        <v>477.30751967979018</v>
      </c>
      <c r="BX113" s="115">
        <f t="shared" si="503"/>
        <v>1148.2401823805408</v>
      </c>
      <c r="BY113" s="115"/>
      <c r="BZ113" s="115">
        <f t="shared" si="504"/>
        <v>670.9326627007506</v>
      </c>
      <c r="CA113" s="115">
        <f t="shared" si="505"/>
        <v>10873.089299332023</v>
      </c>
      <c r="CB113" s="115">
        <f t="shared" si="506"/>
        <v>3249.7848379919305</v>
      </c>
      <c r="CC113" s="115">
        <f t="shared" si="507"/>
        <v>1126.0538321752101</v>
      </c>
      <c r="CD113" s="129">
        <f t="shared" si="551"/>
        <v>0.2224877344084448</v>
      </c>
      <c r="CE113" s="115">
        <f t="shared" si="508"/>
        <v>16.292645622702207</v>
      </c>
      <c r="CF113" s="115">
        <f t="shared" si="509"/>
        <v>35.24980034201387</v>
      </c>
      <c r="CG113" s="115">
        <f t="shared" si="510"/>
        <v>0.02</v>
      </c>
      <c r="CH113" s="115">
        <f t="shared" si="511"/>
        <v>0.05</v>
      </c>
      <c r="CI113" s="136">
        <v>30</v>
      </c>
      <c r="CJ113" s="115">
        <f t="shared" si="552"/>
        <v>165</v>
      </c>
      <c r="CK113" s="115">
        <f t="shared" si="512"/>
        <v>453</v>
      </c>
      <c r="CL113" s="115">
        <f t="shared" si="513"/>
        <v>657.1834716796875</v>
      </c>
      <c r="CM113" s="115">
        <f t="shared" ca="1" si="514"/>
        <v>2816.5993052117487</v>
      </c>
      <c r="CN113" s="115">
        <f t="shared" ca="1" si="553"/>
        <v>125.80344444444444</v>
      </c>
      <c r="CO113" s="115">
        <f t="shared" ca="1" si="554"/>
        <v>690.58718083896258</v>
      </c>
      <c r="CP113" s="115">
        <f t="shared" ca="1" si="555"/>
        <v>2790.6388281929471</v>
      </c>
      <c r="CQ113" s="115">
        <f t="shared" si="556"/>
        <v>1.072449112508886</v>
      </c>
      <c r="CR113" s="115">
        <f t="shared" ca="1" si="481"/>
        <v>828.31683295607706</v>
      </c>
      <c r="CS113" s="115">
        <f t="shared" ca="1" si="482"/>
        <v>41.000025309956541</v>
      </c>
      <c r="CT113" s="115">
        <f t="shared" si="557"/>
        <v>1.1200129532210314</v>
      </c>
      <c r="CU113" s="115">
        <f t="shared" ca="1" si="558"/>
        <v>1.0197295176506622</v>
      </c>
      <c r="CV113" s="115">
        <f t="shared" si="360"/>
        <v>197.9326627007506</v>
      </c>
      <c r="CW113" s="115">
        <f t="shared" si="559"/>
        <v>473</v>
      </c>
      <c r="CX113" s="115">
        <f t="shared" si="560"/>
        <v>438</v>
      </c>
      <c r="CY113" s="115">
        <f t="shared" ca="1" si="561"/>
        <v>431.99997469004347</v>
      </c>
      <c r="CZ113" s="115">
        <f t="shared" ca="1" si="562"/>
        <v>225.18349698964403</v>
      </c>
      <c r="DA113" s="115">
        <v>0.21890000000000001</v>
      </c>
      <c r="DB113" s="115">
        <v>2.7E-2</v>
      </c>
      <c r="DC113" s="115">
        <v>1.06</v>
      </c>
      <c r="DD113" s="138">
        <f t="shared" si="515"/>
        <v>11.795623315623141</v>
      </c>
      <c r="DE113" s="138">
        <f t="shared" si="563"/>
        <v>11.795623315623141</v>
      </c>
      <c r="DF113" s="115">
        <f t="shared" si="564"/>
        <v>657.1834716796875</v>
      </c>
      <c r="DG113" s="115">
        <v>670.9326627007506</v>
      </c>
      <c r="DH113" s="115">
        <f t="shared" si="565"/>
        <v>1.1200129532210314</v>
      </c>
      <c r="DI113" s="115">
        <f t="shared" si="566"/>
        <v>1.123701699597691</v>
      </c>
      <c r="DJ113" s="138">
        <f t="shared" si="483"/>
        <v>2.6564243005683292</v>
      </c>
      <c r="DK113" s="138">
        <f t="shared" si="484"/>
        <v>2.828813794427679</v>
      </c>
      <c r="DL113" s="115">
        <f t="shared" si="567"/>
        <v>657.1834716796875</v>
      </c>
      <c r="DM113" s="115">
        <f t="shared" si="471"/>
        <v>670.9326627007506</v>
      </c>
      <c r="DN113" s="115">
        <f t="shared" si="568"/>
        <v>12.802176831116025</v>
      </c>
      <c r="DO113" s="115">
        <f t="shared" si="569"/>
        <v>1.1200129532210314</v>
      </c>
      <c r="DP113" s="115">
        <f t="shared" si="570"/>
        <v>1.123701699597691</v>
      </c>
      <c r="DQ113" s="115">
        <v>298.14999999999998</v>
      </c>
      <c r="DR113" s="138">
        <f t="shared" si="571"/>
        <v>1.7691785841785075</v>
      </c>
      <c r="DS113" s="138">
        <f t="shared" si="572"/>
        <v>1.8839899870888341</v>
      </c>
      <c r="DT113" s="115">
        <f t="shared" si="573"/>
        <v>657.1834716796875</v>
      </c>
      <c r="DU113" s="139">
        <f t="shared" si="422"/>
        <v>6.420310903292421</v>
      </c>
      <c r="DV113" s="115">
        <f t="shared" si="574"/>
        <v>1.1200129532210314</v>
      </c>
      <c r="DW113" s="115">
        <v>298.14999999999998</v>
      </c>
      <c r="DX113" s="138">
        <f t="shared" si="485"/>
        <v>0.88724571638982208</v>
      </c>
      <c r="DY113" s="138">
        <f t="shared" si="486"/>
        <v>0.94482380733884475</v>
      </c>
      <c r="DZ113" s="138">
        <f t="shared" si="575"/>
        <v>3.2497848379919305</v>
      </c>
      <c r="EA113" s="138">
        <f t="shared" si="576"/>
        <v>4.0092364379421088</v>
      </c>
      <c r="EB113" s="115">
        <f t="shared" si="577"/>
        <v>35.24980034201387</v>
      </c>
      <c r="EC113" s="115">
        <v>30</v>
      </c>
      <c r="ED113" s="198">
        <f t="shared" ca="1" si="578"/>
        <v>125.80344444444444</v>
      </c>
      <c r="EE113" s="198">
        <v>104.83</v>
      </c>
      <c r="EF113" s="198">
        <f t="shared" ca="1" si="579"/>
        <v>0.42491111111111107</v>
      </c>
      <c r="EG113" s="199">
        <v>0.36720000000000003</v>
      </c>
      <c r="EH113" s="138">
        <f t="shared" ca="1" si="580"/>
        <v>0.13278165041299131</v>
      </c>
      <c r="EI113" s="138">
        <f t="shared" ca="1" si="581"/>
        <v>0.13278165041299131</v>
      </c>
      <c r="EJ113" s="115">
        <f t="shared" si="582"/>
        <v>12.802176831116025</v>
      </c>
      <c r="EK113" s="115">
        <v>435</v>
      </c>
      <c r="EL113" s="115">
        <f t="shared" ca="1" si="583"/>
        <v>431.99997469004347</v>
      </c>
      <c r="EM113" s="115">
        <f t="shared" ca="1" si="584"/>
        <v>1.063515466455988</v>
      </c>
      <c r="EN113" s="115">
        <f t="shared" ca="1" si="585"/>
        <v>1.0625999225625269</v>
      </c>
      <c r="EO113" s="115">
        <v>298.14999999999998</v>
      </c>
      <c r="EP113" s="138">
        <f t="shared" ca="1" si="586"/>
        <v>0.32981790976240821</v>
      </c>
      <c r="EQ113" s="138">
        <f t="shared" ca="1" si="587"/>
        <v>0.31679179802926011</v>
      </c>
      <c r="ER113" s="115">
        <f t="shared" si="588"/>
        <v>1.3967703448401558</v>
      </c>
      <c r="ES113" s="115">
        <f t="shared" si="589"/>
        <v>453</v>
      </c>
      <c r="ET113" s="115">
        <f t="shared" ca="1" si="516"/>
        <v>2816.5993052117487</v>
      </c>
      <c r="EU113" s="115">
        <f t="shared" ca="1" si="517"/>
        <v>6.5855309782608691</v>
      </c>
      <c r="EV113" s="138">
        <f t="shared" ca="1" si="590"/>
        <v>1.1981131796808131</v>
      </c>
      <c r="EW113" s="138">
        <f t="shared" ca="1" si="487"/>
        <v>1.0597185163506166</v>
      </c>
      <c r="EX113" s="115">
        <v>21.47</v>
      </c>
      <c r="EY113" s="115">
        <f t="shared" ca="1" si="518"/>
        <v>113.31146937518649</v>
      </c>
      <c r="EZ113" s="115">
        <f t="shared" ca="1" si="519"/>
        <v>0.38384086992475719</v>
      </c>
      <c r="FA113" s="138">
        <f t="shared" ca="1" si="591"/>
        <v>7.5574271332869522E-2</v>
      </c>
      <c r="FB113" s="138">
        <f t="shared" ca="1" si="592"/>
        <v>7.5574271332869522E-2</v>
      </c>
      <c r="FC113" s="115">
        <f t="shared" si="593"/>
        <v>21.47</v>
      </c>
      <c r="FD113" s="115">
        <v>37</v>
      </c>
      <c r="FE113" s="115">
        <f t="shared" ca="1" si="594"/>
        <v>154.93355555555553</v>
      </c>
      <c r="FF113" s="115">
        <f t="shared" ca="1" si="595"/>
        <v>0.52252222222222222</v>
      </c>
      <c r="FG113" s="138">
        <f t="shared" ca="1" si="596"/>
        <v>8.1462225449999703E-2</v>
      </c>
      <c r="FH113" s="138">
        <f t="shared" ca="1" si="597"/>
        <v>8.1462225449999703E-2</v>
      </c>
      <c r="FI113" s="115">
        <f t="shared" si="598"/>
        <v>77.552993164062514</v>
      </c>
      <c r="FJ113" s="115">
        <f t="shared" ca="1" si="520"/>
        <v>39.04878854094612</v>
      </c>
      <c r="FK113" s="115">
        <f t="shared" ca="1" si="521"/>
        <v>0.1364037530369229</v>
      </c>
      <c r="FL113" s="138">
        <f t="shared" ca="1" si="599"/>
        <v>0.23503904773630049</v>
      </c>
      <c r="FM113" s="138">
        <f t="shared" ca="1" si="488"/>
        <v>0.49850285900455477</v>
      </c>
      <c r="FN113" s="115">
        <f t="shared" si="600"/>
        <v>77.552993164062514</v>
      </c>
      <c r="FO113" s="115">
        <f t="shared" ca="1" si="522"/>
        <v>54.771085417641537</v>
      </c>
      <c r="FP113" s="115">
        <f t="shared" ca="1" si="523"/>
        <v>0.18878914723926121</v>
      </c>
      <c r="FQ113" s="138">
        <f t="shared" ca="1" si="601"/>
        <v>0.24307288601599278</v>
      </c>
      <c r="FR113" s="138">
        <f t="shared" ca="1" si="489"/>
        <v>0.51554211860749555</v>
      </c>
      <c r="FS113" s="139">
        <f t="shared" si="602"/>
        <v>5.8894141770628821</v>
      </c>
      <c r="FT113" s="249">
        <f t="shared" si="603"/>
        <v>4.9575730832533527</v>
      </c>
      <c r="FU113" s="139">
        <f t="shared" ca="1" si="604"/>
        <v>0.37402914514827734</v>
      </c>
      <c r="FV113" s="249">
        <f t="shared" ca="1" si="605"/>
        <v>0.64026132312194872</v>
      </c>
      <c r="FW113" s="139">
        <f t="shared" ca="1" si="606"/>
        <v>1.2002590638433752</v>
      </c>
      <c r="FX113" s="249">
        <f t="shared" ca="1" si="607"/>
        <v>1.0708698218364272</v>
      </c>
      <c r="FY113" s="249">
        <f t="shared" si="524"/>
        <v>0.15000000000000002</v>
      </c>
      <c r="FZ113" s="139">
        <f t="shared" si="525"/>
        <v>1050000</v>
      </c>
      <c r="GA113" s="139">
        <f t="shared" si="608"/>
        <v>3.3757716049382713E-2</v>
      </c>
      <c r="GB113" s="139">
        <f t="shared" si="361"/>
        <v>121.52777777777777</v>
      </c>
      <c r="GC113" s="139">
        <f t="shared" si="526"/>
        <v>1050000</v>
      </c>
      <c r="GD113" s="139">
        <f t="shared" si="362"/>
        <v>6.7515432098765427E-2</v>
      </c>
      <c r="GE113" s="139">
        <f t="shared" si="363"/>
        <v>243.05555555555554</v>
      </c>
      <c r="GF113" s="139">
        <f t="shared" si="364"/>
        <v>4.5814043209876545E-2</v>
      </c>
      <c r="GG113" s="139">
        <f t="shared" si="527"/>
        <v>712500</v>
      </c>
      <c r="GH113" s="139">
        <f t="shared" si="365"/>
        <v>164.93055555555554</v>
      </c>
      <c r="GI113" s="137">
        <f t="shared" si="528"/>
        <v>50.903725786811044</v>
      </c>
      <c r="GJ113" s="137">
        <f t="shared" si="609"/>
        <v>0.18325341283251831</v>
      </c>
      <c r="GK113" s="251">
        <f t="shared" si="529"/>
        <v>40.64178886513416</v>
      </c>
      <c r="GL113" s="137">
        <f t="shared" si="610"/>
        <v>0.14631043991448181</v>
      </c>
      <c r="GM113" s="137">
        <f t="shared" ca="1" si="530"/>
        <v>8.8352712910474303</v>
      </c>
      <c r="GN113" s="137">
        <f t="shared" ca="1" si="611"/>
        <v>3.1806976647770498E-2</v>
      </c>
      <c r="GO113" s="137">
        <f t="shared" ca="1" si="366"/>
        <v>0.11183887710186532</v>
      </c>
      <c r="GP113" s="137">
        <f t="shared" ca="1" si="531"/>
        <v>9.7696625508513062</v>
      </c>
      <c r="GQ113" s="137">
        <f t="shared" ca="1" si="612"/>
        <v>3.5170785183064421E-2</v>
      </c>
      <c r="GR113" s="137">
        <f t="shared" ca="1" si="406"/>
        <v>0.12366661456773707</v>
      </c>
      <c r="GS113" s="140">
        <f t="shared" si="532"/>
        <v>8.4848790048944953E-2</v>
      </c>
      <c r="GT113" s="140">
        <f t="shared" si="533"/>
        <v>7.1423755410431056E-2</v>
      </c>
      <c r="GU113" s="140">
        <f t="shared" si="613"/>
        <v>305.45564417620182</v>
      </c>
      <c r="GV113" s="140">
        <f t="shared" si="614"/>
        <v>257.12551947755179</v>
      </c>
      <c r="GW113" s="141">
        <f t="shared" ca="1" si="534"/>
        <v>3.5888328375047198E-3</v>
      </c>
      <c r="GX113" s="141">
        <f t="shared" ca="1" si="535"/>
        <v>6.1433470915571303E-3</v>
      </c>
      <c r="GY113" s="141">
        <f t="shared" ca="1" si="615"/>
        <v>12.919798215016991</v>
      </c>
      <c r="GZ113" s="141">
        <f t="shared" ca="1" si="616"/>
        <v>22.116049529605668</v>
      </c>
      <c r="HA113" s="141">
        <f t="shared" ca="1" si="536"/>
        <v>1.555992975473188E-2</v>
      </c>
      <c r="HB113" s="141">
        <f t="shared" ca="1" si="537"/>
        <v>1.73723364284737E-2</v>
      </c>
      <c r="HC113" s="141">
        <f t="shared" ca="1" si="617"/>
        <v>56.015747117034763</v>
      </c>
      <c r="HD113" s="141">
        <f t="shared" ca="1" si="618"/>
        <v>62.54041114250532</v>
      </c>
      <c r="HE113" s="137">
        <f t="shared" si="367"/>
        <v>9.1391990150548121</v>
      </c>
      <c r="HF113" s="250">
        <f t="shared" si="368"/>
        <v>8.9668095211954615</v>
      </c>
      <c r="HG113" s="137">
        <v>3.2497848379919305</v>
      </c>
      <c r="HH113" s="251">
        <v>4.3224437007689867</v>
      </c>
      <c r="HI113" s="137">
        <f t="shared" ca="1" si="369"/>
        <v>1.4523867861492474</v>
      </c>
      <c r="HJ113" s="251">
        <f t="shared" ca="1" si="370"/>
        <v>1.5671981890595741</v>
      </c>
      <c r="HK113" s="137">
        <f t="shared" ca="1" si="371"/>
        <v>1.0653315292678218</v>
      </c>
      <c r="HL113" s="251">
        <f t="shared" ca="1" si="372"/>
        <v>0.92693686593762536</v>
      </c>
      <c r="HM113" s="137">
        <f t="shared" ca="1" si="373"/>
        <v>1.1981131796808131</v>
      </c>
      <c r="HN113" s="251">
        <f t="shared" ca="1" si="374"/>
        <v>1.0597185163506166</v>
      </c>
      <c r="HO113" s="137">
        <f t="shared" ca="1" si="375"/>
        <v>0.23503904773630049</v>
      </c>
      <c r="HP113" s="251">
        <f t="shared" ca="1" si="376"/>
        <v>0.49850285900455477</v>
      </c>
      <c r="JN113" s="143">
        <f t="shared" si="538"/>
        <v>19.222487734408446</v>
      </c>
      <c r="JO113" s="143">
        <f t="shared" si="490"/>
        <v>3249.7848379919305</v>
      </c>
      <c r="JP113" s="143">
        <f t="shared" si="539"/>
        <v>4009.2364379421088</v>
      </c>
      <c r="JQ113" s="143">
        <f t="shared" si="540"/>
        <v>1.3967703448401558</v>
      </c>
      <c r="JR113" s="143">
        <f t="shared" ca="1" si="491"/>
        <v>1.2354286912283878</v>
      </c>
      <c r="JS113" s="143">
        <f t="shared" si="541"/>
        <v>77.552993164062514</v>
      </c>
      <c r="JT113" s="143">
        <f t="shared" ca="1" si="492"/>
        <v>164.4849619201166</v>
      </c>
      <c r="JU113" s="143">
        <f t="shared" si="547"/>
        <v>0.29203814297027381</v>
      </c>
      <c r="JV113" s="143">
        <f t="shared" si="542"/>
        <v>0.3602853796280393</v>
      </c>
      <c r="JW113" s="143">
        <f t="shared" ca="1" si="543"/>
        <v>0.33715250868596053</v>
      </c>
      <c r="JX113" s="143">
        <f t="shared" ca="1" si="544"/>
        <v>0.29820785076728612</v>
      </c>
      <c r="JY113" s="143">
        <f t="shared" si="545"/>
        <v>0.58927734403006105</v>
      </c>
      <c r="JZ113" s="143">
        <f t="shared" si="546"/>
        <v>0.57350334668114278</v>
      </c>
      <c r="KA113" s="143">
        <f t="shared" si="493"/>
        <v>0.27550768204742815</v>
      </c>
      <c r="KB113" s="143">
        <f t="shared" si="494"/>
        <v>0.339891867573622</v>
      </c>
      <c r="KC113" s="143">
        <f t="shared" ca="1" si="495"/>
        <v>0.74014216742443062</v>
      </c>
      <c r="KD113" s="143">
        <f t="shared" ca="1" si="496"/>
        <v>0.59146116452179587</v>
      </c>
      <c r="KE113" s="143">
        <f t="shared" ca="1" si="497"/>
        <v>0.47041063387404375</v>
      </c>
      <c r="KF113" s="143">
        <f t="shared" ca="1" si="498"/>
        <v>0.19617432787019068</v>
      </c>
      <c r="KG113" s="142">
        <f t="shared" si="499"/>
        <v>0.14631043991448181</v>
      </c>
      <c r="KH113" s="142">
        <f t="shared" ca="1" si="500"/>
        <v>0.12366661456773707</v>
      </c>
      <c r="KI113" s="142">
        <f t="shared" ca="1" si="501"/>
        <v>374.3911895082536</v>
      </c>
      <c r="KJ113" s="142">
        <f t="shared" ca="1" si="502"/>
        <v>341.78198014966279</v>
      </c>
    </row>
    <row r="114" spans="1:296" x14ac:dyDescent="0.3">
      <c r="A114" s="201">
        <v>41489</v>
      </c>
      <c r="B114" s="196">
        <v>146</v>
      </c>
      <c r="C114" s="179">
        <v>24</v>
      </c>
      <c r="D114" s="152">
        <v>4.2</v>
      </c>
      <c r="E114" s="152">
        <v>50016</v>
      </c>
      <c r="F114" s="152">
        <v>300</v>
      </c>
      <c r="G114" s="152">
        <v>11.7</v>
      </c>
      <c r="H114" s="152">
        <v>0.85</v>
      </c>
      <c r="I114" s="152">
        <v>1.4</v>
      </c>
      <c r="J114" s="152">
        <v>1.33</v>
      </c>
      <c r="K114" s="152">
        <v>0.91</v>
      </c>
      <c r="L114" s="152">
        <v>24024.678485646844</v>
      </c>
      <c r="M114" s="155">
        <v>19</v>
      </c>
      <c r="N114" s="153">
        <v>66561.598333694041</v>
      </c>
      <c r="O114" s="178">
        <v>17</v>
      </c>
      <c r="P114" s="152">
        <v>2</v>
      </c>
      <c r="Q114" s="152">
        <v>5</v>
      </c>
      <c r="R114" s="154">
        <v>374.5318603515625</v>
      </c>
      <c r="S114" s="155">
        <v>57.035513651324436</v>
      </c>
      <c r="T114" s="152">
        <v>180</v>
      </c>
      <c r="U114" s="156">
        <v>2.2393760681152344</v>
      </c>
      <c r="V114" s="178">
        <v>17</v>
      </c>
      <c r="W114" s="152">
        <v>1250</v>
      </c>
      <c r="X114" s="155">
        <v>48434.309570029378</v>
      </c>
      <c r="Y114" s="155">
        <v>7846.7685061190277</v>
      </c>
      <c r="Z114" s="155">
        <v>228.83537292480469</v>
      </c>
      <c r="AA114" s="155">
        <v>10.231195449829102</v>
      </c>
      <c r="AB114" s="155">
        <v>13.985553741455078</v>
      </c>
      <c r="AC114" s="215">
        <v>37</v>
      </c>
      <c r="AD114" s="215">
        <v>27.157464981079102</v>
      </c>
      <c r="AE114" s="254">
        <v>20</v>
      </c>
      <c r="AF114" s="254">
        <v>10</v>
      </c>
      <c r="AG114" s="217">
        <v>5000000</v>
      </c>
      <c r="AH114" s="218">
        <v>300000</v>
      </c>
      <c r="AI114" s="219">
        <v>5000000</v>
      </c>
      <c r="AJ114" s="225">
        <f t="shared" si="473"/>
        <v>300000</v>
      </c>
      <c r="AK114" s="220">
        <v>2750000</v>
      </c>
      <c r="AL114" s="226">
        <f t="shared" si="474"/>
        <v>300000</v>
      </c>
      <c r="AM114" s="221">
        <v>14.407</v>
      </c>
      <c r="BM114" s="197">
        <f t="shared" si="475"/>
        <v>9.8425350189208984</v>
      </c>
      <c r="BN114" s="196">
        <f t="shared" si="476"/>
        <v>180</v>
      </c>
      <c r="BO114" s="197">
        <f t="shared" si="477"/>
        <v>3.7543582916259766</v>
      </c>
      <c r="BP114" s="196">
        <f t="shared" si="472"/>
        <v>12.67053807346451</v>
      </c>
      <c r="BQ114" s="115">
        <f t="shared" si="478"/>
        <v>659.74492511188635</v>
      </c>
      <c r="BR114" s="184">
        <f t="shared" si="479"/>
        <v>1.0041987768</v>
      </c>
      <c r="BS114" s="115">
        <f t="shared" si="480"/>
        <v>6863.8528613899143</v>
      </c>
      <c r="BT114" s="196">
        <v>900</v>
      </c>
      <c r="BU114" s="115">
        <f t="shared" si="548"/>
        <v>1.1850729520000001</v>
      </c>
      <c r="BV114" s="115">
        <f t="shared" si="549"/>
        <v>1.0680802620641328</v>
      </c>
      <c r="BW114" s="115">
        <f t="shared" si="550"/>
        <v>454.99400269663397</v>
      </c>
      <c r="BX114" s="115">
        <f t="shared" si="503"/>
        <v>1094.5614202536021</v>
      </c>
      <c r="BY114" s="115"/>
      <c r="BZ114" s="115">
        <f t="shared" si="504"/>
        <v>639.56741755696817</v>
      </c>
      <c r="CA114" s="115">
        <f t="shared" si="505"/>
        <v>10351.46649754148</v>
      </c>
      <c r="CB114" s="115">
        <f t="shared" si="506"/>
        <v>2773.3999305705852</v>
      </c>
      <c r="CC114" s="115">
        <f t="shared" si="507"/>
        <v>1001.0282702352852</v>
      </c>
      <c r="CD114" s="129">
        <f t="shared" si="551"/>
        <v>0.19778495979470997</v>
      </c>
      <c r="CE114" s="115">
        <f t="shared" si="508"/>
        <v>13.460904289694394</v>
      </c>
      <c r="CF114" s="115">
        <f t="shared" si="509"/>
        <v>15.843198236479012</v>
      </c>
      <c r="CG114" s="115">
        <f t="shared" si="510"/>
        <v>0.02</v>
      </c>
      <c r="CH114" s="115">
        <f t="shared" si="511"/>
        <v>0.05</v>
      </c>
      <c r="CI114" s="136">
        <v>30</v>
      </c>
      <c r="CJ114" s="115">
        <f t="shared" si="552"/>
        <v>165</v>
      </c>
      <c r="CK114" s="115">
        <f t="shared" si="512"/>
        <v>453</v>
      </c>
      <c r="CL114" s="115">
        <f t="shared" si="513"/>
        <v>647.5318603515625</v>
      </c>
      <c r="CM114" s="115">
        <f t="shared" ca="1" si="514"/>
        <v>2816.5993052117487</v>
      </c>
      <c r="CN114" s="115">
        <f t="shared" ca="1" si="553"/>
        <v>125.80344444444444</v>
      </c>
      <c r="CO114" s="115">
        <f t="shared" ca="1" si="554"/>
        <v>690.58718083896258</v>
      </c>
      <c r="CP114" s="115">
        <f t="shared" ca="1" si="555"/>
        <v>2790.6388281929471</v>
      </c>
      <c r="CQ114" s="115">
        <f t="shared" si="556"/>
        <v>1.072449112508886</v>
      </c>
      <c r="CR114" s="115">
        <f t="shared" ca="1" si="481"/>
        <v>368.88926169158793</v>
      </c>
      <c r="CS114" s="115">
        <f t="shared" ca="1" si="482"/>
        <v>18.282775254008516</v>
      </c>
      <c r="CT114" s="115">
        <f t="shared" si="557"/>
        <v>1.1174301766971171</v>
      </c>
      <c r="CU114" s="115">
        <f t="shared" ca="1" si="558"/>
        <v>1.0143144687525441</v>
      </c>
      <c r="CV114" s="115">
        <f t="shared" si="360"/>
        <v>166.56741755696817</v>
      </c>
      <c r="CW114" s="115">
        <f t="shared" si="559"/>
        <v>473</v>
      </c>
      <c r="CX114" s="115">
        <f t="shared" si="560"/>
        <v>438</v>
      </c>
      <c r="CY114" s="115">
        <f t="shared" ca="1" si="561"/>
        <v>454.71722474599147</v>
      </c>
      <c r="CZ114" s="115">
        <f t="shared" ca="1" si="562"/>
        <v>192.81463560557103</v>
      </c>
      <c r="DA114" s="115">
        <v>0.21890000000000001</v>
      </c>
      <c r="DB114" s="115">
        <v>2.7E-2</v>
      </c>
      <c r="DC114" s="115">
        <v>1.06</v>
      </c>
      <c r="DD114" s="138">
        <f t="shared" si="515"/>
        <v>10.485957302037747</v>
      </c>
      <c r="DE114" s="138">
        <f t="shared" si="563"/>
        <v>10.485957302037747</v>
      </c>
      <c r="DF114" s="115">
        <f t="shared" si="564"/>
        <v>647.5318603515625</v>
      </c>
      <c r="DG114" s="115">
        <v>639.56741755696817</v>
      </c>
      <c r="DH114" s="115">
        <f t="shared" si="565"/>
        <v>1.1174301766971171</v>
      </c>
      <c r="DI114" s="115">
        <f t="shared" si="566"/>
        <v>1.1153035493800894</v>
      </c>
      <c r="DJ114" s="138">
        <f t="shared" si="483"/>
        <v>2.5344743700900292</v>
      </c>
      <c r="DK114" s="138">
        <f t="shared" si="484"/>
        <v>2.4381269803697383</v>
      </c>
      <c r="DL114" s="115">
        <f t="shared" si="567"/>
        <v>647.5318603515625</v>
      </c>
      <c r="DM114" s="115">
        <f t="shared" ref="DM114:DM120" si="619">BZ114</f>
        <v>639.56741755696817</v>
      </c>
      <c r="DN114" s="115">
        <f t="shared" si="568"/>
        <v>12.785724783223278</v>
      </c>
      <c r="DO114" s="115">
        <f t="shared" si="569"/>
        <v>1.1174301766971171</v>
      </c>
      <c r="DP114" s="115">
        <f t="shared" si="570"/>
        <v>1.1153035493800894</v>
      </c>
      <c r="DQ114" s="115">
        <v>298.14999999999998</v>
      </c>
      <c r="DR114" s="138">
        <f t="shared" si="571"/>
        <v>1.6879599304799597</v>
      </c>
      <c r="DS114" s="138">
        <f t="shared" si="572"/>
        <v>1.6237925689262456</v>
      </c>
      <c r="DT114" s="115">
        <f t="shared" si="573"/>
        <v>647.5318603515625</v>
      </c>
      <c r="DU114" s="139">
        <f t="shared" si="422"/>
        <v>6.4120601765714316</v>
      </c>
      <c r="DV114" s="115">
        <f t="shared" si="574"/>
        <v>1.1174301766971171</v>
      </c>
      <c r="DW114" s="115">
        <v>298.14999999999998</v>
      </c>
      <c r="DX114" s="138">
        <f t="shared" si="485"/>
        <v>0.84651443961006945</v>
      </c>
      <c r="DY114" s="138">
        <f t="shared" si="486"/>
        <v>0.81433441144349228</v>
      </c>
      <c r="DZ114" s="138">
        <f t="shared" si="575"/>
        <v>2.7733999305705854</v>
      </c>
      <c r="EA114" s="138">
        <f t="shared" si="576"/>
        <v>3.4876136361515657</v>
      </c>
      <c r="EB114" s="115">
        <f t="shared" si="577"/>
        <v>15.843198236479012</v>
      </c>
      <c r="EC114" s="115">
        <v>30</v>
      </c>
      <c r="ED114" s="198">
        <f t="shared" ca="1" si="578"/>
        <v>125.80344444444444</v>
      </c>
      <c r="EE114" s="198">
        <v>104.83</v>
      </c>
      <c r="EF114" s="198">
        <f t="shared" ca="1" si="579"/>
        <v>0.42491111111111107</v>
      </c>
      <c r="EG114" s="199">
        <v>0.36720000000000003</v>
      </c>
      <c r="EH114" s="138">
        <f t="shared" ca="1" si="580"/>
        <v>5.9679373762367524E-2</v>
      </c>
      <c r="EI114" s="138">
        <f t="shared" ca="1" si="581"/>
        <v>5.9679373762367524E-2</v>
      </c>
      <c r="EJ114" s="115">
        <f t="shared" si="582"/>
        <v>12.785724783223278</v>
      </c>
      <c r="EK114" s="115">
        <v>435</v>
      </c>
      <c r="EL114" s="115">
        <f t="shared" ca="1" si="583"/>
        <v>454.71722474599147</v>
      </c>
      <c r="EM114" s="115">
        <f t="shared" ca="1" si="584"/>
        <v>1.0618748286730082</v>
      </c>
      <c r="EN114" s="115">
        <f t="shared" ca="1" si="585"/>
        <v>1.0680136226667207</v>
      </c>
      <c r="EO114" s="115">
        <v>298.14999999999998</v>
      </c>
      <c r="EP114" s="138">
        <f t="shared" ca="1" si="586"/>
        <v>0.32888592002940659</v>
      </c>
      <c r="EQ114" s="138">
        <f t="shared" ca="1" si="587"/>
        <v>0.4195512633942361</v>
      </c>
      <c r="ER114" s="115">
        <f t="shared" si="588"/>
        <v>0.62204890780978739</v>
      </c>
      <c r="ES114" s="115">
        <f t="shared" si="589"/>
        <v>453</v>
      </c>
      <c r="ET114" s="115">
        <f t="shared" ca="1" si="516"/>
        <v>2816.5993052117487</v>
      </c>
      <c r="EU114" s="115">
        <f t="shared" ca="1" si="517"/>
        <v>6.5855309782608691</v>
      </c>
      <c r="EV114" s="138">
        <f t="shared" ca="1" si="590"/>
        <v>0.53357733259883222</v>
      </c>
      <c r="EW114" s="138">
        <f t="shared" ca="1" si="487"/>
        <v>0.88859116030499985</v>
      </c>
      <c r="EX114" s="115">
        <v>21.47</v>
      </c>
      <c r="EY114" s="115">
        <f t="shared" ca="1" si="518"/>
        <v>113.74145288636949</v>
      </c>
      <c r="EZ114" s="115">
        <f t="shared" ca="1" si="519"/>
        <v>0.38527353945838078</v>
      </c>
      <c r="FA114" s="138">
        <f t="shared" ca="1" si="591"/>
        <v>7.5635097769439677E-2</v>
      </c>
      <c r="FB114" s="138">
        <f t="shared" ca="1" si="592"/>
        <v>7.5635097769439677E-2</v>
      </c>
      <c r="FC114" s="115">
        <f t="shared" si="593"/>
        <v>21.47</v>
      </c>
      <c r="FD114" s="115">
        <v>37</v>
      </c>
      <c r="FE114" s="115">
        <f t="shared" ca="1" si="594"/>
        <v>154.93355555555553</v>
      </c>
      <c r="FF114" s="115">
        <f t="shared" ca="1" si="595"/>
        <v>0.52252222222222222</v>
      </c>
      <c r="FG114" s="138">
        <f t="shared" ca="1" si="596"/>
        <v>8.1462225449999703E-2</v>
      </c>
      <c r="FH114" s="138">
        <f t="shared" ca="1" si="597"/>
        <v>8.1462225449999703E-2</v>
      </c>
      <c r="FI114" s="115">
        <f t="shared" si="598"/>
        <v>64.073904418945318</v>
      </c>
      <c r="FJ114" s="115">
        <f t="shared" ca="1" si="520"/>
        <v>42.903134201473669</v>
      </c>
      <c r="FK114" s="115">
        <f t="shared" ca="1" si="521"/>
        <v>0.14924611432817247</v>
      </c>
      <c r="FL114" s="138">
        <f t="shared" ca="1" si="599"/>
        <v>0.1958153119318867</v>
      </c>
      <c r="FM114" s="138">
        <f t="shared" ca="1" si="488"/>
        <v>0.39549854149344549</v>
      </c>
      <c r="FN114" s="115">
        <f t="shared" si="600"/>
        <v>64.073904418945318</v>
      </c>
      <c r="FO114" s="115">
        <f t="shared" ca="1" si="522"/>
        <v>58.615540802849672</v>
      </c>
      <c r="FP114" s="115">
        <f t="shared" ca="1" si="523"/>
        <v>0.20159855495029025</v>
      </c>
      <c r="FQ114" s="138">
        <f t="shared" ca="1" si="601"/>
        <v>0.20244865450559493</v>
      </c>
      <c r="FR114" s="138">
        <f t="shared" ca="1" si="489"/>
        <v>0.4088962543037723</v>
      </c>
      <c r="FS114" s="139">
        <f t="shared" si="602"/>
        <v>5.1780830013771322</v>
      </c>
      <c r="FT114" s="249">
        <f t="shared" si="603"/>
        <v>4.5602166855164432</v>
      </c>
      <c r="FU114" s="139">
        <f t="shared" ca="1" si="604"/>
        <v>0.88517605161408852</v>
      </c>
      <c r="FV114" s="249">
        <f t="shared" ca="1" si="605"/>
        <v>0.37532951898937728</v>
      </c>
      <c r="FW114" s="139">
        <f t="shared" ca="1" si="606"/>
        <v>0.53438354749198036</v>
      </c>
      <c r="FX114" s="249">
        <f t="shared" ca="1" si="607"/>
        <v>0.89616174543476657</v>
      </c>
      <c r="FY114" s="249">
        <f t="shared" si="524"/>
        <v>0.15000000000000002</v>
      </c>
      <c r="FZ114" s="139">
        <f t="shared" si="525"/>
        <v>1050000</v>
      </c>
      <c r="GA114" s="139">
        <f t="shared" si="608"/>
        <v>3.3757716049382713E-2</v>
      </c>
      <c r="GB114" s="139">
        <f t="shared" si="361"/>
        <v>121.52777777777777</v>
      </c>
      <c r="GC114" s="139">
        <f t="shared" si="526"/>
        <v>1050000</v>
      </c>
      <c r="GD114" s="139">
        <f t="shared" si="362"/>
        <v>6.7515432098765427E-2</v>
      </c>
      <c r="GE114" s="139">
        <f t="shared" si="363"/>
        <v>243.05555555555554</v>
      </c>
      <c r="GF114" s="139">
        <f t="shared" si="364"/>
        <v>4.5814043209876545E-2</v>
      </c>
      <c r="GG114" s="139">
        <f t="shared" si="527"/>
        <v>712500</v>
      </c>
      <c r="GH114" s="139">
        <f t="shared" si="365"/>
        <v>164.93055555555554</v>
      </c>
      <c r="GI114" s="137">
        <f t="shared" si="528"/>
        <v>53.477585044663911</v>
      </c>
      <c r="GJ114" s="137">
        <f t="shared" si="609"/>
        <v>0.19251930616078855</v>
      </c>
      <c r="GK114" s="251">
        <f t="shared" si="529"/>
        <v>42.924137565548811</v>
      </c>
      <c r="GL114" s="137">
        <f t="shared" si="610"/>
        <v>0.15452689523597449</v>
      </c>
      <c r="GM114" s="137">
        <f t="shared" ca="1" si="530"/>
        <v>7.7630164396765231</v>
      </c>
      <c r="GN114" s="137">
        <f t="shared" ca="1" si="611"/>
        <v>2.7946859182835262E-2</v>
      </c>
      <c r="GO114" s="137">
        <f t="shared" ca="1" si="366"/>
        <v>9.8266030881980534E-2</v>
      </c>
      <c r="GP114" s="137">
        <f t="shared" ca="1" si="531"/>
        <v>8.7022275504668958</v>
      </c>
      <c r="GQ114" s="137">
        <f t="shared" ca="1" si="612"/>
        <v>3.1328019181680579E-2</v>
      </c>
      <c r="GR114" s="137">
        <f t="shared" ca="1" si="406"/>
        <v>0.11015477911983326</v>
      </c>
      <c r="GS114" s="140">
        <f t="shared" si="532"/>
        <v>7.4600641800840334E-2</v>
      </c>
      <c r="GT114" s="140">
        <f t="shared" si="533"/>
        <v>6.5699041788235407E-2</v>
      </c>
      <c r="GU114" s="140">
        <f t="shared" si="613"/>
        <v>268.56231048302521</v>
      </c>
      <c r="GV114" s="140">
        <f t="shared" si="614"/>
        <v>236.51655043764745</v>
      </c>
      <c r="GW114" s="141">
        <f t="shared" ca="1" si="534"/>
        <v>8.4933190961523786E-3</v>
      </c>
      <c r="GX114" s="141">
        <f t="shared" ca="1" si="535"/>
        <v>3.6013100051332518E-3</v>
      </c>
      <c r="GY114" s="141">
        <f t="shared" ca="1" si="615"/>
        <v>30.575948746148562</v>
      </c>
      <c r="GZ114" s="141">
        <f t="shared" ca="1" si="616"/>
        <v>12.964716018479706</v>
      </c>
      <c r="HA114" s="141">
        <f t="shared" ca="1" si="536"/>
        <v>1.4704800386520464E-2</v>
      </c>
      <c r="HB114" s="141">
        <f t="shared" ca="1" si="537"/>
        <v>1.2492213297043482E-2</v>
      </c>
      <c r="HC114" s="141">
        <f t="shared" ca="1" si="617"/>
        <v>52.937281391473668</v>
      </c>
      <c r="HD114" s="141">
        <f t="shared" ca="1" si="618"/>
        <v>44.971967869356533</v>
      </c>
      <c r="HE114" s="137">
        <f t="shared" si="367"/>
        <v>7.9514829319477176</v>
      </c>
      <c r="HF114" s="250">
        <f t="shared" si="368"/>
        <v>8.0478303216680089</v>
      </c>
      <c r="HG114" s="137">
        <v>2.7733999305705854</v>
      </c>
      <c r="HH114" s="251">
        <v>3.3064163846027403</v>
      </c>
      <c r="HI114" s="137">
        <f t="shared" ca="1" si="369"/>
        <v>1.2684086670857235</v>
      </c>
      <c r="HJ114" s="251">
        <f t="shared" ca="1" si="370"/>
        <v>1.2042413055320096</v>
      </c>
      <c r="HK114" s="137">
        <f t="shared" ca="1" si="371"/>
        <v>0.47389795883646468</v>
      </c>
      <c r="HL114" s="251">
        <f t="shared" ca="1" si="372"/>
        <v>0.82891178654263231</v>
      </c>
      <c r="HM114" s="137">
        <f t="shared" ca="1" si="373"/>
        <v>0.53357733259883222</v>
      </c>
      <c r="HN114" s="251">
        <f t="shared" ca="1" si="374"/>
        <v>0.88859116030499985</v>
      </c>
      <c r="HO114" s="137">
        <f t="shared" ca="1" si="375"/>
        <v>0.1958153119318867</v>
      </c>
      <c r="HP114" s="251">
        <f t="shared" ca="1" si="376"/>
        <v>0.39549854149344549</v>
      </c>
      <c r="JN114" s="143">
        <f t="shared" si="538"/>
        <v>19.19778495979471</v>
      </c>
      <c r="JO114" s="143">
        <f t="shared" si="490"/>
        <v>2773.3999305705852</v>
      </c>
      <c r="JP114" s="143">
        <f t="shared" si="539"/>
        <v>3487.6136361515655</v>
      </c>
      <c r="JQ114" s="143">
        <f t="shared" si="540"/>
        <v>0.62204890780978739</v>
      </c>
      <c r="JR114" s="143">
        <f t="shared" ca="1" si="491"/>
        <v>1.035926991247841</v>
      </c>
      <c r="JS114" s="143">
        <f t="shared" si="541"/>
        <v>64.073904418945318</v>
      </c>
      <c r="JT114" s="143">
        <f t="shared" ca="1" si="492"/>
        <v>129.41345339887457</v>
      </c>
      <c r="JU114" s="143">
        <f t="shared" si="547"/>
        <v>0.28035627475171249</v>
      </c>
      <c r="JV114" s="143">
        <f t="shared" si="542"/>
        <v>0.3525544066064662</v>
      </c>
      <c r="JW114" s="143">
        <f t="shared" ca="1" si="543"/>
        <v>0.16886864634358786</v>
      </c>
      <c r="JX114" s="143">
        <f t="shared" ca="1" si="544"/>
        <v>0.28122481452262466</v>
      </c>
      <c r="JY114" s="143">
        <f t="shared" si="545"/>
        <v>0.84423383230431737</v>
      </c>
      <c r="JZ114" s="143">
        <f t="shared" si="546"/>
        <v>0.58294417574396129</v>
      </c>
      <c r="KA114" s="143">
        <f t="shared" si="493"/>
        <v>0.26448705165255898</v>
      </c>
      <c r="KB114" s="143">
        <f t="shared" si="494"/>
        <v>0.33259849679855308</v>
      </c>
      <c r="KC114" s="143">
        <f t="shared" ca="1" si="495"/>
        <v>0.34869179690910318</v>
      </c>
      <c r="KD114" s="143">
        <f t="shared" ca="1" si="496"/>
        <v>0.68832698457925401</v>
      </c>
      <c r="KE114" s="143">
        <f t="shared" ca="1" si="497"/>
        <v>0.44508493800196552</v>
      </c>
      <c r="KF114" s="143">
        <f t="shared" ca="1" si="498"/>
        <v>0.3669858143676234</v>
      </c>
      <c r="KG114" s="142">
        <f t="shared" si="499"/>
        <v>0.15452689523597449</v>
      </c>
      <c r="KH114" s="142">
        <f t="shared" ca="1" si="500"/>
        <v>0.11015477911983326</v>
      </c>
      <c r="KI114" s="142">
        <f t="shared" ca="1" si="501"/>
        <v>352.07554062064747</v>
      </c>
      <c r="KJ114" s="142">
        <f t="shared" ca="1" si="502"/>
        <v>294.45323432548372</v>
      </c>
    </row>
    <row r="115" spans="1:296" x14ac:dyDescent="0.3">
      <c r="A115" s="201">
        <v>41490</v>
      </c>
      <c r="B115" s="196">
        <v>147</v>
      </c>
      <c r="C115" s="179">
        <v>24</v>
      </c>
      <c r="D115" s="152">
        <v>4.2</v>
      </c>
      <c r="E115" s="152">
        <v>50016</v>
      </c>
      <c r="F115" s="152">
        <v>300</v>
      </c>
      <c r="G115" s="152">
        <v>11.7</v>
      </c>
      <c r="H115" s="152">
        <v>0.85</v>
      </c>
      <c r="I115" s="152">
        <v>1.4</v>
      </c>
      <c r="J115" s="152">
        <v>1.33</v>
      </c>
      <c r="K115" s="152">
        <v>0.91</v>
      </c>
      <c r="L115" s="152">
        <v>27478.342887021601</v>
      </c>
      <c r="M115" s="155">
        <v>19</v>
      </c>
      <c r="N115" s="153">
        <v>78788.694166183472</v>
      </c>
      <c r="O115" s="178">
        <v>17</v>
      </c>
      <c r="P115" s="152">
        <v>2</v>
      </c>
      <c r="Q115" s="152">
        <v>5</v>
      </c>
      <c r="R115" s="154">
        <v>372.419677734375</v>
      </c>
      <c r="S115" s="155">
        <v>66.300714382174192</v>
      </c>
      <c r="T115" s="152">
        <v>180</v>
      </c>
      <c r="U115" s="156">
        <v>2.6104214191436768</v>
      </c>
      <c r="V115" s="178">
        <v>17</v>
      </c>
      <c r="W115" s="152">
        <v>1250</v>
      </c>
      <c r="X115" s="155">
        <v>58353.48445121944</v>
      </c>
      <c r="Y115" s="155">
        <v>9115.9313826430589</v>
      </c>
      <c r="Z115" s="155">
        <v>317.89578247070312</v>
      </c>
      <c r="AA115" s="155">
        <v>10.698200225830078</v>
      </c>
      <c r="AB115" s="155">
        <v>13.285447120666504</v>
      </c>
      <c r="AC115" s="215">
        <v>37</v>
      </c>
      <c r="AD115" s="215">
        <v>27.407390594482422</v>
      </c>
      <c r="AE115" s="254">
        <v>20</v>
      </c>
      <c r="AF115" s="254">
        <v>10</v>
      </c>
      <c r="AG115" s="217">
        <v>5000000</v>
      </c>
      <c r="AH115" s="218">
        <v>300000</v>
      </c>
      <c r="AI115" s="219">
        <v>5000000</v>
      </c>
      <c r="AJ115" s="225">
        <f t="shared" si="473"/>
        <v>300000</v>
      </c>
      <c r="AK115" s="220">
        <v>2750000</v>
      </c>
      <c r="AL115" s="226">
        <f t="shared" si="474"/>
        <v>300000</v>
      </c>
      <c r="AM115" s="221">
        <v>14.407</v>
      </c>
      <c r="BM115" s="197">
        <f t="shared" si="475"/>
        <v>9.5926094055175781</v>
      </c>
      <c r="BN115" s="196">
        <f t="shared" si="476"/>
        <v>180</v>
      </c>
      <c r="BO115" s="197">
        <f t="shared" si="477"/>
        <v>2.5872468948364258</v>
      </c>
      <c r="BP115" s="196">
        <f t="shared" si="472"/>
        <v>12.689303556533003</v>
      </c>
      <c r="BQ115" s="115">
        <f t="shared" si="478"/>
        <v>659.74492511188635</v>
      </c>
      <c r="BR115" s="184">
        <f t="shared" si="479"/>
        <v>1.0041987768</v>
      </c>
      <c r="BS115" s="115">
        <f t="shared" si="480"/>
        <v>6863.8528613899143</v>
      </c>
      <c r="BT115" s="196">
        <v>900</v>
      </c>
      <c r="BU115" s="115">
        <f t="shared" si="548"/>
        <v>1.1850729520000001</v>
      </c>
      <c r="BV115" s="115">
        <f t="shared" si="549"/>
        <v>1.0743299530140298</v>
      </c>
      <c r="BW115" s="115">
        <f t="shared" si="550"/>
        <v>480.67156822236097</v>
      </c>
      <c r="BX115" s="115">
        <f t="shared" si="503"/>
        <v>1156.3329434471377</v>
      </c>
      <c r="BY115" s="115"/>
      <c r="BZ115" s="115">
        <f t="shared" si="504"/>
        <v>675.66137522477675</v>
      </c>
      <c r="CA115" s="115">
        <f t="shared" si="505"/>
        <v>10951.847089563595</v>
      </c>
      <c r="CB115" s="115">
        <f t="shared" si="506"/>
        <v>3282.8622569243112</v>
      </c>
      <c r="CC115" s="115">
        <f t="shared" si="507"/>
        <v>1144.9309536259</v>
      </c>
      <c r="CD115" s="129">
        <f t="shared" si="551"/>
        <v>0.22621750989848863</v>
      </c>
      <c r="CE115" s="115">
        <f t="shared" si="508"/>
        <v>18.699751910041361</v>
      </c>
      <c r="CF115" s="115">
        <f t="shared" si="509"/>
        <v>18.416865106159499</v>
      </c>
      <c r="CG115" s="115">
        <f t="shared" si="510"/>
        <v>0.02</v>
      </c>
      <c r="CH115" s="115">
        <f t="shared" si="511"/>
        <v>0.05</v>
      </c>
      <c r="CI115" s="136">
        <v>30</v>
      </c>
      <c r="CJ115" s="115">
        <f t="shared" si="552"/>
        <v>165</v>
      </c>
      <c r="CK115" s="115">
        <f t="shared" si="512"/>
        <v>453</v>
      </c>
      <c r="CL115" s="115">
        <f t="shared" si="513"/>
        <v>645.419677734375</v>
      </c>
      <c r="CM115" s="115">
        <f t="shared" ca="1" si="514"/>
        <v>2816.5993052117487</v>
      </c>
      <c r="CN115" s="115">
        <f t="shared" ca="1" si="553"/>
        <v>125.80344444444444</v>
      </c>
      <c r="CO115" s="115">
        <f t="shared" ca="1" si="554"/>
        <v>690.58718083896258</v>
      </c>
      <c r="CP115" s="115">
        <f t="shared" ca="1" si="555"/>
        <v>2790.6388281929471</v>
      </c>
      <c r="CQ115" s="115">
        <f t="shared" si="556"/>
        <v>1.072449112508886</v>
      </c>
      <c r="CR115" s="115">
        <f t="shared" ca="1" si="481"/>
        <v>430.0110391115719</v>
      </c>
      <c r="CS115" s="115">
        <f t="shared" ca="1" si="482"/>
        <v>21.28055663897355</v>
      </c>
      <c r="CT115" s="115">
        <f t="shared" si="557"/>
        <v>1.1168657632858752</v>
      </c>
      <c r="CU115" s="115">
        <f t="shared" ca="1" si="558"/>
        <v>1.0144571465457384</v>
      </c>
      <c r="CV115" s="115">
        <f t="shared" si="360"/>
        <v>202.66137522477675</v>
      </c>
      <c r="CW115" s="115">
        <f t="shared" si="559"/>
        <v>473</v>
      </c>
      <c r="CX115" s="115">
        <f t="shared" si="560"/>
        <v>438</v>
      </c>
      <c r="CY115" s="115">
        <f t="shared" ca="1" si="561"/>
        <v>451.71944336102644</v>
      </c>
      <c r="CZ115" s="115">
        <f t="shared" ca="1" si="562"/>
        <v>193.70023437334856</v>
      </c>
      <c r="DA115" s="115">
        <v>0.21890000000000001</v>
      </c>
      <c r="DB115" s="115">
        <v>2.7E-2</v>
      </c>
      <c r="DC115" s="115">
        <v>1.06</v>
      </c>
      <c r="DD115" s="138">
        <f t="shared" si="515"/>
        <v>11.993364673587775</v>
      </c>
      <c r="DE115" s="138">
        <f t="shared" si="563"/>
        <v>11.993364673587775</v>
      </c>
      <c r="DF115" s="115">
        <f t="shared" si="564"/>
        <v>645.419677734375</v>
      </c>
      <c r="DG115" s="115">
        <v>675.66137522477675</v>
      </c>
      <c r="DH115" s="115">
        <f t="shared" si="565"/>
        <v>1.1168657632858752</v>
      </c>
      <c r="DI115" s="115">
        <f t="shared" si="566"/>
        <v>1.1249726244531919</v>
      </c>
      <c r="DJ115" s="138">
        <f t="shared" si="483"/>
        <v>2.5125083092110185</v>
      </c>
      <c r="DK115" s="138">
        <f t="shared" si="484"/>
        <v>2.8895492457381842</v>
      </c>
      <c r="DL115" s="115">
        <f t="shared" si="567"/>
        <v>645.419677734375</v>
      </c>
      <c r="DM115" s="115">
        <f t="shared" si="619"/>
        <v>675.66137522477675</v>
      </c>
      <c r="DN115" s="115">
        <f t="shared" si="568"/>
        <v>12.804660861592394</v>
      </c>
      <c r="DO115" s="115">
        <f t="shared" si="569"/>
        <v>1.1168657632858752</v>
      </c>
      <c r="DP115" s="115">
        <f t="shared" si="570"/>
        <v>1.1249726244531919</v>
      </c>
      <c r="DQ115" s="115">
        <v>298.14999999999998</v>
      </c>
      <c r="DR115" s="138">
        <f t="shared" si="571"/>
        <v>1.6733305339345383</v>
      </c>
      <c r="DS115" s="138">
        <f t="shared" si="572"/>
        <v>1.9244397976616308</v>
      </c>
      <c r="DT115" s="115">
        <f t="shared" si="573"/>
        <v>645.419677734375</v>
      </c>
      <c r="DU115" s="139">
        <f t="shared" si="422"/>
        <v>6.4215566483060957</v>
      </c>
      <c r="DV115" s="115">
        <f t="shared" si="574"/>
        <v>1.1168657632858752</v>
      </c>
      <c r="DW115" s="115">
        <v>298.14999999999998</v>
      </c>
      <c r="DX115" s="138">
        <f t="shared" si="485"/>
        <v>0.83917777527648019</v>
      </c>
      <c r="DY115" s="138">
        <f t="shared" si="486"/>
        <v>0.96510944807655374</v>
      </c>
      <c r="DZ115" s="138">
        <f t="shared" si="575"/>
        <v>3.2828622569243113</v>
      </c>
      <c r="EA115" s="138">
        <f t="shared" si="576"/>
        <v>4.0879942281736801</v>
      </c>
      <c r="EB115" s="115">
        <f t="shared" si="577"/>
        <v>18.416865106159499</v>
      </c>
      <c r="EC115" s="115">
        <v>30</v>
      </c>
      <c r="ED115" s="198">
        <f t="shared" ca="1" si="578"/>
        <v>125.80344444444444</v>
      </c>
      <c r="EE115" s="198">
        <v>104.83</v>
      </c>
      <c r="EF115" s="198">
        <f t="shared" ca="1" si="579"/>
        <v>0.42491111111111107</v>
      </c>
      <c r="EG115" s="199">
        <v>0.36720000000000003</v>
      </c>
      <c r="EH115" s="138">
        <f t="shared" ca="1" si="580"/>
        <v>6.9374059441540029E-2</v>
      </c>
      <c r="EI115" s="138">
        <f t="shared" ca="1" si="581"/>
        <v>6.9374059441540029E-2</v>
      </c>
      <c r="EJ115" s="115">
        <f t="shared" si="582"/>
        <v>12.804660861592394</v>
      </c>
      <c r="EK115" s="115">
        <v>435</v>
      </c>
      <c r="EL115" s="115">
        <f t="shared" ca="1" si="583"/>
        <v>451.71944336102644</v>
      </c>
      <c r="EM115" s="115">
        <f t="shared" ca="1" si="584"/>
        <v>1.0621010159392361</v>
      </c>
      <c r="EN115" s="115">
        <f t="shared" ca="1" si="585"/>
        <v>1.0672928782324553</v>
      </c>
      <c r="EO115" s="115">
        <v>298.14999999999998</v>
      </c>
      <c r="EP115" s="138">
        <f t="shared" ca="1" si="586"/>
        <v>0.3294431697900348</v>
      </c>
      <c r="EQ115" s="138">
        <f t="shared" ca="1" si="587"/>
        <v>0.40587178447733191</v>
      </c>
      <c r="ER115" s="115">
        <f t="shared" si="588"/>
        <v>0.72511706087324357</v>
      </c>
      <c r="ES115" s="115">
        <f t="shared" si="589"/>
        <v>453</v>
      </c>
      <c r="ET115" s="115">
        <f t="shared" ca="1" si="516"/>
        <v>2816.5993052117487</v>
      </c>
      <c r="EU115" s="115">
        <f t="shared" ca="1" si="517"/>
        <v>6.5855309782608691</v>
      </c>
      <c r="EV115" s="138">
        <f t="shared" ca="1" si="590"/>
        <v>0.62198650669596545</v>
      </c>
      <c r="EW115" s="138">
        <f t="shared" ca="1" si="487"/>
        <v>1.0821967681318054</v>
      </c>
      <c r="EX115" s="115">
        <v>21.47</v>
      </c>
      <c r="EY115" s="115">
        <f t="shared" ca="1" si="518"/>
        <v>114.78741934797499</v>
      </c>
      <c r="EZ115" s="115">
        <f t="shared" ca="1" si="519"/>
        <v>0.38875861328972711</v>
      </c>
      <c r="FA115" s="138">
        <f t="shared" ca="1" si="591"/>
        <v>7.5783062542452262E-2</v>
      </c>
      <c r="FB115" s="138">
        <f t="shared" ca="1" si="592"/>
        <v>7.5783062542452262E-2</v>
      </c>
      <c r="FC115" s="115">
        <f t="shared" si="593"/>
        <v>21.47</v>
      </c>
      <c r="FD115" s="115">
        <v>37</v>
      </c>
      <c r="FE115" s="115">
        <f t="shared" ca="1" si="594"/>
        <v>154.93355555555553</v>
      </c>
      <c r="FF115" s="115">
        <f t="shared" ca="1" si="595"/>
        <v>0.52252222222222222</v>
      </c>
      <c r="FG115" s="138">
        <f t="shared" ca="1" si="596"/>
        <v>8.1462225449999703E-2</v>
      </c>
      <c r="FH115" s="138">
        <f t="shared" ca="1" si="597"/>
        <v>8.1462225449999703E-2</v>
      </c>
      <c r="FI115" s="115">
        <f t="shared" si="598"/>
        <v>89.01081909179689</v>
      </c>
      <c r="FJ115" s="115">
        <f t="shared" ca="1" si="520"/>
        <v>44.857601078457307</v>
      </c>
      <c r="FK115" s="115">
        <f t="shared" ca="1" si="521"/>
        <v>0.1557582364824083</v>
      </c>
      <c r="FL115" s="138">
        <f t="shared" ca="1" si="599"/>
        <v>0.27317089893025281</v>
      </c>
      <c r="FM115" s="138">
        <f t="shared" ca="1" si="488"/>
        <v>0.76287618145381908</v>
      </c>
      <c r="FN115" s="115">
        <f t="shared" si="600"/>
        <v>89.01081909179689</v>
      </c>
      <c r="FO115" s="115">
        <f t="shared" ca="1" si="522"/>
        <v>55.685516805224957</v>
      </c>
      <c r="FP115" s="115">
        <f t="shared" ca="1" si="523"/>
        <v>0.19183595707151624</v>
      </c>
      <c r="FQ115" s="138">
        <f t="shared" ca="1" si="601"/>
        <v>0.2795212274484587</v>
      </c>
      <c r="FR115" s="138">
        <f t="shared" ca="1" si="489"/>
        <v>0.78061055356269871</v>
      </c>
      <c r="FS115" s="139">
        <f t="shared" si="602"/>
        <v>6.1979941074524465</v>
      </c>
      <c r="FT115" s="249">
        <f t="shared" si="603"/>
        <v>5.0158211996759112</v>
      </c>
      <c r="FU115" s="139">
        <f t="shared" ca="1" si="604"/>
        <v>0.79127491689007812</v>
      </c>
      <c r="FV115" s="249">
        <f t="shared" ca="1" si="605"/>
        <v>0.50574530449403343</v>
      </c>
      <c r="FW115" s="139">
        <f t="shared" ca="1" si="606"/>
        <v>0.62265767230662394</v>
      </c>
      <c r="FX115" s="249">
        <f t="shared" ca="1" si="607"/>
        <v>1.0942519773331378</v>
      </c>
      <c r="FY115" s="249">
        <f t="shared" si="524"/>
        <v>0.15000000000000002</v>
      </c>
      <c r="FZ115" s="139">
        <f t="shared" si="525"/>
        <v>1050000</v>
      </c>
      <c r="GA115" s="139">
        <f t="shared" si="608"/>
        <v>3.3757716049382713E-2</v>
      </c>
      <c r="GB115" s="139">
        <f t="shared" si="361"/>
        <v>121.52777777777777</v>
      </c>
      <c r="GC115" s="139">
        <f t="shared" si="526"/>
        <v>1050000</v>
      </c>
      <c r="GD115" s="139">
        <f t="shared" si="362"/>
        <v>6.7515432098765427E-2</v>
      </c>
      <c r="GE115" s="139">
        <f t="shared" si="363"/>
        <v>243.05555555555554</v>
      </c>
      <c r="GF115" s="139">
        <f t="shared" si="364"/>
        <v>4.5814043209876545E-2</v>
      </c>
      <c r="GG115" s="139">
        <f t="shared" si="527"/>
        <v>712500</v>
      </c>
      <c r="GH115" s="139">
        <f t="shared" si="365"/>
        <v>164.93055555555554</v>
      </c>
      <c r="GI115" s="137">
        <f t="shared" si="528"/>
        <v>51.890210541625592</v>
      </c>
      <c r="GJ115" s="137">
        <f t="shared" si="609"/>
        <v>0.18680475794985066</v>
      </c>
      <c r="GK115" s="251">
        <f t="shared" si="529"/>
        <v>40.341638396120864</v>
      </c>
      <c r="GL115" s="137">
        <f t="shared" si="610"/>
        <v>0.14522989822603397</v>
      </c>
      <c r="GM115" s="137">
        <f t="shared" ca="1" si="530"/>
        <v>9.1759721349782897</v>
      </c>
      <c r="GN115" s="137">
        <f t="shared" ca="1" si="611"/>
        <v>3.3033499685921577E-2</v>
      </c>
      <c r="GO115" s="137">
        <f t="shared" ca="1" si="366"/>
        <v>0.11615154601238249</v>
      </c>
      <c r="GP115" s="137">
        <f t="shared" ca="1" si="531"/>
        <v>10.185863755157079</v>
      </c>
      <c r="GQ115" s="137">
        <f t="shared" ca="1" si="612"/>
        <v>3.6669109518565196E-2</v>
      </c>
      <c r="GR115" s="137">
        <f t="shared" ca="1" si="406"/>
        <v>0.12893498424249367</v>
      </c>
      <c r="GS115" s="140">
        <f t="shared" si="532"/>
        <v>8.9294501106067389E-2</v>
      </c>
      <c r="GT115" s="140">
        <f t="shared" si="533"/>
        <v>7.226293602373085E-2</v>
      </c>
      <c r="GU115" s="140">
        <f t="shared" si="613"/>
        <v>321.4602039818426</v>
      </c>
      <c r="GV115" s="140">
        <f t="shared" si="614"/>
        <v>260.14656968543107</v>
      </c>
      <c r="GW115" s="141">
        <f t="shared" ca="1" si="534"/>
        <v>7.5923318866051451E-3</v>
      </c>
      <c r="GX115" s="141">
        <f t="shared" ca="1" si="535"/>
        <v>4.8526575528291286E-3</v>
      </c>
      <c r="GY115" s="141">
        <f t="shared" ca="1" si="615"/>
        <v>27.332394791778523</v>
      </c>
      <c r="GZ115" s="141">
        <f t="shared" ca="1" si="616"/>
        <v>17.469567190184865</v>
      </c>
      <c r="HA115" s="141">
        <f t="shared" ca="1" si="536"/>
        <v>1.4529120869925798E-2</v>
      </c>
      <c r="HB115" s="141">
        <f t="shared" ca="1" si="537"/>
        <v>1.5742218750682057E-2</v>
      </c>
      <c r="HC115" s="141">
        <f t="shared" ca="1" si="617"/>
        <v>52.304835131732872</v>
      </c>
      <c r="HD115" s="141">
        <f t="shared" ca="1" si="618"/>
        <v>56.671987502455409</v>
      </c>
      <c r="HE115" s="137">
        <f t="shared" si="367"/>
        <v>9.4808563643767574</v>
      </c>
      <c r="HF115" s="250">
        <f t="shared" si="368"/>
        <v>9.1038154278495913</v>
      </c>
      <c r="HG115" s="137">
        <v>3.2828622569243113</v>
      </c>
      <c r="HH115" s="251">
        <v>4.7770352876825362</v>
      </c>
      <c r="HI115" s="137">
        <f t="shared" ca="1" si="369"/>
        <v>1.2674587494572065</v>
      </c>
      <c r="HJ115" s="251">
        <f t="shared" ca="1" si="370"/>
        <v>1.5185680131842989</v>
      </c>
      <c r="HK115" s="137">
        <f t="shared" ca="1" si="371"/>
        <v>0.55261244725442538</v>
      </c>
      <c r="HL115" s="251">
        <f t="shared" ca="1" si="372"/>
        <v>1.0128227086902655</v>
      </c>
      <c r="HM115" s="137">
        <f t="shared" ca="1" si="373"/>
        <v>0.62198650669596545</v>
      </c>
      <c r="HN115" s="251">
        <f t="shared" ca="1" si="374"/>
        <v>1.0821967681318054</v>
      </c>
      <c r="HO115" s="137">
        <f t="shared" ca="1" si="375"/>
        <v>0.27317089893025281</v>
      </c>
      <c r="HP115" s="251">
        <f t="shared" ca="1" si="376"/>
        <v>0.76287618145381908</v>
      </c>
      <c r="JN115" s="143">
        <f t="shared" si="538"/>
        <v>19.22621750989849</v>
      </c>
      <c r="JO115" s="143">
        <f t="shared" si="490"/>
        <v>3282.8622569243112</v>
      </c>
      <c r="JP115" s="143">
        <f t="shared" si="539"/>
        <v>4087.9942281736803</v>
      </c>
      <c r="JQ115" s="143">
        <f t="shared" si="540"/>
        <v>0.72511706087324357</v>
      </c>
      <c r="JR115" s="143">
        <f t="shared" ca="1" si="491"/>
        <v>1.2616340247680615</v>
      </c>
      <c r="JS115" s="143">
        <f t="shared" si="541"/>
        <v>89.01081909179689</v>
      </c>
      <c r="JT115" s="143">
        <f t="shared" ca="1" si="492"/>
        <v>248.57784647904359</v>
      </c>
      <c r="JU115" s="143">
        <f t="shared" si="547"/>
        <v>0.29014660081196286</v>
      </c>
      <c r="JV115" s="143">
        <f t="shared" si="542"/>
        <v>0.36130593872518479</v>
      </c>
      <c r="JW115" s="143">
        <f t="shared" ca="1" si="543"/>
        <v>0.17214947348656962</v>
      </c>
      <c r="JX115" s="143">
        <f t="shared" ca="1" si="544"/>
        <v>0.29952354566724232</v>
      </c>
      <c r="JY115" s="143">
        <f t="shared" si="545"/>
        <v>0.81406536668731533</v>
      </c>
      <c r="JZ115" s="143">
        <f t="shared" si="546"/>
        <v>0.34964166657291224</v>
      </c>
      <c r="KA115" s="143">
        <f t="shared" si="493"/>
        <v>0.27372320831317254</v>
      </c>
      <c r="KB115" s="143">
        <f t="shared" si="494"/>
        <v>0.34085465917470265</v>
      </c>
      <c r="KC115" s="143">
        <f t="shared" ca="1" si="495"/>
        <v>0.41120443721577021</v>
      </c>
      <c r="KD115" s="143">
        <f t="shared" ca="1" si="496"/>
        <v>0.66695906926583315</v>
      </c>
      <c r="KE115" s="143">
        <f t="shared" ca="1" si="497"/>
        <v>0.70493296960290408</v>
      </c>
      <c r="KF115" s="143">
        <f t="shared" ca="1" si="498"/>
        <v>0.43919103708753293</v>
      </c>
      <c r="KG115" s="142">
        <f t="shared" si="499"/>
        <v>0.14522989822603397</v>
      </c>
      <c r="KH115" s="142">
        <f t="shared" ca="1" si="500"/>
        <v>0.12893498424249367</v>
      </c>
      <c r="KI115" s="142">
        <f t="shared" ca="1" si="501"/>
        <v>401.09743390535402</v>
      </c>
      <c r="KJ115" s="142">
        <f t="shared" ca="1" si="502"/>
        <v>334.28812437807136</v>
      </c>
    </row>
    <row r="116" spans="1:296" ht="15.75" customHeight="1" x14ac:dyDescent="0.3">
      <c r="A116" s="201">
        <v>41491</v>
      </c>
      <c r="B116" s="196">
        <v>148</v>
      </c>
      <c r="C116" s="179">
        <v>24</v>
      </c>
      <c r="D116" s="152">
        <v>4.2</v>
      </c>
      <c r="E116" s="152">
        <v>50016</v>
      </c>
      <c r="F116" s="152">
        <v>300</v>
      </c>
      <c r="G116" s="152">
        <v>11.7</v>
      </c>
      <c r="H116" s="152">
        <v>0.85</v>
      </c>
      <c r="I116" s="152">
        <v>1.4</v>
      </c>
      <c r="J116" s="152">
        <v>1.33</v>
      </c>
      <c r="K116" s="152">
        <v>0.91</v>
      </c>
      <c r="L116" s="152">
        <v>24895.072474576533</v>
      </c>
      <c r="M116" s="155">
        <v>19</v>
      </c>
      <c r="N116" s="153">
        <v>69426.484721779823</v>
      </c>
      <c r="O116" s="178">
        <v>17</v>
      </c>
      <c r="P116" s="152">
        <v>2</v>
      </c>
      <c r="Q116" s="152">
        <v>5</v>
      </c>
      <c r="R116" s="154">
        <v>354.45962524414062</v>
      </c>
      <c r="S116" s="155">
        <v>71.593331883283099</v>
      </c>
      <c r="T116" s="152">
        <v>180</v>
      </c>
      <c r="U116" s="156">
        <v>2.8127660751342773</v>
      </c>
      <c r="V116" s="178">
        <v>17</v>
      </c>
      <c r="W116" s="152">
        <v>1250</v>
      </c>
      <c r="X116" s="155">
        <v>64894.277857467532</v>
      </c>
      <c r="Y116" s="155">
        <v>7778.8878081757575</v>
      </c>
      <c r="Z116" s="155">
        <v>249.08966064453125</v>
      </c>
      <c r="AA116" s="155">
        <v>10.023119926452637</v>
      </c>
      <c r="AB116" s="155">
        <v>13.718581199645996</v>
      </c>
      <c r="AC116" s="215">
        <v>37</v>
      </c>
      <c r="AD116" s="215">
        <v>27.860000610351563</v>
      </c>
      <c r="AE116" s="254">
        <v>20</v>
      </c>
      <c r="AF116" s="254">
        <v>10</v>
      </c>
      <c r="AG116" s="217">
        <v>5000000</v>
      </c>
      <c r="AH116" s="218">
        <v>300000</v>
      </c>
      <c r="AI116" s="219">
        <v>5000000</v>
      </c>
      <c r="AJ116" s="225">
        <f t="shared" si="473"/>
        <v>300000</v>
      </c>
      <c r="AK116" s="220">
        <v>2750000</v>
      </c>
      <c r="AL116" s="226">
        <f t="shared" si="474"/>
        <v>300000</v>
      </c>
      <c r="AM116" s="221">
        <v>14.407</v>
      </c>
      <c r="BM116" s="197">
        <f t="shared" si="475"/>
        <v>9.1399993896484375</v>
      </c>
      <c r="BN116" s="196">
        <f t="shared" si="476"/>
        <v>180</v>
      </c>
      <c r="BO116" s="197">
        <f t="shared" si="477"/>
        <v>3.6954612731933594</v>
      </c>
      <c r="BP116" s="196">
        <f t="shared" si="472"/>
        <v>12.675267358584302</v>
      </c>
      <c r="BQ116" s="115">
        <f t="shared" si="478"/>
        <v>659.74492511188635</v>
      </c>
      <c r="BR116" s="184">
        <f t="shared" si="479"/>
        <v>1.0041987768</v>
      </c>
      <c r="BS116" s="115">
        <f t="shared" si="480"/>
        <v>6863.8528613899143</v>
      </c>
      <c r="BT116" s="196">
        <v>900</v>
      </c>
      <c r="BU116" s="115">
        <f t="shared" si="548"/>
        <v>1.1850729520000001</v>
      </c>
      <c r="BV116" s="115">
        <f t="shared" si="549"/>
        <v>1.0696445904277194</v>
      </c>
      <c r="BW116" s="115">
        <f t="shared" si="550"/>
        <v>461.47243989726167</v>
      </c>
      <c r="BX116" s="115">
        <f t="shared" si="503"/>
        <v>1110.1463452884727</v>
      </c>
      <c r="BY116" s="115"/>
      <c r="BZ116" s="115">
        <f t="shared" si="504"/>
        <v>648.67390539121106</v>
      </c>
      <c r="CA116" s="115">
        <f t="shared" si="505"/>
        <v>10502.774672753319</v>
      </c>
      <c r="CB116" s="115">
        <f t="shared" si="506"/>
        <v>2892.7701967408261</v>
      </c>
      <c r="CC116" s="115">
        <f t="shared" si="507"/>
        <v>1037.2946864406888</v>
      </c>
      <c r="CD116" s="129">
        <f t="shared" si="551"/>
        <v>0.20495054330954718</v>
      </c>
      <c r="CE116" s="115">
        <f t="shared" si="508"/>
        <v>14.652332979090074</v>
      </c>
      <c r="CF116" s="115">
        <f t="shared" si="509"/>
        <v>19.887036634245305</v>
      </c>
      <c r="CG116" s="115">
        <f t="shared" si="510"/>
        <v>0.02</v>
      </c>
      <c r="CH116" s="115">
        <f t="shared" si="511"/>
        <v>0.05</v>
      </c>
      <c r="CI116" s="136">
        <v>30</v>
      </c>
      <c r="CJ116" s="115">
        <f t="shared" si="552"/>
        <v>165</v>
      </c>
      <c r="CK116" s="115">
        <f t="shared" si="512"/>
        <v>453</v>
      </c>
      <c r="CL116" s="115">
        <f t="shared" si="513"/>
        <v>627.45962524414062</v>
      </c>
      <c r="CM116" s="115">
        <f t="shared" ca="1" si="514"/>
        <v>2816.5993052117487</v>
      </c>
      <c r="CN116" s="115">
        <f t="shared" ca="1" si="553"/>
        <v>125.80344444444444</v>
      </c>
      <c r="CO116" s="115">
        <f t="shared" ca="1" si="554"/>
        <v>690.58718083896258</v>
      </c>
      <c r="CP116" s="115">
        <f t="shared" ca="1" si="555"/>
        <v>2790.6388281929471</v>
      </c>
      <c r="CQ116" s="115">
        <f t="shared" si="556"/>
        <v>1.072449112508886</v>
      </c>
      <c r="CR116" s="115">
        <f t="shared" ca="1" si="481"/>
        <v>463.34298894277373</v>
      </c>
      <c r="CS116" s="115">
        <f t="shared" ca="1" si="482"/>
        <v>22.955493458714063</v>
      </c>
      <c r="CT116" s="115">
        <f t="shared" si="557"/>
        <v>1.1120795446908833</v>
      </c>
      <c r="CU116" s="115">
        <f t="shared" ca="1" si="558"/>
        <v>1.0118841890540271</v>
      </c>
      <c r="CV116" s="115">
        <f t="shared" si="360"/>
        <v>175.67390539121106</v>
      </c>
      <c r="CW116" s="115">
        <f t="shared" si="559"/>
        <v>473</v>
      </c>
      <c r="CX116" s="115">
        <f t="shared" si="560"/>
        <v>438</v>
      </c>
      <c r="CY116" s="115">
        <f t="shared" ca="1" si="561"/>
        <v>450.04450654128595</v>
      </c>
      <c r="CZ116" s="115">
        <f t="shared" ca="1" si="562"/>
        <v>177.41511870285467</v>
      </c>
      <c r="DA116" s="115">
        <v>0.21890000000000001</v>
      </c>
      <c r="DB116" s="115">
        <v>2.7E-2</v>
      </c>
      <c r="DC116" s="115">
        <v>1.06</v>
      </c>
      <c r="DD116" s="138">
        <f t="shared" si="515"/>
        <v>10.86585475662053</v>
      </c>
      <c r="DE116" s="138">
        <f t="shared" si="563"/>
        <v>10.86585475662053</v>
      </c>
      <c r="DF116" s="115">
        <f t="shared" si="564"/>
        <v>627.45962524414062</v>
      </c>
      <c r="DG116" s="115">
        <v>648.67390539121106</v>
      </c>
      <c r="DH116" s="115">
        <f t="shared" si="565"/>
        <v>1.1120795446908833</v>
      </c>
      <c r="DI116" s="115">
        <f t="shared" si="566"/>
        <v>1.1177354764955647</v>
      </c>
      <c r="DJ116" s="138">
        <f t="shared" si="483"/>
        <v>2.29509950121296</v>
      </c>
      <c r="DK116" s="138">
        <f t="shared" si="484"/>
        <v>2.5493504294250773</v>
      </c>
      <c r="DL116" s="115">
        <f t="shared" si="567"/>
        <v>627.45962524414062</v>
      </c>
      <c r="DM116" s="115">
        <f t="shared" si="619"/>
        <v>648.67390539121106</v>
      </c>
      <c r="DN116" s="115">
        <f t="shared" si="568"/>
        <v>12.790497061844158</v>
      </c>
      <c r="DO116" s="115">
        <f t="shared" si="569"/>
        <v>1.1120795446908833</v>
      </c>
      <c r="DP116" s="115">
        <f t="shared" si="570"/>
        <v>1.1177354764955647</v>
      </c>
      <c r="DQ116" s="115">
        <v>298.14999999999998</v>
      </c>
      <c r="DR116" s="138">
        <f t="shared" si="571"/>
        <v>1.5285362678078316</v>
      </c>
      <c r="DS116" s="138">
        <f t="shared" si="572"/>
        <v>1.6978673859971016</v>
      </c>
      <c r="DT116" s="115">
        <f t="shared" si="573"/>
        <v>627.45962524414062</v>
      </c>
      <c r="DU116" s="139">
        <f t="shared" si="422"/>
        <v>6.4144534814653884</v>
      </c>
      <c r="DV116" s="115">
        <f t="shared" si="574"/>
        <v>1.1120795446908833</v>
      </c>
      <c r="DW116" s="115">
        <v>298.14999999999998</v>
      </c>
      <c r="DX116" s="138">
        <f t="shared" si="485"/>
        <v>0.76656323340512866</v>
      </c>
      <c r="DY116" s="138">
        <f t="shared" si="486"/>
        <v>0.85148304342797576</v>
      </c>
      <c r="DZ116" s="138">
        <f t="shared" si="575"/>
        <v>2.8927701967408264</v>
      </c>
      <c r="EA116" s="138">
        <f t="shared" si="576"/>
        <v>3.6389218113634052</v>
      </c>
      <c r="EB116" s="115">
        <f t="shared" si="577"/>
        <v>19.887036634245305</v>
      </c>
      <c r="EC116" s="115">
        <v>30</v>
      </c>
      <c r="ED116" s="198">
        <f t="shared" ca="1" si="578"/>
        <v>125.80344444444444</v>
      </c>
      <c r="EE116" s="198">
        <v>104.83</v>
      </c>
      <c r="EF116" s="198">
        <f t="shared" ca="1" si="579"/>
        <v>0.42491111111111107</v>
      </c>
      <c r="EG116" s="199">
        <v>0.36720000000000003</v>
      </c>
      <c r="EH116" s="138">
        <f t="shared" ca="1" si="580"/>
        <v>7.491201426668416E-2</v>
      </c>
      <c r="EI116" s="138">
        <f t="shared" ca="1" si="581"/>
        <v>7.491201426668416E-2</v>
      </c>
      <c r="EJ116" s="115">
        <f t="shared" si="582"/>
        <v>12.790497061844158</v>
      </c>
      <c r="EK116" s="115">
        <v>435</v>
      </c>
      <c r="EL116" s="115">
        <f t="shared" ca="1" si="583"/>
        <v>450.04450654128595</v>
      </c>
      <c r="EM116" s="115">
        <f t="shared" ca="1" si="584"/>
        <v>1.0622260926195828</v>
      </c>
      <c r="EN116" s="115">
        <f t="shared" ca="1" si="585"/>
        <v>1.0668910033046355</v>
      </c>
      <c r="EO116" s="115">
        <v>298.14999999999998</v>
      </c>
      <c r="EP116" s="138">
        <f t="shared" ca="1" si="586"/>
        <v>0.32911751162965236</v>
      </c>
      <c r="EQ116" s="138">
        <f t="shared" ca="1" si="587"/>
        <v>0.39752783907676514</v>
      </c>
      <c r="ER116" s="115">
        <f t="shared" si="588"/>
        <v>0.78132390975952148</v>
      </c>
      <c r="ES116" s="115">
        <f t="shared" si="589"/>
        <v>453</v>
      </c>
      <c r="ET116" s="115">
        <f t="shared" ca="1" si="516"/>
        <v>2816.5993052117487</v>
      </c>
      <c r="EU116" s="115">
        <f t="shared" ca="1" si="517"/>
        <v>6.5855309782608691</v>
      </c>
      <c r="EV116" s="138">
        <f t="shared" ca="1" si="590"/>
        <v>0.67019927602325524</v>
      </c>
      <c r="EW116" s="138">
        <f t="shared" ca="1" si="487"/>
        <v>0.93303238824909818</v>
      </c>
      <c r="EX116" s="115">
        <v>21.47</v>
      </c>
      <c r="EY116" s="115">
        <f t="shared" ca="1" si="518"/>
        <v>116.6816425543891</v>
      </c>
      <c r="EZ116" s="115">
        <f t="shared" ca="1" si="519"/>
        <v>0.39507000851101343</v>
      </c>
      <c r="FA116" s="138">
        <f t="shared" ca="1" si="591"/>
        <v>7.6051023626349912E-2</v>
      </c>
      <c r="FB116" s="138">
        <f t="shared" ca="1" si="592"/>
        <v>7.6051023626349912E-2</v>
      </c>
      <c r="FC116" s="115">
        <f t="shared" si="593"/>
        <v>21.47</v>
      </c>
      <c r="FD116" s="115">
        <v>37</v>
      </c>
      <c r="FE116" s="115">
        <f t="shared" ca="1" si="594"/>
        <v>154.93355555555553</v>
      </c>
      <c r="FF116" s="115">
        <f t="shared" ca="1" si="595"/>
        <v>0.52252222222222222</v>
      </c>
      <c r="FG116" s="138">
        <f t="shared" ca="1" si="596"/>
        <v>8.1462225449999703E-2</v>
      </c>
      <c r="FH116" s="138">
        <f t="shared" ca="1" si="597"/>
        <v>8.1462225449999703E-2</v>
      </c>
      <c r="FI116" s="115">
        <f t="shared" si="598"/>
        <v>69.745104980468753</v>
      </c>
      <c r="FJ116" s="115">
        <f t="shared" ca="1" si="520"/>
        <v>42.032315016640567</v>
      </c>
      <c r="FK116" s="115">
        <f t="shared" ca="1" si="521"/>
        <v>0.14634461675220067</v>
      </c>
      <c r="FL116" s="138">
        <f t="shared" ca="1" si="599"/>
        <v>0.2127468088442965</v>
      </c>
      <c r="FM116" s="138">
        <f t="shared" ca="1" si="488"/>
        <v>0.44227923490724624</v>
      </c>
      <c r="FN116" s="115">
        <f t="shared" si="600"/>
        <v>69.745104980468753</v>
      </c>
      <c r="FO116" s="115">
        <f t="shared" ca="1" si="522"/>
        <v>57.498231051762907</v>
      </c>
      <c r="FP116" s="115">
        <f t="shared" ca="1" si="523"/>
        <v>0.19787577117284139</v>
      </c>
      <c r="FQ116" s="138">
        <f t="shared" ca="1" si="601"/>
        <v>0.21985399856675969</v>
      </c>
      <c r="FR116" s="138">
        <f t="shared" ca="1" si="489"/>
        <v>0.45705436808018229</v>
      </c>
      <c r="FS116" s="139">
        <f t="shared" si="602"/>
        <v>5.677985058666744</v>
      </c>
      <c r="FT116" s="249">
        <f t="shared" si="603"/>
        <v>4.6775825158320483</v>
      </c>
      <c r="FU116" s="139">
        <f t="shared" ca="1" si="604"/>
        <v>0.60413149442160807</v>
      </c>
      <c r="FV116" s="249">
        <f t="shared" ca="1" si="605"/>
        <v>0.44221917293792257</v>
      </c>
      <c r="FW116" s="139">
        <f t="shared" ca="1" si="606"/>
        <v>0.67189526392206866</v>
      </c>
      <c r="FX116" s="249">
        <f t="shared" ca="1" si="607"/>
        <v>0.94239631959838466</v>
      </c>
      <c r="FY116" s="249">
        <f t="shared" si="524"/>
        <v>0.15000000000000002</v>
      </c>
      <c r="FZ116" s="139">
        <f t="shared" si="525"/>
        <v>1050000</v>
      </c>
      <c r="GA116" s="139">
        <f t="shared" si="608"/>
        <v>3.3757716049382713E-2</v>
      </c>
      <c r="GB116" s="139">
        <f t="shared" si="361"/>
        <v>121.52777777777777</v>
      </c>
      <c r="GC116" s="139">
        <f t="shared" si="526"/>
        <v>1050000</v>
      </c>
      <c r="GD116" s="139">
        <f t="shared" si="362"/>
        <v>6.7515432098765427E-2</v>
      </c>
      <c r="GE116" s="139">
        <f t="shared" si="363"/>
        <v>243.05555555555554</v>
      </c>
      <c r="GF116" s="139">
        <f t="shared" si="364"/>
        <v>4.5814043209876545E-2</v>
      </c>
      <c r="GG116" s="139">
        <f t="shared" si="527"/>
        <v>712500</v>
      </c>
      <c r="GH116" s="139">
        <f t="shared" si="365"/>
        <v>164.93055555555554</v>
      </c>
      <c r="GI116" s="137">
        <f t="shared" si="528"/>
        <v>54.355021768128012</v>
      </c>
      <c r="GJ116" s="137">
        <f t="shared" si="609"/>
        <v>0.19567807836525927</v>
      </c>
      <c r="GK116" s="251">
        <f t="shared" si="529"/>
        <v>42.203048554579347</v>
      </c>
      <c r="GL116" s="137">
        <f t="shared" si="610"/>
        <v>0.15193097479648443</v>
      </c>
      <c r="GM116" s="137">
        <f t="shared" ca="1" si="530"/>
        <v>8.0809780134213316</v>
      </c>
      <c r="GN116" s="137">
        <f t="shared" ca="1" si="611"/>
        <v>2.9091520848316562E-2</v>
      </c>
      <c r="GO116" s="137">
        <f t="shared" ca="1" si="366"/>
        <v>0.10229086092938314</v>
      </c>
      <c r="GP116" s="137">
        <f t="shared" ca="1" si="531"/>
        <v>9.0522678081788825</v>
      </c>
      <c r="GQ116" s="137">
        <f t="shared" ca="1" si="612"/>
        <v>3.2588164109443721E-2</v>
      </c>
      <c r="GR116" s="137">
        <f t="shared" ca="1" si="406"/>
        <v>0.11458566845795964</v>
      </c>
      <c r="GS116" s="140">
        <f t="shared" si="532"/>
        <v>8.1802730740211785E-2</v>
      </c>
      <c r="GT116" s="140">
        <f t="shared" si="533"/>
        <v>6.7389931305592329E-2</v>
      </c>
      <c r="GU116" s="140">
        <f t="shared" si="613"/>
        <v>294.48983066476245</v>
      </c>
      <c r="GV116" s="140">
        <f t="shared" si="614"/>
        <v>242.60375270013239</v>
      </c>
      <c r="GW116" s="141">
        <f t="shared" ca="1" si="534"/>
        <v>5.7966791451279833E-3</v>
      </c>
      <c r="GX116" s="141">
        <f t="shared" ca="1" si="535"/>
        <v>4.2431203819280885E-3</v>
      </c>
      <c r="GY116" s="141">
        <f t="shared" ca="1" si="615"/>
        <v>20.86804492246074</v>
      </c>
      <c r="GZ116" s="141">
        <f t="shared" ca="1" si="616"/>
        <v>15.275233374941118</v>
      </c>
      <c r="HA116" s="141">
        <f t="shared" ca="1" si="536"/>
        <v>1.2989535216541928E-2</v>
      </c>
      <c r="HB116" s="141">
        <f t="shared" ca="1" si="537"/>
        <v>1.3702188071307249E-2</v>
      </c>
      <c r="HC116" s="141">
        <f t="shared" ca="1" si="617"/>
        <v>46.762326779550939</v>
      </c>
      <c r="HD116" s="141">
        <f t="shared" ca="1" si="618"/>
        <v>49.327877056706093</v>
      </c>
      <c r="HE116" s="137">
        <f t="shared" si="367"/>
        <v>8.5707552554075708</v>
      </c>
      <c r="HF116" s="250">
        <f t="shared" si="368"/>
        <v>8.3165043271954531</v>
      </c>
      <c r="HG116" s="137">
        <v>2.8927701967408264</v>
      </c>
      <c r="HH116" s="251">
        <v>4.1217432866370949</v>
      </c>
      <c r="HI116" s="137">
        <f t="shared" ca="1" si="369"/>
        <v>1.1310084287310664</v>
      </c>
      <c r="HJ116" s="251">
        <f t="shared" ca="1" si="370"/>
        <v>1.3003395469203365</v>
      </c>
      <c r="HK116" s="137">
        <f t="shared" ca="1" si="371"/>
        <v>0.5952872617565711</v>
      </c>
      <c r="HL116" s="251">
        <f t="shared" ca="1" si="372"/>
        <v>0.85812037398241403</v>
      </c>
      <c r="HM116" s="137">
        <f t="shared" ca="1" si="373"/>
        <v>0.67019927602325524</v>
      </c>
      <c r="HN116" s="251">
        <f t="shared" ca="1" si="374"/>
        <v>0.93303238824909818</v>
      </c>
      <c r="HO116" s="137">
        <f t="shared" ca="1" si="375"/>
        <v>0.2127468088442965</v>
      </c>
      <c r="HP116" s="251">
        <f t="shared" ca="1" si="376"/>
        <v>0.44227923490724624</v>
      </c>
      <c r="JN116" s="143">
        <f t="shared" si="538"/>
        <v>19.204950543309547</v>
      </c>
      <c r="JO116" s="143">
        <f t="shared" si="490"/>
        <v>2892.7701967408261</v>
      </c>
      <c r="JP116" s="143">
        <f t="shared" si="539"/>
        <v>3638.9218113634051</v>
      </c>
      <c r="JQ116" s="143">
        <f t="shared" si="540"/>
        <v>0.78132390975952148</v>
      </c>
      <c r="JR116" s="143">
        <f t="shared" ca="1" si="491"/>
        <v>1.0877369457106869</v>
      </c>
      <c r="JS116" s="143">
        <f t="shared" si="541"/>
        <v>69.745104980468753</v>
      </c>
      <c r="JT116" s="143">
        <f t="shared" ca="1" si="492"/>
        <v>144.99306399403252</v>
      </c>
      <c r="JU116" s="143">
        <f t="shared" si="547"/>
        <v>0.2821992818077167</v>
      </c>
      <c r="JV116" s="143">
        <f t="shared" si="542"/>
        <v>0.35498883488158123</v>
      </c>
      <c r="JW116" s="143">
        <f t="shared" ca="1" si="543"/>
        <v>0.20470633912888267</v>
      </c>
      <c r="JX116" s="143">
        <f t="shared" ca="1" si="544"/>
        <v>0.28498634856854699</v>
      </c>
      <c r="JY116" s="143">
        <f t="shared" si="545"/>
        <v>0.62464911523372213</v>
      </c>
      <c r="JZ116" s="143">
        <f t="shared" si="546"/>
        <v>0.6442812777461856</v>
      </c>
      <c r="KA116" s="143">
        <f t="shared" si="493"/>
        <v>0.26622573755444973</v>
      </c>
      <c r="KB116" s="143">
        <f t="shared" si="494"/>
        <v>0.33489512724677473</v>
      </c>
      <c r="KC116" s="143">
        <f t="shared" ca="1" si="495"/>
        <v>0.49631311724138022</v>
      </c>
      <c r="KD116" s="143">
        <f t="shared" ca="1" si="496"/>
        <v>0.65992023084643259</v>
      </c>
      <c r="KE116" s="143">
        <f t="shared" ca="1" si="497"/>
        <v>0.47402345350220348</v>
      </c>
      <c r="KF116" s="143">
        <f t="shared" ca="1" si="498"/>
        <v>0.31743813587305997</v>
      </c>
      <c r="KG116" s="142">
        <f t="shared" si="499"/>
        <v>0.15193097479648443</v>
      </c>
      <c r="KH116" s="142">
        <f t="shared" ca="1" si="500"/>
        <v>0.11458566845795964</v>
      </c>
      <c r="KI116" s="142">
        <f t="shared" ca="1" si="501"/>
        <v>362.12020236677415</v>
      </c>
      <c r="KJ116" s="142">
        <f t="shared" ca="1" si="502"/>
        <v>307.20686313177958</v>
      </c>
    </row>
    <row r="117" spans="1:296" x14ac:dyDescent="0.3">
      <c r="A117" s="201">
        <v>41499</v>
      </c>
      <c r="B117" s="196">
        <v>151</v>
      </c>
      <c r="C117" s="179">
        <v>24</v>
      </c>
      <c r="D117" s="152">
        <v>4.2</v>
      </c>
      <c r="E117" s="152">
        <v>50016</v>
      </c>
      <c r="F117" s="152">
        <v>300</v>
      </c>
      <c r="G117" s="152">
        <v>11.7</v>
      </c>
      <c r="H117" s="152">
        <v>0.85</v>
      </c>
      <c r="I117" s="152">
        <v>1.4</v>
      </c>
      <c r="J117" s="152">
        <v>1.33</v>
      </c>
      <c r="K117" s="152">
        <v>0.91</v>
      </c>
      <c r="L117" s="152">
        <v>27258.488598503172</v>
      </c>
      <c r="M117" s="155">
        <v>19</v>
      </c>
      <c r="N117" s="153">
        <v>80970.76305642724</v>
      </c>
      <c r="O117" s="178">
        <v>17</v>
      </c>
      <c r="P117" s="152">
        <v>2</v>
      </c>
      <c r="Q117" s="152">
        <v>5</v>
      </c>
      <c r="R117" s="154">
        <v>377.05044555664062</v>
      </c>
      <c r="S117" s="155">
        <v>88.248387594649103</v>
      </c>
      <c r="T117" s="152">
        <v>180</v>
      </c>
      <c r="U117" s="156">
        <v>3.4847874641418457</v>
      </c>
      <c r="V117" s="178">
        <v>17</v>
      </c>
      <c r="W117" s="152">
        <v>1250</v>
      </c>
      <c r="X117" s="155">
        <v>59916.225675240159</v>
      </c>
      <c r="Y117" s="155">
        <v>6740.6120914388448</v>
      </c>
      <c r="Z117" s="155">
        <v>267.56436157226562</v>
      </c>
      <c r="AA117" s="155">
        <v>9.7861776351928711</v>
      </c>
      <c r="AB117" s="155">
        <v>13.146313667297363</v>
      </c>
      <c r="AC117" s="215">
        <v>37</v>
      </c>
      <c r="AD117" s="215">
        <v>27.904317855834961</v>
      </c>
      <c r="AE117" s="254">
        <v>20</v>
      </c>
      <c r="AF117" s="254">
        <v>10</v>
      </c>
      <c r="AG117" s="217">
        <v>5000000</v>
      </c>
      <c r="AH117" s="218">
        <v>300000</v>
      </c>
      <c r="AI117" s="219">
        <v>5000000</v>
      </c>
      <c r="AJ117" s="225">
        <f t="shared" si="473"/>
        <v>300000</v>
      </c>
      <c r="AK117" s="220">
        <v>2750000</v>
      </c>
      <c r="AL117" s="226">
        <f t="shared" si="474"/>
        <v>300000</v>
      </c>
      <c r="AM117" s="221">
        <v>14.407</v>
      </c>
      <c r="BM117" s="197">
        <f t="shared" si="475"/>
        <v>9.0956821441650391</v>
      </c>
      <c r="BN117" s="196">
        <f t="shared" si="476"/>
        <v>180</v>
      </c>
      <c r="BO117" s="197">
        <f t="shared" si="477"/>
        <v>3.3601360321044922</v>
      </c>
      <c r="BP117" s="196">
        <f t="shared" si="472"/>
        <v>12.688108978412707</v>
      </c>
      <c r="BQ117" s="115">
        <f t="shared" si="478"/>
        <v>659.74492511188635</v>
      </c>
      <c r="BR117" s="184">
        <f t="shared" si="479"/>
        <v>1.0041987768</v>
      </c>
      <c r="BS117" s="115">
        <f t="shared" si="480"/>
        <v>6863.8528613899143</v>
      </c>
      <c r="BT117" s="196">
        <v>900</v>
      </c>
      <c r="BU117" s="115">
        <f t="shared" si="548"/>
        <v>1.1850729520000001</v>
      </c>
      <c r="BV117" s="115">
        <f t="shared" si="549"/>
        <v>1.0739288102282019</v>
      </c>
      <c r="BW117" s="115">
        <f t="shared" si="550"/>
        <v>479.03924254792662</v>
      </c>
      <c r="BX117" s="115">
        <f t="shared" si="503"/>
        <v>1152.4061209001677</v>
      </c>
      <c r="BY117" s="115"/>
      <c r="BZ117" s="115">
        <f t="shared" si="504"/>
        <v>673.36687835224109</v>
      </c>
      <c r="CA117" s="115">
        <f t="shared" si="505"/>
        <v>10913.627901895345</v>
      </c>
      <c r="CB117" s="115">
        <f t="shared" si="506"/>
        <v>3373.7817940178015</v>
      </c>
      <c r="CC117" s="115">
        <f t="shared" si="507"/>
        <v>1135.7703582709655</v>
      </c>
      <c r="CD117" s="129">
        <f t="shared" si="551"/>
        <v>0.22440754304955493</v>
      </c>
      <c r="CE117" s="115">
        <f t="shared" si="508"/>
        <v>15.739080092486214</v>
      </c>
      <c r="CF117" s="115">
        <f t="shared" si="509"/>
        <v>24.513440998513641</v>
      </c>
      <c r="CG117" s="115">
        <f t="shared" si="510"/>
        <v>0.02</v>
      </c>
      <c r="CH117" s="115">
        <f t="shared" si="511"/>
        <v>0.05</v>
      </c>
      <c r="CI117" s="136">
        <v>30</v>
      </c>
      <c r="CJ117" s="115">
        <f t="shared" si="552"/>
        <v>165</v>
      </c>
      <c r="CK117" s="115">
        <f t="shared" si="512"/>
        <v>453</v>
      </c>
      <c r="CL117" s="115">
        <f t="shared" si="513"/>
        <v>650.05044555664063</v>
      </c>
      <c r="CM117" s="115">
        <f t="shared" ca="1" si="514"/>
        <v>2816.5993052117487</v>
      </c>
      <c r="CN117" s="115">
        <f t="shared" ca="1" si="553"/>
        <v>125.80344444444444</v>
      </c>
      <c r="CO117" s="115">
        <f t="shared" ca="1" si="554"/>
        <v>690.58718083896258</v>
      </c>
      <c r="CP117" s="115">
        <f t="shared" ca="1" si="555"/>
        <v>2790.6388281929471</v>
      </c>
      <c r="CQ117" s="115">
        <f t="shared" si="556"/>
        <v>1.072449112508886</v>
      </c>
      <c r="CR117" s="115">
        <f t="shared" ca="1" si="481"/>
        <v>574.04412465715302</v>
      </c>
      <c r="CS117" s="115">
        <f t="shared" ca="1" si="482"/>
        <v>28.411197676663097</v>
      </c>
      <c r="CT117" s="115">
        <f t="shared" si="557"/>
        <v>1.1181035776010539</v>
      </c>
      <c r="CU117" s="115">
        <f t="shared" ca="1" si="558"/>
        <v>1.0163815854262235</v>
      </c>
      <c r="CV117" s="115">
        <f t="shared" si="360"/>
        <v>200.36687835224109</v>
      </c>
      <c r="CW117" s="115">
        <f t="shared" si="559"/>
        <v>473</v>
      </c>
      <c r="CX117" s="115">
        <f t="shared" si="560"/>
        <v>438</v>
      </c>
      <c r="CY117" s="115">
        <f t="shared" ca="1" si="561"/>
        <v>444.58880232333689</v>
      </c>
      <c r="CZ117" s="115">
        <f t="shared" ca="1" si="562"/>
        <v>205.46164323330373</v>
      </c>
      <c r="DA117" s="115">
        <v>0.21890000000000001</v>
      </c>
      <c r="DB117" s="115">
        <v>2.7E-2</v>
      </c>
      <c r="DC117" s="115">
        <v>1.06</v>
      </c>
      <c r="DD117" s="138">
        <f t="shared" si="515"/>
        <v>11.897405733556532</v>
      </c>
      <c r="DE117" s="138">
        <f t="shared" si="563"/>
        <v>11.897405733556532</v>
      </c>
      <c r="DF117" s="115">
        <f t="shared" si="564"/>
        <v>650.05044555664063</v>
      </c>
      <c r="DG117" s="115">
        <v>673.36687835224109</v>
      </c>
      <c r="DH117" s="115">
        <f t="shared" si="565"/>
        <v>1.1181035776010539</v>
      </c>
      <c r="DI117" s="115">
        <f t="shared" si="566"/>
        <v>1.124355804133288</v>
      </c>
      <c r="DJ117" s="138">
        <f t="shared" si="483"/>
        <v>2.5687768413052754</v>
      </c>
      <c r="DK117" s="138">
        <f t="shared" si="484"/>
        <v>2.8600197311015934</v>
      </c>
      <c r="DL117" s="115">
        <f t="shared" si="567"/>
        <v>650.05044555664063</v>
      </c>
      <c r="DM117" s="115">
        <f t="shared" si="619"/>
        <v>673.36687835224109</v>
      </c>
      <c r="DN117" s="115">
        <f t="shared" si="568"/>
        <v>12.803455423671004</v>
      </c>
      <c r="DO117" s="115">
        <f t="shared" si="569"/>
        <v>1.1181035776010539</v>
      </c>
      <c r="DP117" s="115">
        <f t="shared" si="570"/>
        <v>1.124355804133288</v>
      </c>
      <c r="DQ117" s="115">
        <v>298.14999999999998</v>
      </c>
      <c r="DR117" s="138">
        <f t="shared" si="571"/>
        <v>1.7108053763093134</v>
      </c>
      <c r="DS117" s="138">
        <f t="shared" si="572"/>
        <v>1.9047731409136615</v>
      </c>
      <c r="DT117" s="115">
        <f t="shared" si="573"/>
        <v>650.05044555664063</v>
      </c>
      <c r="DU117" s="139">
        <f t="shared" si="422"/>
        <v>6.4209521193785513</v>
      </c>
      <c r="DV117" s="115">
        <f t="shared" si="574"/>
        <v>1.1181035776010539</v>
      </c>
      <c r="DW117" s="115">
        <v>298.14999999999998</v>
      </c>
      <c r="DX117" s="138">
        <f t="shared" si="485"/>
        <v>0.857971464995962</v>
      </c>
      <c r="DY117" s="138">
        <f t="shared" si="486"/>
        <v>0.95524659018793212</v>
      </c>
      <c r="DZ117" s="138">
        <f t="shared" si="575"/>
        <v>3.3737817940178014</v>
      </c>
      <c r="EA117" s="138">
        <f t="shared" si="576"/>
        <v>4.0497750405054305</v>
      </c>
      <c r="EB117" s="115">
        <f t="shared" si="577"/>
        <v>24.513440998513641</v>
      </c>
      <c r="EC117" s="115">
        <v>30</v>
      </c>
      <c r="ED117" s="198">
        <f t="shared" ca="1" si="578"/>
        <v>125.80344444444444</v>
      </c>
      <c r="EE117" s="198">
        <v>104.83</v>
      </c>
      <c r="EF117" s="198">
        <f t="shared" ca="1" si="579"/>
        <v>0.42491111111111107</v>
      </c>
      <c r="EG117" s="199">
        <v>0.36720000000000003</v>
      </c>
      <c r="EH117" s="138">
        <f t="shared" ca="1" si="580"/>
        <v>9.2339108917011456E-2</v>
      </c>
      <c r="EI117" s="138">
        <f t="shared" ca="1" si="581"/>
        <v>9.2339108917011456E-2</v>
      </c>
      <c r="EJ117" s="115">
        <f t="shared" si="582"/>
        <v>12.803455423671004</v>
      </c>
      <c r="EK117" s="115">
        <v>435</v>
      </c>
      <c r="EL117" s="115">
        <f t="shared" ca="1" si="583"/>
        <v>444.58880232333689</v>
      </c>
      <c r="EM117" s="115">
        <f t="shared" ca="1" si="584"/>
        <v>1.0626270867413075</v>
      </c>
      <c r="EN117" s="115">
        <f t="shared" ca="1" si="585"/>
        <v>1.0655861330894281</v>
      </c>
      <c r="EO117" s="115">
        <v>298.14999999999998</v>
      </c>
      <c r="EP117" s="138">
        <f t="shared" ca="1" si="586"/>
        <v>0.32957531744110263</v>
      </c>
      <c r="EQ117" s="138">
        <f t="shared" ca="1" si="587"/>
        <v>0.37262327940510737</v>
      </c>
      <c r="ER117" s="115">
        <f t="shared" si="588"/>
        <v>0.96799651781717944</v>
      </c>
      <c r="ES117" s="115">
        <f t="shared" si="589"/>
        <v>453</v>
      </c>
      <c r="ET117" s="115">
        <f t="shared" ca="1" si="516"/>
        <v>2816.5993052117487</v>
      </c>
      <c r="EU117" s="115">
        <f t="shared" ca="1" si="517"/>
        <v>6.5855309782608691</v>
      </c>
      <c r="EV117" s="138">
        <f t="shared" ca="1" si="590"/>
        <v>0.83032217154826404</v>
      </c>
      <c r="EW117" s="138">
        <f t="shared" ca="1" si="487"/>
        <v>1.0710292992152826</v>
      </c>
      <c r="EX117" s="115">
        <v>21.47</v>
      </c>
      <c r="EY117" s="115">
        <f t="shared" ca="1" si="518"/>
        <v>116.86711515087552</v>
      </c>
      <c r="EZ117" s="115">
        <f t="shared" ca="1" si="519"/>
        <v>0.3956879878785875</v>
      </c>
      <c r="FA117" s="138">
        <f t="shared" ca="1" si="591"/>
        <v>7.6077260997859122E-2</v>
      </c>
      <c r="FB117" s="138">
        <f t="shared" ca="1" si="592"/>
        <v>7.6077260997859122E-2</v>
      </c>
      <c r="FC117" s="115">
        <f t="shared" si="593"/>
        <v>21.47</v>
      </c>
      <c r="FD117" s="115">
        <v>37</v>
      </c>
      <c r="FE117" s="115">
        <f t="shared" ca="1" si="594"/>
        <v>154.93355555555553</v>
      </c>
      <c r="FF117" s="115">
        <f t="shared" ca="1" si="595"/>
        <v>0.52252222222222222</v>
      </c>
      <c r="FG117" s="138">
        <f t="shared" ca="1" si="596"/>
        <v>8.1462225449999703E-2</v>
      </c>
      <c r="FH117" s="138">
        <f t="shared" ca="1" si="597"/>
        <v>8.1462225449999703E-2</v>
      </c>
      <c r="FI117" s="115">
        <f t="shared" si="598"/>
        <v>74.918021240234381</v>
      </c>
      <c r="FJ117" s="115">
        <f t="shared" ca="1" si="520"/>
        <v>41.040685200797192</v>
      </c>
      <c r="FK117" s="115">
        <f t="shared" ca="1" si="521"/>
        <v>0.14304058813518949</v>
      </c>
      <c r="FL117" s="138">
        <f t="shared" ca="1" si="599"/>
        <v>0.22803651053754331</v>
      </c>
      <c r="FM117" s="138">
        <f t="shared" ca="1" si="488"/>
        <v>0.58431554683206754</v>
      </c>
      <c r="FN117" s="115">
        <f t="shared" si="600"/>
        <v>74.918021240234381</v>
      </c>
      <c r="FO117" s="115">
        <f t="shared" ca="1" si="522"/>
        <v>55.103227843602504</v>
      </c>
      <c r="FP117" s="115">
        <f t="shared" ca="1" si="523"/>
        <v>0.18989581836064656</v>
      </c>
      <c r="FQ117" s="138">
        <f t="shared" ca="1" si="601"/>
        <v>0.23497809606538084</v>
      </c>
      <c r="FR117" s="138">
        <f t="shared" ca="1" si="489"/>
        <v>0.60210250706057955</v>
      </c>
      <c r="FS117" s="139">
        <f t="shared" si="602"/>
        <v>5.9548470982334543</v>
      </c>
      <c r="FT117" s="249">
        <f t="shared" si="603"/>
        <v>4.9876109619495086</v>
      </c>
      <c r="FU117" s="139">
        <f t="shared" ca="1" si="604"/>
        <v>0.64324699623695802</v>
      </c>
      <c r="FV117" s="249">
        <f t="shared" ca="1" si="605"/>
        <v>0.55345967121028283</v>
      </c>
      <c r="FW117" s="139">
        <f t="shared" ca="1" si="606"/>
        <v>0.83187879262396103</v>
      </c>
      <c r="FX117" s="249">
        <f t="shared" ca="1" si="607"/>
        <v>1.083431294991654</v>
      </c>
      <c r="FY117" s="249">
        <f t="shared" si="524"/>
        <v>0.15000000000000002</v>
      </c>
      <c r="FZ117" s="139">
        <f t="shared" si="525"/>
        <v>1050000</v>
      </c>
      <c r="GA117" s="139">
        <f t="shared" si="608"/>
        <v>3.3757716049382713E-2</v>
      </c>
      <c r="GB117" s="139">
        <f t="shared" si="361"/>
        <v>121.52777777777777</v>
      </c>
      <c r="GC117" s="139">
        <f t="shared" si="526"/>
        <v>1050000</v>
      </c>
      <c r="GD117" s="139">
        <f t="shared" si="362"/>
        <v>6.7515432098765427E-2</v>
      </c>
      <c r="GE117" s="139">
        <f t="shared" si="363"/>
        <v>243.05555555555554</v>
      </c>
      <c r="GF117" s="139">
        <f t="shared" si="364"/>
        <v>4.5814043209876545E-2</v>
      </c>
      <c r="GG117" s="139">
        <f t="shared" si="527"/>
        <v>712500</v>
      </c>
      <c r="GH117" s="139">
        <f t="shared" si="365"/>
        <v>164.93055555555554</v>
      </c>
      <c r="GI117" s="137">
        <f t="shared" si="528"/>
        <v>49.841774829127942</v>
      </c>
      <c r="GJ117" s="137">
        <f t="shared" si="609"/>
        <v>0.17943038938485917</v>
      </c>
      <c r="GK117" s="251">
        <f t="shared" si="529"/>
        <v>40.48603553205961</v>
      </c>
      <c r="GL117" s="137">
        <f t="shared" si="610"/>
        <v>0.14574972791541344</v>
      </c>
      <c r="GM117" s="137">
        <f t="shared" ca="1" si="530"/>
        <v>8.8250392912969726</v>
      </c>
      <c r="GN117" s="137">
        <f t="shared" ca="1" si="611"/>
        <v>3.1770141448668847E-2</v>
      </c>
      <c r="GO117" s="137">
        <f t="shared" ca="1" si="366"/>
        <v>0.1117093581176823</v>
      </c>
      <c r="GP117" s="137">
        <f t="shared" ca="1" si="531"/>
        <v>9.9573441117220902</v>
      </c>
      <c r="GQ117" s="137">
        <f t="shared" ca="1" si="612"/>
        <v>3.5846438802199239E-2</v>
      </c>
      <c r="GR117" s="137">
        <f t="shared" ca="1" si="406"/>
        <v>0.12604233052812672</v>
      </c>
      <c r="GS117" s="140">
        <f t="shared" si="532"/>
        <v>8.5791482144249379E-2</v>
      </c>
      <c r="GT117" s="140">
        <f t="shared" si="533"/>
        <v>7.1856511128806574E-2</v>
      </c>
      <c r="GU117" s="140">
        <f t="shared" si="613"/>
        <v>308.84933571929776</v>
      </c>
      <c r="GV117" s="140">
        <f t="shared" si="614"/>
        <v>258.68344006370364</v>
      </c>
      <c r="GW117" s="141">
        <f t="shared" ca="1" si="534"/>
        <v>6.1719948102073778E-3</v>
      </c>
      <c r="GX117" s="141">
        <f t="shared" ca="1" si="535"/>
        <v>5.3104798597622778E-3</v>
      </c>
      <c r="GY117" s="141">
        <f t="shared" ca="1" si="615"/>
        <v>22.21918131674656</v>
      </c>
      <c r="GZ117" s="141">
        <f t="shared" ca="1" si="616"/>
        <v>19.117727495144202</v>
      </c>
      <c r="HA117" s="141">
        <f t="shared" ca="1" si="536"/>
        <v>1.4939204240410972E-2</v>
      </c>
      <c r="HB117" s="141">
        <f t="shared" ca="1" si="537"/>
        <v>1.6274406981265879E-2</v>
      </c>
      <c r="HC117" s="141">
        <f t="shared" ca="1" si="617"/>
        <v>53.781135265479499</v>
      </c>
      <c r="HD117" s="141">
        <f t="shared" ca="1" si="618"/>
        <v>58.587865132557162</v>
      </c>
      <c r="HE117" s="137">
        <f t="shared" si="367"/>
        <v>9.3286288922512561</v>
      </c>
      <c r="HF117" s="250">
        <f t="shared" si="368"/>
        <v>9.0373860024549391</v>
      </c>
      <c r="HG117" s="137">
        <v>3.3737817940178014</v>
      </c>
      <c r="HH117" s="251">
        <v>4.5809775995635738</v>
      </c>
      <c r="HI117" s="137">
        <f t="shared" ca="1" si="369"/>
        <v>1.338182096904206</v>
      </c>
      <c r="HJ117" s="251">
        <f t="shared" ca="1" si="370"/>
        <v>1.532149861508554</v>
      </c>
      <c r="HK117" s="137">
        <f t="shared" ca="1" si="371"/>
        <v>0.73798306263125257</v>
      </c>
      <c r="HL117" s="251">
        <f t="shared" ca="1" si="372"/>
        <v>0.97869019029827109</v>
      </c>
      <c r="HM117" s="137">
        <f t="shared" ca="1" si="373"/>
        <v>0.83032217154826404</v>
      </c>
      <c r="HN117" s="251">
        <f t="shared" ca="1" si="374"/>
        <v>1.0710292992152826</v>
      </c>
      <c r="HO117" s="137">
        <f t="shared" ca="1" si="375"/>
        <v>0.22803651053754331</v>
      </c>
      <c r="HP117" s="251">
        <f t="shared" ca="1" si="376"/>
        <v>0.58431554683206754</v>
      </c>
      <c r="JN117" s="143">
        <f t="shared" si="538"/>
        <v>19.224407543049555</v>
      </c>
      <c r="JO117" s="143">
        <f t="shared" si="490"/>
        <v>3373.7817940178015</v>
      </c>
      <c r="JP117" s="143">
        <f t="shared" si="539"/>
        <v>4049.7750405054303</v>
      </c>
      <c r="JQ117" s="143">
        <f t="shared" si="540"/>
        <v>0.96799651781717944</v>
      </c>
      <c r="JR117" s="143">
        <f t="shared" ca="1" si="491"/>
        <v>1.2486148962966772</v>
      </c>
      <c r="JS117" s="143">
        <f t="shared" si="541"/>
        <v>74.918021240234381</v>
      </c>
      <c r="JT117" s="143">
        <f t="shared" ca="1" si="492"/>
        <v>191.96822669042234</v>
      </c>
      <c r="JU117" s="143">
        <f t="shared" si="547"/>
        <v>0.30058726933823932</v>
      </c>
      <c r="JV117" s="143">
        <f t="shared" si="542"/>
        <v>0.36081492378023716</v>
      </c>
      <c r="JW117" s="143">
        <f t="shared" ca="1" si="543"/>
        <v>0.23166090631345768</v>
      </c>
      <c r="JX117" s="143">
        <f t="shared" ca="1" si="544"/>
        <v>0.29881849075742473</v>
      </c>
      <c r="JY117" s="143">
        <f t="shared" si="545"/>
        <v>0.58624602694911354</v>
      </c>
      <c r="JZ117" s="143">
        <f t="shared" si="546"/>
        <v>0.55624050947640036</v>
      </c>
      <c r="KA117" s="143">
        <f t="shared" si="493"/>
        <v>0.28357289560211252</v>
      </c>
      <c r="KB117" s="143">
        <f t="shared" si="494"/>
        <v>0.34039143752852558</v>
      </c>
      <c r="KC117" s="143">
        <f t="shared" ca="1" si="495"/>
        <v>0.53429409379923354</v>
      </c>
      <c r="KD117" s="143">
        <f t="shared" ca="1" si="496"/>
        <v>0.63876923196968027</v>
      </c>
      <c r="KE117" s="143">
        <f t="shared" ca="1" si="497"/>
        <v>0.54556448386629708</v>
      </c>
      <c r="KF117" s="143">
        <f t="shared" ca="1" si="498"/>
        <v>0.27463618141417806</v>
      </c>
      <c r="KG117" s="142">
        <f t="shared" si="499"/>
        <v>0.14574972791541344</v>
      </c>
      <c r="KH117" s="142">
        <f t="shared" ca="1" si="500"/>
        <v>0.12604233052812672</v>
      </c>
      <c r="KI117" s="142">
        <f t="shared" ca="1" si="501"/>
        <v>384.84965230152386</v>
      </c>
      <c r="KJ117" s="142">
        <f t="shared" ca="1" si="502"/>
        <v>336.38903269140502</v>
      </c>
    </row>
    <row r="118" spans="1:296" x14ac:dyDescent="0.3">
      <c r="A118" s="201">
        <v>41500</v>
      </c>
      <c r="B118" s="196">
        <v>152</v>
      </c>
      <c r="C118" s="179">
        <v>24</v>
      </c>
      <c r="D118" s="152">
        <v>4.2</v>
      </c>
      <c r="E118" s="152">
        <v>50016</v>
      </c>
      <c r="F118" s="152">
        <v>300</v>
      </c>
      <c r="G118" s="152">
        <v>11.7</v>
      </c>
      <c r="H118" s="152">
        <v>0.85</v>
      </c>
      <c r="I118" s="152">
        <v>1.4</v>
      </c>
      <c r="J118" s="152">
        <v>1.33</v>
      </c>
      <c r="K118" s="152">
        <v>0.91</v>
      </c>
      <c r="L118" s="152">
        <v>25256.674560122192</v>
      </c>
      <c r="M118" s="155">
        <v>19</v>
      </c>
      <c r="N118" s="153">
        <v>72845.638890512288</v>
      </c>
      <c r="O118" s="178">
        <v>17</v>
      </c>
      <c r="P118" s="152">
        <v>2</v>
      </c>
      <c r="Q118" s="152">
        <v>5</v>
      </c>
      <c r="R118" s="154">
        <v>353.25320434570312</v>
      </c>
      <c r="S118" s="155">
        <v>71.79560023965314</v>
      </c>
      <c r="T118" s="152">
        <v>180</v>
      </c>
      <c r="U118" s="156">
        <v>2.7854454517364502</v>
      </c>
      <c r="V118" s="178">
        <v>17</v>
      </c>
      <c r="W118" s="152">
        <v>1250</v>
      </c>
      <c r="X118" s="155">
        <v>48075.596977416251</v>
      </c>
      <c r="Y118" s="155">
        <v>6544.5870362240821</v>
      </c>
      <c r="Z118" s="155">
        <v>191.20039367675781</v>
      </c>
      <c r="AA118" s="155">
        <v>9.3233804702758789</v>
      </c>
      <c r="AB118" s="155">
        <v>12.977246284484863</v>
      </c>
      <c r="AC118" s="215">
        <v>37</v>
      </c>
      <c r="AD118" s="215">
        <v>27.387849807739258</v>
      </c>
      <c r="AE118" s="254">
        <v>20</v>
      </c>
      <c r="AF118" s="254">
        <v>10</v>
      </c>
      <c r="AG118" s="217">
        <v>5000000</v>
      </c>
      <c r="AH118" s="218">
        <v>300000</v>
      </c>
      <c r="AI118" s="219">
        <v>5000000</v>
      </c>
      <c r="AJ118" s="225">
        <f t="shared" si="473"/>
        <v>300000</v>
      </c>
      <c r="AK118" s="220">
        <v>2750000</v>
      </c>
      <c r="AL118" s="226">
        <f t="shared" si="474"/>
        <v>300000</v>
      </c>
      <c r="AM118" s="221">
        <v>14.407</v>
      </c>
      <c r="BM118" s="197">
        <f t="shared" si="475"/>
        <v>9.6121501922607422</v>
      </c>
      <c r="BN118" s="196">
        <f t="shared" si="476"/>
        <v>180</v>
      </c>
      <c r="BO118" s="197">
        <f t="shared" si="477"/>
        <v>3.6538658142089844</v>
      </c>
      <c r="BP118" s="196">
        <f t="shared" si="472"/>
        <v>12.67723212325893</v>
      </c>
      <c r="BQ118" s="115">
        <f t="shared" si="478"/>
        <v>659.74492511188635</v>
      </c>
      <c r="BR118" s="184">
        <f t="shared" si="479"/>
        <v>1.0041987768</v>
      </c>
      <c r="BS118" s="115">
        <f t="shared" si="480"/>
        <v>6863.8528613899143</v>
      </c>
      <c r="BT118" s="196">
        <v>900</v>
      </c>
      <c r="BU118" s="115">
        <f t="shared" si="548"/>
        <v>1.1850729520000001</v>
      </c>
      <c r="BV118" s="115">
        <f t="shared" si="549"/>
        <v>1.0702966635685203</v>
      </c>
      <c r="BW118" s="115">
        <f t="shared" si="550"/>
        <v>464.16246239748943</v>
      </c>
      <c r="BX118" s="115">
        <f t="shared" si="503"/>
        <v>1116.6176280546474</v>
      </c>
      <c r="BY118" s="115"/>
      <c r="BZ118" s="115">
        <f t="shared" si="504"/>
        <v>652.45516565715798</v>
      </c>
      <c r="CA118" s="115">
        <f t="shared" si="505"/>
        <v>10565.635115739589</v>
      </c>
      <c r="CB118" s="115">
        <f t="shared" si="506"/>
        <v>3035.2349537713453</v>
      </c>
      <c r="CC118" s="115">
        <f t="shared" si="507"/>
        <v>1052.3614400050913</v>
      </c>
      <c r="CD118" s="129">
        <f t="shared" si="551"/>
        <v>0.207927459483225</v>
      </c>
      <c r="CE118" s="115">
        <f t="shared" si="508"/>
        <v>11.247081980985755</v>
      </c>
      <c r="CF118" s="115">
        <f t="shared" si="509"/>
        <v>19.943222288792541</v>
      </c>
      <c r="CG118" s="115">
        <f t="shared" si="510"/>
        <v>0.02</v>
      </c>
      <c r="CH118" s="115">
        <f t="shared" si="511"/>
        <v>0.05</v>
      </c>
      <c r="CI118" s="136">
        <v>30</v>
      </c>
      <c r="CJ118" s="115">
        <f t="shared" si="552"/>
        <v>165</v>
      </c>
      <c r="CK118" s="115">
        <f t="shared" si="512"/>
        <v>453</v>
      </c>
      <c r="CL118" s="115">
        <f t="shared" si="513"/>
        <v>626.25320434570312</v>
      </c>
      <c r="CM118" s="115">
        <f t="shared" ca="1" si="514"/>
        <v>2816.5993052117487</v>
      </c>
      <c r="CN118" s="115">
        <f t="shared" ca="1" si="553"/>
        <v>125.80344444444444</v>
      </c>
      <c r="CO118" s="115">
        <f t="shared" ca="1" si="554"/>
        <v>690.58718083896258</v>
      </c>
      <c r="CP118" s="115">
        <f t="shared" ca="1" si="555"/>
        <v>2790.6388281929471</v>
      </c>
      <c r="CQ118" s="115">
        <f t="shared" si="556"/>
        <v>1.072449112508886</v>
      </c>
      <c r="CR118" s="115">
        <f t="shared" ca="1" si="481"/>
        <v>458.84250117849183</v>
      </c>
      <c r="CS118" s="115">
        <f t="shared" ca="1" si="482"/>
        <v>22.729001730740713</v>
      </c>
      <c r="CT118" s="115">
        <f t="shared" si="557"/>
        <v>1.1117589387743854</v>
      </c>
      <c r="CU118" s="115">
        <f t="shared" ca="1" si="558"/>
        <v>1.0116629837523325</v>
      </c>
      <c r="CV118" s="115">
        <f t="shared" si="360"/>
        <v>179.45516565715798</v>
      </c>
      <c r="CW118" s="115">
        <f t="shared" si="559"/>
        <v>473</v>
      </c>
      <c r="CX118" s="115">
        <f t="shared" si="560"/>
        <v>438</v>
      </c>
      <c r="CY118" s="115">
        <f t="shared" ca="1" si="561"/>
        <v>450.27099826925928</v>
      </c>
      <c r="CZ118" s="115">
        <f t="shared" ca="1" si="562"/>
        <v>175.98220607644384</v>
      </c>
      <c r="DA118" s="115">
        <v>0.21890000000000001</v>
      </c>
      <c r="DB118" s="115">
        <v>2.7E-2</v>
      </c>
      <c r="DC118" s="115">
        <v>1.06</v>
      </c>
      <c r="DD118" s="138">
        <f t="shared" si="515"/>
        <v>11.023681802323759</v>
      </c>
      <c r="DE118" s="138">
        <f t="shared" si="563"/>
        <v>11.023681802323759</v>
      </c>
      <c r="DF118" s="115">
        <f t="shared" si="564"/>
        <v>626.25320434570312</v>
      </c>
      <c r="DG118" s="115">
        <v>652.45516565715798</v>
      </c>
      <c r="DH118" s="115">
        <f t="shared" si="565"/>
        <v>1.1117589387743854</v>
      </c>
      <c r="DI118" s="115">
        <f t="shared" si="566"/>
        <v>1.1187469191369932</v>
      </c>
      <c r="DJ118" s="138">
        <f t="shared" si="483"/>
        <v>2.2812842827297515</v>
      </c>
      <c r="DK118" s="138">
        <f t="shared" si="484"/>
        <v>2.5960689480934001</v>
      </c>
      <c r="DL118" s="115">
        <f t="shared" si="567"/>
        <v>626.25320434570312</v>
      </c>
      <c r="DM118" s="115">
        <f t="shared" si="619"/>
        <v>652.45516565715798</v>
      </c>
      <c r="DN118" s="115">
        <f t="shared" si="568"/>
        <v>12.792479688015829</v>
      </c>
      <c r="DO118" s="115">
        <f t="shared" si="569"/>
        <v>1.1117589387743854</v>
      </c>
      <c r="DP118" s="115">
        <f t="shared" si="570"/>
        <v>1.1187469191369932</v>
      </c>
      <c r="DQ118" s="115">
        <v>298.14999999999998</v>
      </c>
      <c r="DR118" s="138">
        <f t="shared" si="571"/>
        <v>1.5193353322980145</v>
      </c>
      <c r="DS118" s="138">
        <f t="shared" si="572"/>
        <v>1.7289819194302047</v>
      </c>
      <c r="DT118" s="115">
        <f t="shared" si="573"/>
        <v>626.25320434570312</v>
      </c>
      <c r="DU118" s="139">
        <f t="shared" si="422"/>
        <v>6.415447771467397</v>
      </c>
      <c r="DV118" s="115">
        <f t="shared" si="574"/>
        <v>1.1117589387743854</v>
      </c>
      <c r="DW118" s="115">
        <v>298.14999999999998</v>
      </c>
      <c r="DX118" s="138">
        <f t="shared" si="485"/>
        <v>0.76194895043173694</v>
      </c>
      <c r="DY118" s="138">
        <f t="shared" si="486"/>
        <v>0.86708702866319554</v>
      </c>
      <c r="DZ118" s="138">
        <f t="shared" si="575"/>
        <v>3.0352349537713454</v>
      </c>
      <c r="EA118" s="138">
        <f t="shared" si="576"/>
        <v>3.7017822543496752</v>
      </c>
      <c r="EB118" s="115">
        <f t="shared" si="577"/>
        <v>19.943222288792541</v>
      </c>
      <c r="EC118" s="115">
        <v>30</v>
      </c>
      <c r="ED118" s="198">
        <f t="shared" ca="1" si="578"/>
        <v>125.80344444444444</v>
      </c>
      <c r="EE118" s="198">
        <v>104.83</v>
      </c>
      <c r="EF118" s="198">
        <f t="shared" ca="1" si="579"/>
        <v>0.42491111111111107</v>
      </c>
      <c r="EG118" s="199">
        <v>0.36720000000000003</v>
      </c>
      <c r="EH118" s="138">
        <f t="shared" ca="1" si="580"/>
        <v>7.5123658697799522E-2</v>
      </c>
      <c r="EI118" s="138">
        <f t="shared" ca="1" si="581"/>
        <v>7.5123658697799522E-2</v>
      </c>
      <c r="EJ118" s="115">
        <f t="shared" si="582"/>
        <v>12.792479688015829</v>
      </c>
      <c r="EK118" s="115">
        <v>435</v>
      </c>
      <c r="EL118" s="115">
        <f t="shared" ca="1" si="583"/>
        <v>450.27099826925928</v>
      </c>
      <c r="EM118" s="115">
        <f t="shared" ca="1" si="584"/>
        <v>1.0622092335543367</v>
      </c>
      <c r="EN118" s="115">
        <f t="shared" ca="1" si="585"/>
        <v>1.0669453117665113</v>
      </c>
      <c r="EO118" s="115">
        <v>298.14999999999998</v>
      </c>
      <c r="EP118" s="138">
        <f t="shared" ca="1" si="586"/>
        <v>0.32916330301376229</v>
      </c>
      <c r="EQ118" s="138">
        <f t="shared" ca="1" si="587"/>
        <v>0.39865357681640401</v>
      </c>
      <c r="ER118" s="115">
        <f t="shared" si="588"/>
        <v>0.77373484770456957</v>
      </c>
      <c r="ES118" s="115">
        <f t="shared" si="589"/>
        <v>453</v>
      </c>
      <c r="ET118" s="115">
        <f t="shared" ca="1" si="516"/>
        <v>2816.5993052117487</v>
      </c>
      <c r="EU118" s="115">
        <f t="shared" ca="1" si="517"/>
        <v>6.5855309782608691</v>
      </c>
      <c r="EV118" s="138">
        <f t="shared" ca="1" si="590"/>
        <v>0.66368957648457128</v>
      </c>
      <c r="EW118" s="138">
        <f t="shared" ca="1" si="487"/>
        <v>0.95298819035749827</v>
      </c>
      <c r="EX118" s="115">
        <v>21.47</v>
      </c>
      <c r="EY118" s="115">
        <f t="shared" ca="1" si="518"/>
        <v>114.70563898425632</v>
      </c>
      <c r="EZ118" s="115">
        <f t="shared" ca="1" si="519"/>
        <v>0.38848612787458631</v>
      </c>
      <c r="FA118" s="138">
        <f t="shared" ca="1" si="591"/>
        <v>7.577149370788773E-2</v>
      </c>
      <c r="FB118" s="138">
        <f t="shared" ca="1" si="592"/>
        <v>7.577149370788773E-2</v>
      </c>
      <c r="FC118" s="115">
        <f t="shared" si="593"/>
        <v>21.47</v>
      </c>
      <c r="FD118" s="115">
        <v>37</v>
      </c>
      <c r="FE118" s="115">
        <f t="shared" ca="1" si="594"/>
        <v>154.93355555555553</v>
      </c>
      <c r="FF118" s="115">
        <f t="shared" ca="1" si="595"/>
        <v>0.52252222222222222</v>
      </c>
      <c r="FG118" s="138">
        <f t="shared" ca="1" si="596"/>
        <v>8.1462225449999703E-2</v>
      </c>
      <c r="FH118" s="138">
        <f t="shared" ca="1" si="597"/>
        <v>8.1462225449999703E-2</v>
      </c>
      <c r="FI118" s="115">
        <f t="shared" si="598"/>
        <v>53.536110229492195</v>
      </c>
      <c r="FJ118" s="115">
        <f t="shared" ca="1" si="520"/>
        <v>39.103827643712371</v>
      </c>
      <c r="FK118" s="115">
        <f t="shared" ca="1" si="521"/>
        <v>0.13658713877995809</v>
      </c>
      <c r="FL118" s="138">
        <f t="shared" ca="1" si="599"/>
        <v>0.16227074557216978</v>
      </c>
      <c r="FM118" s="138">
        <f t="shared" ca="1" si="488"/>
        <v>0.44906379671789692</v>
      </c>
      <c r="FN118" s="115">
        <f t="shared" si="600"/>
        <v>53.536110229492195</v>
      </c>
      <c r="FO118" s="115">
        <f t="shared" ca="1" si="522"/>
        <v>54.395662061267437</v>
      </c>
      <c r="FP118" s="115">
        <f t="shared" ca="1" si="523"/>
        <v>0.18753826763365003</v>
      </c>
      <c r="FQ118" s="138">
        <f t="shared" ca="1" si="601"/>
        <v>0.1676647950867102</v>
      </c>
      <c r="FR118" s="138">
        <f t="shared" ca="1" si="489"/>
        <v>0.46399114758537996</v>
      </c>
      <c r="FS118" s="139">
        <f t="shared" si="602"/>
        <v>5.7071625658226619</v>
      </c>
      <c r="FT118" s="249">
        <f t="shared" si="603"/>
        <v>4.725830599880684</v>
      </c>
      <c r="FU118" s="139">
        <f t="shared" ca="1" si="604"/>
        <v>0.60160611149748044</v>
      </c>
      <c r="FV118" s="249">
        <f t="shared" ca="1" si="605"/>
        <v>0.45246381095410193</v>
      </c>
      <c r="FW118" s="139">
        <f t="shared" ca="1" si="606"/>
        <v>0.66339289425699965</v>
      </c>
      <c r="FX118" s="249">
        <f t="shared" ca="1" si="607"/>
        <v>0.96222480948286937</v>
      </c>
      <c r="FY118" s="249">
        <f t="shared" si="524"/>
        <v>0.15000000000000002</v>
      </c>
      <c r="FZ118" s="139">
        <f t="shared" si="525"/>
        <v>1050000</v>
      </c>
      <c r="GA118" s="139">
        <f t="shared" si="608"/>
        <v>3.3757716049382713E-2</v>
      </c>
      <c r="GB118" s="139">
        <f t="shared" si="361"/>
        <v>121.52777777777777</v>
      </c>
      <c r="GC118" s="139">
        <f t="shared" si="526"/>
        <v>1050000</v>
      </c>
      <c r="GD118" s="139">
        <f t="shared" si="362"/>
        <v>6.7515432098765427E-2</v>
      </c>
      <c r="GE118" s="139">
        <f t="shared" si="363"/>
        <v>243.05555555555554</v>
      </c>
      <c r="GF118" s="139">
        <f t="shared" si="364"/>
        <v>4.5814043209876545E-2</v>
      </c>
      <c r="GG118" s="139">
        <f t="shared" si="527"/>
        <v>712500</v>
      </c>
      <c r="GH118" s="139">
        <f t="shared" si="365"/>
        <v>164.93055555555554</v>
      </c>
      <c r="GI118" s="137">
        <f t="shared" si="528"/>
        <v>52.618475850026407</v>
      </c>
      <c r="GJ118" s="137">
        <f t="shared" si="609"/>
        <v>0.18942651306009356</v>
      </c>
      <c r="GK118" s="251">
        <f t="shared" si="529"/>
        <v>41.918817417730679</v>
      </c>
      <c r="GL118" s="137">
        <f t="shared" si="610"/>
        <v>0.15090774270382926</v>
      </c>
      <c r="GM118" s="137">
        <f t="shared" ca="1" si="530"/>
        <v>7.586549797402518</v>
      </c>
      <c r="GN118" s="137">
        <f t="shared" ca="1" si="611"/>
        <v>2.7311579270648846E-2</v>
      </c>
      <c r="GO118" s="137">
        <f t="shared" ca="1" si="366"/>
        <v>9.6032275916486803E-2</v>
      </c>
      <c r="GP118" s="137">
        <f t="shared" ca="1" si="531"/>
        <v>9.1696422485847648</v>
      </c>
      <c r="GQ118" s="137">
        <f t="shared" ca="1" si="612"/>
        <v>3.3010712094904894E-2</v>
      </c>
      <c r="GR118" s="137">
        <f t="shared" ca="1" si="406"/>
        <v>0.11607142086816068</v>
      </c>
      <c r="GS118" s="140">
        <f t="shared" si="532"/>
        <v>8.2223091085807096E-2</v>
      </c>
      <c r="GT118" s="140">
        <f t="shared" si="533"/>
        <v>6.8085041452481024E-2</v>
      </c>
      <c r="GU118" s="140">
        <f t="shared" si="613"/>
        <v>296.00312790890553</v>
      </c>
      <c r="GV118" s="140">
        <f t="shared" si="614"/>
        <v>245.10614922893168</v>
      </c>
      <c r="GW118" s="141">
        <f t="shared" ca="1" si="534"/>
        <v>5.7724479393972371E-3</v>
      </c>
      <c r="GX118" s="141">
        <f t="shared" ca="1" si="535"/>
        <v>4.341418318860887E-3</v>
      </c>
      <c r="GY118" s="141">
        <f t="shared" ca="1" si="615"/>
        <v>20.780812581830052</v>
      </c>
      <c r="GZ118" s="141">
        <f t="shared" ca="1" si="616"/>
        <v>15.629105947899193</v>
      </c>
      <c r="HA118" s="141">
        <f t="shared" ca="1" si="536"/>
        <v>1.2871620611660917E-2</v>
      </c>
      <c r="HB118" s="141">
        <f t="shared" ca="1" si="537"/>
        <v>1.3991222942506263E-2</v>
      </c>
      <c r="HC118" s="141">
        <f t="shared" ca="1" si="617"/>
        <v>46.337834201979298</v>
      </c>
      <c r="HD118" s="141">
        <f t="shared" ca="1" si="618"/>
        <v>50.368402593022545</v>
      </c>
      <c r="HE118" s="137">
        <f t="shared" si="367"/>
        <v>8.7423975195940073</v>
      </c>
      <c r="HF118" s="250">
        <f t="shared" si="368"/>
        <v>8.4276128542303592</v>
      </c>
      <c r="HG118" s="137">
        <v>3.0352349537713454</v>
      </c>
      <c r="HH118" s="251">
        <v>4.2982121360415784</v>
      </c>
      <c r="HI118" s="137">
        <f t="shared" ca="1" si="369"/>
        <v>1.1206817554816104</v>
      </c>
      <c r="HJ118" s="251">
        <f t="shared" ca="1" si="370"/>
        <v>1.3303283426138006</v>
      </c>
      <c r="HK118" s="137">
        <f t="shared" ca="1" si="371"/>
        <v>0.5885659177867717</v>
      </c>
      <c r="HL118" s="251">
        <f t="shared" ca="1" si="372"/>
        <v>0.87786453165969869</v>
      </c>
      <c r="HM118" s="137">
        <f t="shared" ca="1" si="373"/>
        <v>0.66368957648457128</v>
      </c>
      <c r="HN118" s="251">
        <f t="shared" ca="1" si="374"/>
        <v>0.95298819035749827</v>
      </c>
      <c r="HO118" s="137">
        <f t="shared" ca="1" si="375"/>
        <v>0.16227074557216978</v>
      </c>
      <c r="HP118" s="251">
        <f t="shared" ca="1" si="376"/>
        <v>0.44906379671789692</v>
      </c>
      <c r="JN118" s="143">
        <f t="shared" si="538"/>
        <v>19.207927459483226</v>
      </c>
      <c r="JO118" s="143">
        <f t="shared" si="490"/>
        <v>3035.2349537713453</v>
      </c>
      <c r="JP118" s="143">
        <f t="shared" si="539"/>
        <v>3701.782254349675</v>
      </c>
      <c r="JQ118" s="143">
        <f t="shared" si="540"/>
        <v>0.77373484770456957</v>
      </c>
      <c r="JR118" s="143">
        <f t="shared" ca="1" si="491"/>
        <v>1.1110015863683731</v>
      </c>
      <c r="JS118" s="143">
        <f t="shared" si="541"/>
        <v>53.536110229492195</v>
      </c>
      <c r="JT118" s="143">
        <f t="shared" ca="1" si="492"/>
        <v>148.15442448602872</v>
      </c>
      <c r="JU118" s="143">
        <f t="shared" si="547"/>
        <v>0.29185793899815016</v>
      </c>
      <c r="JV118" s="143">
        <f t="shared" si="542"/>
        <v>0.35595087557620819</v>
      </c>
      <c r="JW118" s="143">
        <f t="shared" ca="1" si="543"/>
        <v>0.19982111494016602</v>
      </c>
      <c r="JX118" s="143">
        <f t="shared" ca="1" si="544"/>
        <v>0.28692203323532739</v>
      </c>
      <c r="JY118" s="143">
        <f t="shared" si="545"/>
        <v>0.70938595748650113</v>
      </c>
      <c r="JZ118" s="143">
        <f t="shared" si="546"/>
        <v>0.58049366419637705</v>
      </c>
      <c r="KA118" s="143">
        <f t="shared" si="493"/>
        <v>0.27533767830014172</v>
      </c>
      <c r="KB118" s="143">
        <f t="shared" si="494"/>
        <v>0.33580271280774365</v>
      </c>
      <c r="KC118" s="143">
        <f t="shared" ca="1" si="495"/>
        <v>0.49452171896589137</v>
      </c>
      <c r="KD118" s="143">
        <f t="shared" ca="1" si="496"/>
        <v>0.65988561134831514</v>
      </c>
      <c r="KE118" s="143">
        <f t="shared" ca="1" si="497"/>
        <v>0.47121653894728521</v>
      </c>
      <c r="KF118" s="143">
        <f t="shared" ca="1" si="498"/>
        <v>0.24449795705951105</v>
      </c>
      <c r="KG118" s="142">
        <f t="shared" si="499"/>
        <v>0.15090774270382926</v>
      </c>
      <c r="KH118" s="142">
        <f t="shared" ca="1" si="500"/>
        <v>0.11607142086816068</v>
      </c>
      <c r="KI118" s="142">
        <f t="shared" ca="1" si="501"/>
        <v>363.12177469271489</v>
      </c>
      <c r="KJ118" s="142">
        <f t="shared" ca="1" si="502"/>
        <v>311.10365776985344</v>
      </c>
    </row>
    <row r="119" spans="1:296" x14ac:dyDescent="0.3">
      <c r="A119" s="201">
        <v>41502</v>
      </c>
      <c r="B119" s="196">
        <v>154</v>
      </c>
      <c r="C119" s="179">
        <v>24</v>
      </c>
      <c r="D119" s="152">
        <v>4.2</v>
      </c>
      <c r="E119" s="152">
        <v>50016</v>
      </c>
      <c r="F119" s="152">
        <v>300</v>
      </c>
      <c r="G119" s="152">
        <v>11.7</v>
      </c>
      <c r="H119" s="152">
        <v>0.85</v>
      </c>
      <c r="I119" s="152">
        <v>1.4</v>
      </c>
      <c r="J119" s="152">
        <v>1.33</v>
      </c>
      <c r="K119" s="152">
        <v>0.91</v>
      </c>
      <c r="L119" s="152">
        <v>26559.851981878281</v>
      </c>
      <c r="M119" s="155">
        <v>19</v>
      </c>
      <c r="N119" s="153">
        <v>77261.384999036789</v>
      </c>
      <c r="O119" s="178">
        <v>17</v>
      </c>
      <c r="P119" s="152">
        <v>2</v>
      </c>
      <c r="Q119" s="152">
        <v>5</v>
      </c>
      <c r="R119" s="154">
        <v>369.73770141601562</v>
      </c>
      <c r="S119" s="155">
        <v>84.477206403797027</v>
      </c>
      <c r="T119" s="152">
        <v>180</v>
      </c>
      <c r="U119" s="156">
        <v>3.3887724876403809</v>
      </c>
      <c r="V119" s="178">
        <v>17</v>
      </c>
      <c r="W119" s="152">
        <v>1250</v>
      </c>
      <c r="X119" s="155">
        <v>43471.385619341781</v>
      </c>
      <c r="Y119" s="155">
        <v>0</v>
      </c>
      <c r="Z119" s="155">
        <v>169.63882446289062</v>
      </c>
      <c r="AA119" s="155">
        <v>10.53635311126709</v>
      </c>
      <c r="AB119" s="155">
        <v>14.26848030090332</v>
      </c>
      <c r="AC119" s="215">
        <v>37</v>
      </c>
      <c r="AD119" s="215">
        <v>27.607995986938477</v>
      </c>
      <c r="AE119" s="254">
        <v>20</v>
      </c>
      <c r="AF119" s="254">
        <v>10</v>
      </c>
      <c r="AG119" s="217">
        <v>5000000</v>
      </c>
      <c r="AH119" s="218">
        <v>300000</v>
      </c>
      <c r="AI119" s="219">
        <v>5000000</v>
      </c>
      <c r="AJ119" s="225">
        <f t="shared" si="473"/>
        <v>300000</v>
      </c>
      <c r="AK119" s="220">
        <v>2750000</v>
      </c>
      <c r="AL119" s="226">
        <f t="shared" si="474"/>
        <v>300000</v>
      </c>
      <c r="AM119" s="221">
        <v>14.407</v>
      </c>
      <c r="BK119" s="283"/>
      <c r="BM119" s="197">
        <f t="shared" si="475"/>
        <v>9.3920040130615234</v>
      </c>
      <c r="BN119" s="196">
        <f t="shared" si="476"/>
        <v>180</v>
      </c>
      <c r="BO119" s="197">
        <f t="shared" si="477"/>
        <v>3.7321271896362305</v>
      </c>
      <c r="BP119" s="196">
        <f t="shared" si="472"/>
        <v>12.684312936853173</v>
      </c>
      <c r="BQ119" s="115">
        <f t="shared" si="478"/>
        <v>659.74492511188635</v>
      </c>
      <c r="BR119" s="184">
        <f t="shared" si="479"/>
        <v>1.0041987768</v>
      </c>
      <c r="BS119" s="115">
        <f t="shared" si="480"/>
        <v>6863.8528613899143</v>
      </c>
      <c r="BT119" s="196">
        <v>900</v>
      </c>
      <c r="BU119" s="115">
        <f t="shared" si="548"/>
        <v>1.1850729520000001</v>
      </c>
      <c r="BV119" s="115">
        <f t="shared" si="549"/>
        <v>1.0726569766813259</v>
      </c>
      <c r="BW119" s="115">
        <f t="shared" si="550"/>
        <v>473.85011849957084</v>
      </c>
      <c r="BX119" s="115">
        <f t="shared" si="503"/>
        <v>1139.9228464952796</v>
      </c>
      <c r="BY119" s="115"/>
      <c r="BZ119" s="115">
        <f t="shared" si="504"/>
        <v>666.07272799570876</v>
      </c>
      <c r="CA119" s="115">
        <f t="shared" si="505"/>
        <v>10792.177808096245</v>
      </c>
      <c r="CB119" s="115">
        <f t="shared" si="506"/>
        <v>3219.2243749598661</v>
      </c>
      <c r="CC119" s="115">
        <f t="shared" si="507"/>
        <v>1106.6604992449284</v>
      </c>
      <c r="CD119" s="129">
        <f t="shared" si="551"/>
        <v>0.21865596492904774</v>
      </c>
      <c r="CE119" s="115">
        <f t="shared" si="508"/>
        <v>9.9787543801700362</v>
      </c>
      <c r="CF119" s="115">
        <f t="shared" si="509"/>
        <v>23.465890667721396</v>
      </c>
      <c r="CG119" s="115">
        <f t="shared" si="510"/>
        <v>0.02</v>
      </c>
      <c r="CH119" s="115">
        <f t="shared" si="511"/>
        <v>0.05</v>
      </c>
      <c r="CI119" s="136">
        <v>30</v>
      </c>
      <c r="CJ119" s="115">
        <f t="shared" si="552"/>
        <v>165</v>
      </c>
      <c r="CK119" s="115">
        <f t="shared" si="512"/>
        <v>453</v>
      </c>
      <c r="CL119" s="115">
        <f t="shared" si="513"/>
        <v>642.73770141601562</v>
      </c>
      <c r="CM119" s="115">
        <f t="shared" ca="1" si="514"/>
        <v>2816.5993052117487</v>
      </c>
      <c r="CN119" s="115">
        <f t="shared" ca="1" si="553"/>
        <v>125.80344444444444</v>
      </c>
      <c r="CO119" s="115">
        <f t="shared" ca="1" si="554"/>
        <v>690.58718083896258</v>
      </c>
      <c r="CP119" s="115">
        <f t="shared" ca="1" si="555"/>
        <v>2790.6388281929471</v>
      </c>
      <c r="CQ119" s="115">
        <f t="shared" si="556"/>
        <v>1.072449112508886</v>
      </c>
      <c r="CR119" s="115">
        <f t="shared" ca="1" si="481"/>
        <v>558.22771298014027</v>
      </c>
      <c r="CS119" s="115">
        <f t="shared" ca="1" si="482"/>
        <v>27.636663502500344</v>
      </c>
      <c r="CT119" s="115">
        <f t="shared" si="557"/>
        <v>1.1161495314587886</v>
      </c>
      <c r="CU119" s="115">
        <f t="shared" ca="1" si="558"/>
        <v>1.0150524286829341</v>
      </c>
      <c r="CV119" s="115">
        <f t="shared" si="360"/>
        <v>193.07272799570876</v>
      </c>
      <c r="CW119" s="115">
        <f t="shared" si="559"/>
        <v>473</v>
      </c>
      <c r="CX119" s="115">
        <f t="shared" si="560"/>
        <v>438</v>
      </c>
      <c r="CY119" s="115">
        <f t="shared" ca="1" si="561"/>
        <v>445.36333649749963</v>
      </c>
      <c r="CZ119" s="115">
        <f t="shared" ca="1" si="562"/>
        <v>197.37436491851599</v>
      </c>
      <c r="DA119" s="115">
        <v>0.21890000000000001</v>
      </c>
      <c r="DB119" s="115">
        <v>2.7E-2</v>
      </c>
      <c r="DC119" s="115">
        <v>1.06</v>
      </c>
      <c r="DD119" s="138">
        <f t="shared" si="515"/>
        <v>11.592474546404727</v>
      </c>
      <c r="DE119" s="138">
        <f t="shared" si="563"/>
        <v>11.592474546404727</v>
      </c>
      <c r="DF119" s="115">
        <f t="shared" si="564"/>
        <v>642.73770141601562</v>
      </c>
      <c r="DG119" s="115">
        <v>666.07272799570876</v>
      </c>
      <c r="DH119" s="115">
        <f t="shared" si="565"/>
        <v>1.1161495314587886</v>
      </c>
      <c r="DI119" s="115">
        <f t="shared" si="566"/>
        <v>1.1223966647182251</v>
      </c>
      <c r="DJ119" s="138">
        <f t="shared" si="483"/>
        <v>2.4790103354410626</v>
      </c>
      <c r="DK119" s="138">
        <f t="shared" si="484"/>
        <v>2.7668873943939984</v>
      </c>
      <c r="DL119" s="115">
        <f t="shared" si="567"/>
        <v>642.73770141601562</v>
      </c>
      <c r="DM119" s="115">
        <f t="shared" si="619"/>
        <v>666.07272799570876</v>
      </c>
      <c r="DN119" s="115">
        <f t="shared" si="568"/>
        <v>12.799624872642747</v>
      </c>
      <c r="DO119" s="115">
        <f t="shared" si="569"/>
        <v>1.1161495314587886</v>
      </c>
      <c r="DP119" s="115">
        <f t="shared" si="570"/>
        <v>1.1223966647182251</v>
      </c>
      <c r="DQ119" s="115">
        <v>298.14999999999998</v>
      </c>
      <c r="DR119" s="138">
        <f t="shared" si="571"/>
        <v>1.6510208834037479</v>
      </c>
      <c r="DS119" s="138">
        <f t="shared" si="572"/>
        <v>1.842747004666403</v>
      </c>
      <c r="DT119" s="115">
        <f t="shared" si="573"/>
        <v>642.73770141601562</v>
      </c>
      <c r="DU119" s="139">
        <f t="shared" si="422"/>
        <v>6.4190310922863016</v>
      </c>
      <c r="DV119" s="115">
        <f t="shared" si="574"/>
        <v>1.1161495314587886</v>
      </c>
      <c r="DW119" s="115">
        <v>298.14999999999998</v>
      </c>
      <c r="DX119" s="138">
        <f t="shared" si="485"/>
        <v>0.82798945203731467</v>
      </c>
      <c r="DY119" s="138">
        <f t="shared" si="486"/>
        <v>0.92414038972759549</v>
      </c>
      <c r="DZ119" s="138">
        <f t="shared" si="575"/>
        <v>3.2192243749598659</v>
      </c>
      <c r="EA119" s="138">
        <f t="shared" si="576"/>
        <v>3.9283249467063306</v>
      </c>
      <c r="EB119" s="115">
        <f t="shared" si="577"/>
        <v>23.465890667721396</v>
      </c>
      <c r="EC119" s="115">
        <v>30</v>
      </c>
      <c r="ED119" s="198">
        <f t="shared" ca="1" si="578"/>
        <v>125.80344444444444</v>
      </c>
      <c r="EE119" s="198">
        <v>104.83</v>
      </c>
      <c r="EF119" s="198">
        <f t="shared" ca="1" si="579"/>
        <v>0.42491111111111107</v>
      </c>
      <c r="EG119" s="199">
        <v>0.36720000000000003</v>
      </c>
      <c r="EH119" s="138">
        <f t="shared" ca="1" si="580"/>
        <v>8.8393116018791199E-2</v>
      </c>
      <c r="EI119" s="138">
        <f t="shared" ca="1" si="581"/>
        <v>8.8393116018791199E-2</v>
      </c>
      <c r="EJ119" s="115">
        <f t="shared" si="582"/>
        <v>12.799624872642747</v>
      </c>
      <c r="EK119" s="115">
        <v>435</v>
      </c>
      <c r="EL119" s="115">
        <f t="shared" ca="1" si="583"/>
        <v>445.36333649749963</v>
      </c>
      <c r="EM119" s="115">
        <f t="shared" ca="1" si="584"/>
        <v>1.0625707533788105</v>
      </c>
      <c r="EN119" s="115">
        <f t="shared" ca="1" si="585"/>
        <v>1.0657709938634417</v>
      </c>
      <c r="EO119" s="115">
        <v>298.14999999999998</v>
      </c>
      <c r="EP119" s="138">
        <f t="shared" ca="1" si="586"/>
        <v>0.32945924811090754</v>
      </c>
      <c r="EQ119" s="138">
        <f t="shared" ca="1" si="587"/>
        <v>0.37606274812382551</v>
      </c>
      <c r="ER119" s="115">
        <f t="shared" si="588"/>
        <v>0.94132569101121699</v>
      </c>
      <c r="ES119" s="115">
        <f t="shared" si="589"/>
        <v>453</v>
      </c>
      <c r="ET119" s="115">
        <f t="shared" ca="1" si="516"/>
        <v>2816.5993052117487</v>
      </c>
      <c r="EU119" s="115">
        <f t="shared" ca="1" si="517"/>
        <v>6.5855309782608691</v>
      </c>
      <c r="EV119" s="138">
        <f t="shared" ca="1" si="590"/>
        <v>0.80744463178143511</v>
      </c>
      <c r="EW119" s="138">
        <f t="shared" ca="1" si="487"/>
        <v>1.0299277138851339</v>
      </c>
      <c r="EX119" s="115">
        <v>21.47</v>
      </c>
      <c r="EY119" s="115">
        <f t="shared" ca="1" si="518"/>
        <v>115.62697520489162</v>
      </c>
      <c r="EZ119" s="115">
        <f t="shared" ca="1" si="519"/>
        <v>0.39155594404008653</v>
      </c>
      <c r="FA119" s="138">
        <f t="shared" ca="1" si="591"/>
        <v>7.5901828006126187E-2</v>
      </c>
      <c r="FB119" s="138">
        <f t="shared" ca="1" si="592"/>
        <v>7.5901828006126187E-2</v>
      </c>
      <c r="FC119" s="115">
        <f t="shared" si="593"/>
        <v>21.47</v>
      </c>
      <c r="FD119" s="115">
        <v>37</v>
      </c>
      <c r="FE119" s="115">
        <f t="shared" ca="1" si="594"/>
        <v>154.93355555555553</v>
      </c>
      <c r="FF119" s="115">
        <f t="shared" ca="1" si="595"/>
        <v>0.52252222222222222</v>
      </c>
      <c r="FG119" s="138">
        <f t="shared" ca="1" si="596"/>
        <v>8.1462225449999703E-2</v>
      </c>
      <c r="FH119" s="138">
        <f t="shared" ca="1" si="597"/>
        <v>8.1462225449999703E-2</v>
      </c>
      <c r="FI119" s="115">
        <f t="shared" si="598"/>
        <v>47.498870849609382</v>
      </c>
      <c r="FJ119" s="115">
        <f t="shared" ca="1" si="520"/>
        <v>44.180252920998477</v>
      </c>
      <c r="FK119" s="115">
        <f t="shared" ca="1" si="521"/>
        <v>0.15350136838489109</v>
      </c>
      <c r="FL119" s="138">
        <f t="shared" ca="1" si="599"/>
        <v>0.14556028672825114</v>
      </c>
      <c r="FM119" s="138">
        <f t="shared" ca="1" si="488"/>
        <v>0.49794722979764594</v>
      </c>
      <c r="FN119" s="115">
        <f t="shared" si="600"/>
        <v>47.498870849609382</v>
      </c>
      <c r="FO119" s="115">
        <f t="shared" ca="1" si="522"/>
        <v>59.799619890424943</v>
      </c>
      <c r="FP119" s="115">
        <f t="shared" ca="1" si="523"/>
        <v>0.20554380864037408</v>
      </c>
      <c r="FQ119" s="138">
        <f t="shared" ca="1" si="601"/>
        <v>0.15044855736811227</v>
      </c>
      <c r="FR119" s="138">
        <f t="shared" ca="1" si="489"/>
        <v>0.51466951633837177</v>
      </c>
      <c r="FS119" s="139">
        <f t="shared" si="602"/>
        <v>5.8942398360037984</v>
      </c>
      <c r="FT119" s="249">
        <f t="shared" si="603"/>
        <v>4.897262205304397</v>
      </c>
      <c r="FU119" s="139">
        <f t="shared" ca="1" si="604"/>
        <v>0.60251011953019629</v>
      </c>
      <c r="FV119" s="249">
        <f t="shared" ca="1" si="605"/>
        <v>0.52514965867623475</v>
      </c>
      <c r="FW119" s="139">
        <f t="shared" ca="1" si="606"/>
        <v>0.8067725049774227</v>
      </c>
      <c r="FX119" s="249">
        <f t="shared" ca="1" si="607"/>
        <v>1.0410896029819863</v>
      </c>
      <c r="FY119" s="249">
        <f t="shared" si="524"/>
        <v>0.15000000000000002</v>
      </c>
      <c r="FZ119" s="139">
        <f t="shared" si="525"/>
        <v>1050000</v>
      </c>
      <c r="GA119" s="139">
        <f t="shared" si="608"/>
        <v>3.3757716049382713E-2</v>
      </c>
      <c r="GB119" s="139">
        <f t="shared" si="361"/>
        <v>121.52777777777777</v>
      </c>
      <c r="GC119" s="139">
        <f t="shared" si="526"/>
        <v>1050000</v>
      </c>
      <c r="GD119" s="139">
        <f t="shared" si="362"/>
        <v>6.7515432098765427E-2</v>
      </c>
      <c r="GE119" s="139">
        <f t="shared" si="363"/>
        <v>243.05555555555554</v>
      </c>
      <c r="GF119" s="139">
        <f t="shared" si="364"/>
        <v>4.5814043209876545E-2</v>
      </c>
      <c r="GG119" s="139">
        <f t="shared" si="527"/>
        <v>712500</v>
      </c>
      <c r="GH119" s="139">
        <f t="shared" si="365"/>
        <v>164.93055555555554</v>
      </c>
      <c r="GI119" s="137">
        <f t="shared" si="528"/>
        <v>51.271789633735608</v>
      </c>
      <c r="GJ119" s="137">
        <f t="shared" si="609"/>
        <v>0.18457844268144671</v>
      </c>
      <c r="GK119" s="251">
        <f t="shared" si="529"/>
        <v>40.960957235300285</v>
      </c>
      <c r="GL119" s="137">
        <f t="shared" si="610"/>
        <v>0.14745944604707986</v>
      </c>
      <c r="GM119" s="137">
        <f t="shared" ca="1" si="530"/>
        <v>7.6234267162304086</v>
      </c>
      <c r="GN119" s="137">
        <f t="shared" ca="1" si="611"/>
        <v>2.7444336178429254E-2</v>
      </c>
      <c r="GO119" s="137">
        <f t="shared" ca="1" si="366"/>
        <v>9.6499072357346186E-2</v>
      </c>
      <c r="GP119" s="137">
        <f t="shared" ca="1" si="531"/>
        <v>9.6331715397564626</v>
      </c>
      <c r="GQ119" s="137">
        <f t="shared" ca="1" si="612"/>
        <v>3.4679417543122988E-2</v>
      </c>
      <c r="GR119" s="137">
        <f t="shared" ca="1" si="406"/>
        <v>0.12193888025008083</v>
      </c>
      <c r="GS119" s="140">
        <f t="shared" si="532"/>
        <v>8.4918313317306718E-2</v>
      </c>
      <c r="GT119" s="140">
        <f t="shared" si="533"/>
        <v>7.0554856591820453E-2</v>
      </c>
      <c r="GU119" s="140">
        <f t="shared" si="613"/>
        <v>305.70592794230419</v>
      </c>
      <c r="GV119" s="140">
        <f t="shared" si="614"/>
        <v>253.99748373055363</v>
      </c>
      <c r="GW119" s="141">
        <f t="shared" ca="1" si="534"/>
        <v>5.7811219525196432E-3</v>
      </c>
      <c r="GX119" s="141">
        <f t="shared" ca="1" si="535"/>
        <v>5.0388435342773102E-3</v>
      </c>
      <c r="GY119" s="141">
        <f t="shared" ca="1" si="615"/>
        <v>20.812039029070714</v>
      </c>
      <c r="GZ119" s="141">
        <f t="shared" ca="1" si="616"/>
        <v>18.139836723398318</v>
      </c>
      <c r="HA119" s="141">
        <f t="shared" ca="1" si="536"/>
        <v>1.4227424538625692E-2</v>
      </c>
      <c r="HB119" s="141">
        <f t="shared" ca="1" si="537"/>
        <v>1.5560954814336281E-2</v>
      </c>
      <c r="HC119" s="141">
        <f t="shared" ca="1" si="617"/>
        <v>51.21872833905249</v>
      </c>
      <c r="HD119" s="141">
        <f t="shared" ca="1" si="618"/>
        <v>56.019437331610611</v>
      </c>
      <c r="HE119" s="137">
        <f t="shared" si="367"/>
        <v>9.1134642109636648</v>
      </c>
      <c r="HF119" s="250">
        <f t="shared" si="368"/>
        <v>8.8255871520107281</v>
      </c>
      <c r="HG119" s="137">
        <v>3.2192243749598659</v>
      </c>
      <c r="HH119" s="251">
        <v>4.459792062937364</v>
      </c>
      <c r="HI119" s="137">
        <f t="shared" ca="1" si="369"/>
        <v>1.2749581352799224</v>
      </c>
      <c r="HJ119" s="251">
        <f t="shared" ca="1" si="370"/>
        <v>1.4666842565425775</v>
      </c>
      <c r="HK119" s="137">
        <f t="shared" ca="1" si="371"/>
        <v>0.71905151576264392</v>
      </c>
      <c r="HL119" s="251">
        <f t="shared" ca="1" si="372"/>
        <v>0.94153459786634275</v>
      </c>
      <c r="HM119" s="137">
        <f t="shared" ca="1" si="373"/>
        <v>0.80744463178143511</v>
      </c>
      <c r="HN119" s="251">
        <f t="shared" ca="1" si="374"/>
        <v>1.0299277138851339</v>
      </c>
      <c r="HO119" s="137">
        <f t="shared" ca="1" si="375"/>
        <v>0.14556028672825114</v>
      </c>
      <c r="HP119" s="251">
        <f t="shared" ca="1" si="376"/>
        <v>0.49794722979764594</v>
      </c>
      <c r="JN119" s="143">
        <f t="shared" si="538"/>
        <v>19.218655964929049</v>
      </c>
      <c r="JO119" s="143">
        <f t="shared" si="490"/>
        <v>3219.2243749598661</v>
      </c>
      <c r="JP119" s="143">
        <f t="shared" si="539"/>
        <v>3928.3249467063306</v>
      </c>
      <c r="JQ119" s="143">
        <f t="shared" si="540"/>
        <v>0.94132569101121699</v>
      </c>
      <c r="JR119" s="143">
        <f t="shared" ca="1" si="491"/>
        <v>1.2006983250672687</v>
      </c>
      <c r="JS119" s="143">
        <f t="shared" si="541"/>
        <v>47.498870849609382</v>
      </c>
      <c r="JT119" s="143">
        <f t="shared" ca="1" si="492"/>
        <v>162.48890195053906</v>
      </c>
      <c r="JU119" s="143">
        <f t="shared" si="547"/>
        <v>0.29436146905457455</v>
      </c>
      <c r="JV119" s="143">
        <f t="shared" si="542"/>
        <v>0.35920065442801724</v>
      </c>
      <c r="JW119" s="143">
        <f t="shared" ca="1" si="543"/>
        <v>0.23119390549234795</v>
      </c>
      <c r="JX119" s="143">
        <f t="shared" ca="1" si="544"/>
        <v>0.29489701358540177</v>
      </c>
      <c r="JY119" s="143">
        <f t="shared" si="545"/>
        <v>0</v>
      </c>
      <c r="JZ119" s="143">
        <f t="shared" si="546"/>
        <v>0.62499469752580605</v>
      </c>
      <c r="KA119" s="143">
        <f t="shared" si="493"/>
        <v>0.27769949910808917</v>
      </c>
      <c r="KB119" s="143">
        <f t="shared" si="494"/>
        <v>0.33886854191322385</v>
      </c>
      <c r="KC119" s="143">
        <f t="shared" ca="1" si="495"/>
        <v>0.54409230455854729</v>
      </c>
      <c r="KD119" s="143">
        <f t="shared" ca="1" si="496"/>
        <v>0.64194770869486739</v>
      </c>
      <c r="KE119" s="143">
        <f t="shared" ca="1" si="497"/>
        <v>0.48347784323549248</v>
      </c>
      <c r="KF119" s="143">
        <f t="shared" ca="1" si="498"/>
        <v>0.18027277784621204</v>
      </c>
      <c r="KG119" s="142">
        <f t="shared" si="499"/>
        <v>0.14745944604707986</v>
      </c>
      <c r="KH119" s="142">
        <f t="shared" ca="1" si="500"/>
        <v>0.12193888025008083</v>
      </c>
      <c r="KI119" s="142">
        <f t="shared" ca="1" si="501"/>
        <v>377.73669531042742</v>
      </c>
      <c r="KJ119" s="142">
        <f t="shared" ca="1" si="502"/>
        <v>328.15675778556255</v>
      </c>
    </row>
    <row r="120" spans="1:296" x14ac:dyDescent="0.3">
      <c r="A120" s="201">
        <v>41511</v>
      </c>
      <c r="B120" s="196">
        <v>155</v>
      </c>
      <c r="C120" s="179">
        <v>24</v>
      </c>
      <c r="D120" s="152">
        <v>4.2</v>
      </c>
      <c r="E120" s="152">
        <v>50016</v>
      </c>
      <c r="F120" s="152">
        <v>300</v>
      </c>
      <c r="G120" s="152">
        <v>11.7</v>
      </c>
      <c r="H120" s="152">
        <v>0.85</v>
      </c>
      <c r="I120" s="152">
        <v>1.4</v>
      </c>
      <c r="J120" s="152">
        <v>1.33</v>
      </c>
      <c r="K120" s="152">
        <v>0.91</v>
      </c>
      <c r="L120" s="152">
        <v>24898.614353351295</v>
      </c>
      <c r="M120" s="155">
        <v>19</v>
      </c>
      <c r="N120" s="153">
        <v>67323.11055585742</v>
      </c>
      <c r="O120" s="178">
        <v>17</v>
      </c>
      <c r="P120" s="152">
        <v>2</v>
      </c>
      <c r="Q120" s="152">
        <v>5</v>
      </c>
      <c r="R120" s="154">
        <v>377.45626831054687</v>
      </c>
      <c r="S120" s="155">
        <v>76.274126671225531</v>
      </c>
      <c r="T120" s="152">
        <v>180</v>
      </c>
      <c r="U120" s="156">
        <v>3.0058450698852539</v>
      </c>
      <c r="V120" s="178">
        <v>17</v>
      </c>
      <c r="W120" s="152">
        <v>1250</v>
      </c>
      <c r="X120" s="155">
        <v>9212.4159873990284</v>
      </c>
      <c r="Y120" s="155">
        <v>1003.7215987853706</v>
      </c>
      <c r="Z120" s="155">
        <v>45.373493194580078</v>
      </c>
      <c r="AA120" s="155">
        <v>15.243959426879883</v>
      </c>
      <c r="AB120" s="155">
        <v>17.704219818115234</v>
      </c>
      <c r="AC120" s="215">
        <v>37</v>
      </c>
      <c r="AD120" s="215">
        <v>28.637426376342773</v>
      </c>
      <c r="AE120" s="254">
        <v>20</v>
      </c>
      <c r="AF120" s="254">
        <v>10</v>
      </c>
      <c r="AG120" s="217">
        <v>5000000</v>
      </c>
      <c r="AH120" s="218">
        <v>300000</v>
      </c>
      <c r="AI120" s="219">
        <v>5000000</v>
      </c>
      <c r="AJ120" s="225">
        <f t="shared" si="473"/>
        <v>300000</v>
      </c>
      <c r="AK120" s="220">
        <v>2750000</v>
      </c>
      <c r="AL120" s="226">
        <f t="shared" si="474"/>
        <v>300000</v>
      </c>
      <c r="AM120" s="221">
        <v>14.407</v>
      </c>
      <c r="BM120" s="197">
        <f t="shared" si="475"/>
        <v>8.3625736236572266</v>
      </c>
      <c r="BN120" s="196">
        <f t="shared" si="476"/>
        <v>180</v>
      </c>
      <c r="BO120" s="197">
        <f t="shared" si="477"/>
        <v>2.4602603912353516</v>
      </c>
      <c r="BP120" s="196">
        <f t="shared" si="472"/>
        <v>12.675286603380105</v>
      </c>
      <c r="BQ120" s="115">
        <f t="shared" si="478"/>
        <v>659.74492511188635</v>
      </c>
      <c r="BR120" s="184">
        <f t="shared" si="479"/>
        <v>1.0041987768</v>
      </c>
      <c r="BS120" s="115">
        <f t="shared" si="480"/>
        <v>6863.8528613899143</v>
      </c>
      <c r="BT120" s="196">
        <v>900</v>
      </c>
      <c r="BU120" s="115">
        <f t="shared" si="548"/>
        <v>1.1850729520000001</v>
      </c>
      <c r="BV120" s="115">
        <f t="shared" si="549"/>
        <v>1.0696509713188189</v>
      </c>
      <c r="BW120" s="115">
        <f t="shared" si="550"/>
        <v>461.4987926103197</v>
      </c>
      <c r="BX120" s="115">
        <f t="shared" si="503"/>
        <v>1110.2097409878918</v>
      </c>
      <c r="BY120" s="115"/>
      <c r="BZ120" s="115">
        <f t="shared" si="504"/>
        <v>648.71094837757209</v>
      </c>
      <c r="CA120" s="115">
        <f t="shared" si="505"/>
        <v>10503.390388418919</v>
      </c>
      <c r="CB120" s="115">
        <f t="shared" si="506"/>
        <v>2805.1296064940593</v>
      </c>
      <c r="CC120" s="115">
        <f t="shared" si="507"/>
        <v>1037.4422647229705</v>
      </c>
      <c r="CD120" s="129">
        <f t="shared" si="551"/>
        <v>0.20497970209106772</v>
      </c>
      <c r="CE120" s="115">
        <f t="shared" si="508"/>
        <v>2.669029011445887</v>
      </c>
      <c r="CF120" s="115">
        <f t="shared" si="509"/>
        <v>21.187257408673759</v>
      </c>
      <c r="CG120" s="115">
        <f t="shared" si="510"/>
        <v>0.02</v>
      </c>
      <c r="CH120" s="115">
        <f t="shared" si="511"/>
        <v>0.05</v>
      </c>
      <c r="CI120" s="136">
        <v>30</v>
      </c>
      <c r="CJ120" s="115">
        <f t="shared" si="552"/>
        <v>165</v>
      </c>
      <c r="CK120" s="115">
        <f t="shared" si="512"/>
        <v>453</v>
      </c>
      <c r="CL120" s="115">
        <f t="shared" si="513"/>
        <v>650.45626831054687</v>
      </c>
      <c r="CM120" s="115">
        <f t="shared" ca="1" si="514"/>
        <v>2816.5993052117487</v>
      </c>
      <c r="CN120" s="115">
        <f t="shared" ca="1" si="553"/>
        <v>125.80344444444444</v>
      </c>
      <c r="CO120" s="115">
        <f t="shared" ca="1" si="554"/>
        <v>690.58718083896258</v>
      </c>
      <c r="CP120" s="115">
        <f t="shared" ca="1" si="555"/>
        <v>2790.6388281929471</v>
      </c>
      <c r="CQ120" s="115">
        <f t="shared" si="556"/>
        <v>1.072449112508886</v>
      </c>
      <c r="CR120" s="115">
        <f t="shared" ca="1" si="481"/>
        <v>495.14861946457705</v>
      </c>
      <c r="CS120" s="115">
        <f t="shared" ca="1" si="482"/>
        <v>24.531208864628951</v>
      </c>
      <c r="CT120" s="115">
        <f t="shared" si="557"/>
        <v>1.1182121224119446</v>
      </c>
      <c r="CU120" s="115">
        <f t="shared" ca="1" si="558"/>
        <v>1.0158074398253683</v>
      </c>
      <c r="CV120" s="115">
        <f t="shared" si="360"/>
        <v>175.71094837757209</v>
      </c>
      <c r="CW120" s="115">
        <f t="shared" si="559"/>
        <v>473</v>
      </c>
      <c r="CX120" s="115">
        <f t="shared" si="560"/>
        <v>438</v>
      </c>
      <c r="CY120" s="115">
        <f t="shared" ca="1" si="561"/>
        <v>448.46879113537102</v>
      </c>
      <c r="CZ120" s="115">
        <f t="shared" ca="1" si="562"/>
        <v>201.98747717517585</v>
      </c>
      <c r="DA120" s="115">
        <v>0.21890000000000001</v>
      </c>
      <c r="DB120" s="115">
        <v>2.7E-2</v>
      </c>
      <c r="DC120" s="115">
        <v>1.06</v>
      </c>
      <c r="DD120" s="138">
        <f t="shared" si="515"/>
        <v>10.867400666574055</v>
      </c>
      <c r="DE120" s="138">
        <f t="shared" si="563"/>
        <v>10.867400666574055</v>
      </c>
      <c r="DF120" s="115">
        <f t="shared" si="564"/>
        <v>650.45626831054687</v>
      </c>
      <c r="DG120" s="115">
        <v>648.71094837757209</v>
      </c>
      <c r="DH120" s="115">
        <f t="shared" si="565"/>
        <v>1.1182121224119446</v>
      </c>
      <c r="DI120" s="115">
        <f t="shared" si="566"/>
        <v>1.1177453805444058</v>
      </c>
      <c r="DJ120" s="138">
        <f t="shared" si="483"/>
        <v>2.5711491354011917</v>
      </c>
      <c r="DK120" s="138">
        <f t="shared" si="484"/>
        <v>2.5498065885961192</v>
      </c>
      <c r="DL120" s="115">
        <f t="shared" si="567"/>
        <v>650.45626831054687</v>
      </c>
      <c r="DM120" s="115">
        <f t="shared" si="619"/>
        <v>648.71094837757209</v>
      </c>
      <c r="DN120" s="115">
        <f t="shared" si="568"/>
        <v>12.79051648159265</v>
      </c>
      <c r="DO120" s="115">
        <f t="shared" si="569"/>
        <v>1.1182121224119446</v>
      </c>
      <c r="DP120" s="115">
        <f t="shared" si="570"/>
        <v>1.1177453805444058</v>
      </c>
      <c r="DQ120" s="115">
        <v>298.14999999999998</v>
      </c>
      <c r="DR120" s="138">
        <f t="shared" si="571"/>
        <v>1.712385324177194</v>
      </c>
      <c r="DS120" s="138">
        <f t="shared" si="572"/>
        <v>1.6981711880050152</v>
      </c>
      <c r="DT120" s="115">
        <f t="shared" si="573"/>
        <v>650.45626831054687</v>
      </c>
      <c r="DU120" s="139">
        <f t="shared" si="422"/>
        <v>6.4144632204984156</v>
      </c>
      <c r="DV120" s="115">
        <f t="shared" si="574"/>
        <v>1.1182121224119446</v>
      </c>
      <c r="DW120" s="115">
        <v>298.14999999999998</v>
      </c>
      <c r="DX120" s="138">
        <f t="shared" si="485"/>
        <v>0.85876381122399825</v>
      </c>
      <c r="DY120" s="138">
        <f t="shared" si="486"/>
        <v>0.85163540059110387</v>
      </c>
      <c r="DZ120" s="138">
        <f t="shared" si="575"/>
        <v>2.8051296064940594</v>
      </c>
      <c r="EA120" s="138">
        <f t="shared" si="576"/>
        <v>3.6395375270290042</v>
      </c>
      <c r="EB120" s="115">
        <f t="shared" si="577"/>
        <v>21.187257408673759</v>
      </c>
      <c r="EC120" s="115">
        <v>30</v>
      </c>
      <c r="ED120" s="198">
        <f t="shared" ca="1" si="578"/>
        <v>125.80344444444444</v>
      </c>
      <c r="EE120" s="198">
        <v>104.83</v>
      </c>
      <c r="EF120" s="198">
        <f t="shared" ca="1" si="579"/>
        <v>0.42491111111111107</v>
      </c>
      <c r="EG120" s="199">
        <v>0.36720000000000003</v>
      </c>
      <c r="EH120" s="138">
        <f t="shared" ca="1" si="580"/>
        <v>7.9809785563393992E-2</v>
      </c>
      <c r="EI120" s="138">
        <f t="shared" ca="1" si="581"/>
        <v>7.9809785563393992E-2</v>
      </c>
      <c r="EJ120" s="115">
        <f t="shared" si="582"/>
        <v>12.79051648159265</v>
      </c>
      <c r="EK120" s="115">
        <v>435</v>
      </c>
      <c r="EL120" s="115">
        <f t="shared" ca="1" si="583"/>
        <v>448.46879113537102</v>
      </c>
      <c r="EM120" s="115">
        <f t="shared" ca="1" si="584"/>
        <v>1.062342913082386</v>
      </c>
      <c r="EN120" s="115">
        <f t="shared" ca="1" si="585"/>
        <v>1.066513477767862</v>
      </c>
      <c r="EO120" s="115">
        <v>298.14999999999998</v>
      </c>
      <c r="EP120" s="138">
        <f t="shared" ca="1" si="586"/>
        <v>0.32915420674605467</v>
      </c>
      <c r="EQ120" s="138">
        <f t="shared" ca="1" si="587"/>
        <v>0.39015807296119004</v>
      </c>
      <c r="ER120" s="115">
        <f t="shared" si="588"/>
        <v>0.83495696385701501</v>
      </c>
      <c r="ES120" s="115">
        <f t="shared" si="589"/>
        <v>453</v>
      </c>
      <c r="ET120" s="115">
        <f t="shared" ca="1" si="516"/>
        <v>2816.5993052117487</v>
      </c>
      <c r="EU120" s="115">
        <f t="shared" ca="1" si="517"/>
        <v>6.5855309782608691</v>
      </c>
      <c r="EV120" s="138">
        <f t="shared" ca="1" si="590"/>
        <v>0.71620431129488726</v>
      </c>
      <c r="EW120" s="138">
        <f t="shared" ca="1" si="487"/>
        <v>0.93837685892556033</v>
      </c>
      <c r="EX120" s="115">
        <v>21.47</v>
      </c>
      <c r="EY120" s="115">
        <f t="shared" ca="1" si="518"/>
        <v>119.93525576570299</v>
      </c>
      <c r="EZ120" s="115">
        <f t="shared" ca="1" si="519"/>
        <v>0.40591077891455757</v>
      </c>
      <c r="FA120" s="138">
        <f t="shared" ca="1" si="591"/>
        <v>7.6511287084074911E-2</v>
      </c>
      <c r="FB120" s="138">
        <f t="shared" ca="1" si="592"/>
        <v>7.6511287084074911E-2</v>
      </c>
      <c r="FC120" s="115">
        <f t="shared" si="593"/>
        <v>21.47</v>
      </c>
      <c r="FD120" s="115">
        <v>37</v>
      </c>
      <c r="FE120" s="115">
        <f t="shared" ca="1" si="594"/>
        <v>154.93355555555553</v>
      </c>
      <c r="FF120" s="115">
        <f t="shared" ca="1" si="595"/>
        <v>0.52252222222222222</v>
      </c>
      <c r="FG120" s="138">
        <f t="shared" ca="1" si="596"/>
        <v>8.1462225449999703E-2</v>
      </c>
      <c r="FH120" s="138">
        <f t="shared" ca="1" si="597"/>
        <v>8.1462225449999703E-2</v>
      </c>
      <c r="FI120" s="115">
        <f t="shared" si="598"/>
        <v>12.704578094482423</v>
      </c>
      <c r="FJ120" s="115">
        <f t="shared" ca="1" si="520"/>
        <v>63.882108419206411</v>
      </c>
      <c r="FK120" s="115">
        <f t="shared" ca="1" si="521"/>
        <v>0.21914632311926949</v>
      </c>
      <c r="FL120" s="138">
        <f t="shared" ca="1" si="599"/>
        <v>4.0582388564163831E-2</v>
      </c>
      <c r="FM120" s="138">
        <f t="shared" ca="1" si="488"/>
        <v>0.7228000078926361</v>
      </c>
      <c r="FN120" s="115">
        <f t="shared" si="600"/>
        <v>12.704578094482423</v>
      </c>
      <c r="FO120" s="115">
        <f t="shared" ca="1" si="522"/>
        <v>74.178571518792054</v>
      </c>
      <c r="FP120" s="115">
        <f t="shared" ca="1" si="523"/>
        <v>0.25345328746371798</v>
      </c>
      <c r="FQ120" s="138">
        <f t="shared" ca="1" si="601"/>
        <v>4.1444288489447853E-2</v>
      </c>
      <c r="FR120" s="138">
        <f t="shared" ca="1" si="489"/>
        <v>0.73815103317329378</v>
      </c>
      <c r="FS120" s="139">
        <f t="shared" si="602"/>
        <v>5.4911219246788043</v>
      </c>
      <c r="FT120" s="249">
        <f t="shared" si="603"/>
        <v>4.6780565509489307</v>
      </c>
      <c r="FU120" s="139">
        <f t="shared" ca="1" si="604"/>
        <v>0.746836591699646</v>
      </c>
      <c r="FV120" s="249">
        <f t="shared" ca="1" si="605"/>
        <v>0.4494460416816588</v>
      </c>
      <c r="FW120" s="139">
        <f t="shared" ca="1" si="606"/>
        <v>0.71211527285424647</v>
      </c>
      <c r="FX120" s="249">
        <f t="shared" ca="1" si="607"/>
        <v>0.94877694584029337</v>
      </c>
      <c r="FY120" s="249">
        <f t="shared" si="524"/>
        <v>0.15000000000000002</v>
      </c>
      <c r="FZ120" s="139">
        <f t="shared" si="525"/>
        <v>1050000</v>
      </c>
      <c r="GA120" s="139">
        <f t="shared" si="608"/>
        <v>3.3757716049382713E-2</v>
      </c>
      <c r="GB120" s="139">
        <f t="shared" si="361"/>
        <v>121.52777777777777</v>
      </c>
      <c r="GC120" s="139">
        <f t="shared" si="526"/>
        <v>1050000</v>
      </c>
      <c r="GD120" s="139">
        <f t="shared" si="362"/>
        <v>6.7515432098765427E-2</v>
      </c>
      <c r="GE120" s="139">
        <f t="shared" si="363"/>
        <v>243.05555555555554</v>
      </c>
      <c r="GF120" s="139">
        <f t="shared" si="364"/>
        <v>4.5814043209876545E-2</v>
      </c>
      <c r="GG120" s="139">
        <f t="shared" si="527"/>
        <v>712500</v>
      </c>
      <c r="GH120" s="139">
        <f t="shared" si="365"/>
        <v>164.93055555555554</v>
      </c>
      <c r="GI120" s="137">
        <f t="shared" si="528"/>
        <v>54.643397404573633</v>
      </c>
      <c r="GJ120" s="137">
        <f t="shared" si="609"/>
        <v>0.19671623065646351</v>
      </c>
      <c r="GK120" s="251">
        <f t="shared" si="529"/>
        <v>42.200222635480699</v>
      </c>
      <c r="GL120" s="137">
        <f t="shared" si="610"/>
        <v>0.1519208014877293</v>
      </c>
      <c r="GM120" s="137">
        <f t="shared" ca="1" si="530"/>
        <v>0.55170215955583046</v>
      </c>
      <c r="GN120" s="137">
        <f t="shared" ca="1" si="611"/>
        <v>1.9861277744009738E-3</v>
      </c>
      <c r="GO120" s="137">
        <f t="shared" ca="1" si="366"/>
        <v>6.9835716399471656E-3</v>
      </c>
      <c r="GP120" s="137">
        <f t="shared" ca="1" si="531"/>
        <v>9.3873639820299388</v>
      </c>
      <c r="GQ120" s="137">
        <f t="shared" ca="1" si="612"/>
        <v>3.3794510335307511E-2</v>
      </c>
      <c r="GR120" s="137">
        <f t="shared" ca="1" si="406"/>
        <v>0.11882739217759322</v>
      </c>
      <c r="GS120" s="140">
        <f t="shared" si="532"/>
        <v>7.9110593568847545E-2</v>
      </c>
      <c r="GT120" s="140">
        <f t="shared" si="533"/>
        <v>6.7396760729521235E-2</v>
      </c>
      <c r="GU120" s="140">
        <f t="shared" si="613"/>
        <v>284.79813684785114</v>
      </c>
      <c r="GV120" s="140">
        <f t="shared" si="614"/>
        <v>242.62833862627645</v>
      </c>
      <c r="GW120" s="141">
        <f t="shared" ca="1" si="534"/>
        <v>7.165943401226788E-3</v>
      </c>
      <c r="GX120" s="141">
        <f t="shared" ca="1" si="535"/>
        <v>4.3124626355901001E-3</v>
      </c>
      <c r="GY120" s="141">
        <f t="shared" ca="1" si="615"/>
        <v>25.797396244416436</v>
      </c>
      <c r="GZ120" s="141">
        <f t="shared" ca="1" si="616"/>
        <v>15.524865488124361</v>
      </c>
      <c r="HA120" s="141">
        <f t="shared" ca="1" si="536"/>
        <v>1.4851365989688829E-2</v>
      </c>
      <c r="HB120" s="141">
        <f t="shared" ca="1" si="537"/>
        <v>1.3869147859879371E-2</v>
      </c>
      <c r="HC120" s="141">
        <f t="shared" ca="1" si="617"/>
        <v>53.464917562879783</v>
      </c>
      <c r="HD120" s="141">
        <f t="shared" ca="1" si="618"/>
        <v>49.928932295565737</v>
      </c>
      <c r="HE120" s="137">
        <f t="shared" si="367"/>
        <v>8.2962515311728637</v>
      </c>
      <c r="HF120" s="250">
        <f t="shared" si="368"/>
        <v>8.3175940779779349</v>
      </c>
      <c r="HG120" s="137">
        <v>2.8051296064940594</v>
      </c>
      <c r="HH120" s="251">
        <v>3.5998152636076086</v>
      </c>
      <c r="HI120" s="137">
        <f t="shared" ca="1" si="369"/>
        <v>1.322227251216004</v>
      </c>
      <c r="HJ120" s="251">
        <f t="shared" ca="1" si="370"/>
        <v>1.3080131150438252</v>
      </c>
      <c r="HK120" s="137">
        <f t="shared" ca="1" si="371"/>
        <v>0.63639452573149324</v>
      </c>
      <c r="HL120" s="251">
        <f t="shared" ca="1" si="372"/>
        <v>0.85856707336216631</v>
      </c>
      <c r="HM120" s="137">
        <f t="shared" ca="1" si="373"/>
        <v>0.71620431129488726</v>
      </c>
      <c r="HN120" s="251">
        <f t="shared" ca="1" si="374"/>
        <v>0.93837685892556033</v>
      </c>
      <c r="HO120" s="137">
        <f t="shared" ca="1" si="375"/>
        <v>4.0582388564163831E-2</v>
      </c>
      <c r="HP120" s="251">
        <f t="shared" ca="1" si="376"/>
        <v>0.7228000078926361</v>
      </c>
      <c r="JN120" s="143">
        <f t="shared" si="538"/>
        <v>19.204979702091066</v>
      </c>
      <c r="JO120" s="143">
        <f t="shared" si="490"/>
        <v>2805.1296064940593</v>
      </c>
      <c r="JP120" s="143">
        <f t="shared" si="539"/>
        <v>3639.5375270290042</v>
      </c>
      <c r="JQ120" s="143">
        <f t="shared" si="540"/>
        <v>0.83495696385701501</v>
      </c>
      <c r="JR120" s="143">
        <f t="shared" ca="1" si="491"/>
        <v>1.093967574232559</v>
      </c>
      <c r="JS120" s="143">
        <f t="shared" si="541"/>
        <v>12.704578094482423</v>
      </c>
      <c r="JT120" s="143">
        <f t="shared" ca="1" si="492"/>
        <v>226.27719737209887</v>
      </c>
      <c r="JU120" s="143">
        <f t="shared" si="547"/>
        <v>0.27361072570273409</v>
      </c>
      <c r="JV120" s="143">
        <f t="shared" si="542"/>
        <v>0.35499839354565271</v>
      </c>
      <c r="JW120" s="143">
        <f t="shared" ca="1" si="543"/>
        <v>0.21872549828242677</v>
      </c>
      <c r="JX120" s="143">
        <f t="shared" ca="1" si="544"/>
        <v>0.28657597114168176</v>
      </c>
      <c r="JY120" s="143">
        <f t="shared" si="545"/>
        <v>0.5677599508572575</v>
      </c>
      <c r="JZ120" s="143">
        <f t="shared" si="546"/>
        <v>0.39746446778010897</v>
      </c>
      <c r="KA120" s="143">
        <f t="shared" si="493"/>
        <v>0.25812332613465477</v>
      </c>
      <c r="KB120" s="143">
        <f t="shared" si="494"/>
        <v>0.3349041448543893</v>
      </c>
      <c r="KC120" s="143">
        <f t="shared" ca="1" si="495"/>
        <v>0.46007823111539747</v>
      </c>
      <c r="KD120" s="143">
        <f t="shared" ca="1" si="496"/>
        <v>0.65639026358952057</v>
      </c>
      <c r="KE120" s="143">
        <f t="shared" ca="1" si="497"/>
        <v>0.77026623260961558</v>
      </c>
      <c r="KF120" s="143">
        <f t="shared" ca="1" si="498"/>
        <v>5.6663144753752524E-2</v>
      </c>
      <c r="KG120" s="142">
        <f t="shared" si="499"/>
        <v>0.1519208014877293</v>
      </c>
      <c r="KH120" s="142">
        <f t="shared" ca="1" si="500"/>
        <v>0.11882739217759322</v>
      </c>
      <c r="KI120" s="142">
        <f t="shared" ca="1" si="501"/>
        <v>364.06045065514741</v>
      </c>
      <c r="KJ120" s="142">
        <f t="shared" ca="1" si="502"/>
        <v>308.08213640996655</v>
      </c>
    </row>
    <row r="121" spans="1:296" x14ac:dyDescent="0.3">
      <c r="A121" s="195">
        <v>41598</v>
      </c>
      <c r="B121" s="196">
        <v>156</v>
      </c>
      <c r="C121" s="177">
        <v>24</v>
      </c>
      <c r="D121" s="166">
        <v>4.2</v>
      </c>
      <c r="E121" s="166">
        <v>50016</v>
      </c>
      <c r="F121" s="166">
        <v>300</v>
      </c>
      <c r="G121" s="166">
        <v>11.7</v>
      </c>
      <c r="H121" s="166">
        <v>0.85</v>
      </c>
      <c r="I121" s="166">
        <v>1.4</v>
      </c>
      <c r="J121" s="166">
        <v>1.33</v>
      </c>
      <c r="K121" s="166">
        <v>0.91</v>
      </c>
      <c r="L121" s="166">
        <v>28242.333286516368</v>
      </c>
      <c r="M121" s="169">
        <v>19</v>
      </c>
      <c r="N121" s="167">
        <v>78525.547501012683</v>
      </c>
      <c r="O121" s="176">
        <v>17</v>
      </c>
      <c r="P121" s="166">
        <v>2</v>
      </c>
      <c r="Q121" s="166">
        <v>5</v>
      </c>
      <c r="R121" s="168">
        <v>401.2003173828125</v>
      </c>
      <c r="S121" s="168">
        <v>70.605422751337755</v>
      </c>
      <c r="T121" s="166">
        <v>180</v>
      </c>
      <c r="U121" s="170">
        <v>2.7517104148864746</v>
      </c>
      <c r="V121" s="176">
        <v>17</v>
      </c>
      <c r="W121" s="166">
        <v>1250</v>
      </c>
      <c r="X121" s="169">
        <v>15989.220693031093</v>
      </c>
      <c r="Y121" s="169">
        <v>2163.3076824098825</v>
      </c>
      <c r="Z121" s="169">
        <v>90.338966369628906</v>
      </c>
      <c r="AA121" s="169">
        <v>12.569611549377441</v>
      </c>
      <c r="AB121" s="169">
        <v>13.982355117797852</v>
      </c>
      <c r="AC121" s="212">
        <v>37</v>
      </c>
      <c r="AD121" s="212">
        <v>25.919164657592773</v>
      </c>
      <c r="AE121" s="254">
        <v>20</v>
      </c>
      <c r="AF121" s="254">
        <v>10</v>
      </c>
      <c r="AG121" s="217">
        <v>5000000</v>
      </c>
      <c r="AH121" s="218">
        <v>300000</v>
      </c>
      <c r="AI121" s="219">
        <v>5000000</v>
      </c>
      <c r="AJ121" s="225">
        <f t="shared" si="473"/>
        <v>300000</v>
      </c>
      <c r="AK121" s="220">
        <v>2750000</v>
      </c>
      <c r="AL121" s="226">
        <f t="shared" si="474"/>
        <v>300000</v>
      </c>
      <c r="AM121" s="221">
        <v>14.407</v>
      </c>
      <c r="BM121" s="197">
        <f t="shared" si="475"/>
        <v>11.080835342407227</v>
      </c>
      <c r="BN121" s="196">
        <f t="shared" si="476"/>
        <v>180</v>
      </c>
      <c r="BO121" s="197">
        <f t="shared" si="477"/>
        <v>1.4127435684204102</v>
      </c>
      <c r="BP121" s="196">
        <f t="shared" si="472"/>
        <v>12.693454697825278</v>
      </c>
      <c r="BQ121" s="115">
        <f t="shared" si="478"/>
        <v>659.74492511188635</v>
      </c>
      <c r="BR121" s="184">
        <f t="shared" si="479"/>
        <v>1.0041987768</v>
      </c>
      <c r="BS121" s="115">
        <f t="shared" si="480"/>
        <v>6863.8528613899143</v>
      </c>
      <c r="BT121" s="196">
        <v>900</v>
      </c>
      <c r="BU121" s="115">
        <f t="shared" ref="BU121:BU122" si="620">0.991615+(0.0000699703*BT121)+(0.00000027129*BT121^2)-(0.000000000122442*BT121^3)</f>
        <v>1.1850729520000001</v>
      </c>
      <c r="BV121" s="115">
        <f t="shared" ref="BV121:BV122" si="621">0.991615+(0.0000699703*BW121)+(0.00000027129*BW121^2)-(0.000000000122442*BW121^3)</f>
        <v>1.0757272327241203</v>
      </c>
      <c r="BW121" s="115">
        <f t="shared" ref="BW121:BW122" si="622">BX121-BZ121</f>
        <v>486.34148695339968</v>
      </c>
      <c r="BX121" s="115">
        <f t="shared" si="503"/>
        <v>1169.9728469671545</v>
      </c>
      <c r="BY121" s="115"/>
      <c r="BZ121" s="115">
        <f t="shared" si="504"/>
        <v>683.63136001375483</v>
      </c>
      <c r="CA121" s="115">
        <f t="shared" si="505"/>
        <v>11084.658201194849</v>
      </c>
      <c r="CB121" s="115">
        <f t="shared" si="506"/>
        <v>3271.897812542195</v>
      </c>
      <c r="CC121" s="115">
        <f t="shared" si="507"/>
        <v>1176.7638869381819</v>
      </c>
      <c r="CD121" s="129">
        <f t="shared" ref="CD121:CD122" si="623">(0.0002778/1.406)*CC121</f>
        <v>0.23250711791708886</v>
      </c>
      <c r="CE121" s="115">
        <f t="shared" si="508"/>
        <v>5.3140568452722885</v>
      </c>
      <c r="CF121" s="115">
        <f t="shared" si="509"/>
        <v>19.612617430927155</v>
      </c>
      <c r="CG121" s="115">
        <f t="shared" si="510"/>
        <v>0.02</v>
      </c>
      <c r="CH121" s="115">
        <f t="shared" si="511"/>
        <v>0.05</v>
      </c>
      <c r="CI121" s="136">
        <v>30</v>
      </c>
      <c r="CJ121" s="115">
        <f t="shared" ref="CJ121:CJ122" si="624">CX121-273</f>
        <v>165</v>
      </c>
      <c r="CK121" s="115">
        <f t="shared" si="512"/>
        <v>453</v>
      </c>
      <c r="CL121" s="115">
        <f t="shared" si="513"/>
        <v>674.2003173828125</v>
      </c>
      <c r="CM121" s="115">
        <f t="shared" ca="1" si="514"/>
        <v>2816.5993052117487</v>
      </c>
      <c r="CN121" s="115">
        <f t="shared" ref="CN121:CN122" ca="1" si="625">FORECAST(CI121,OFFSET(h,MATCH(CI121,Temp,1)-1,0,2),OFFSET(Temp,MATCH(CI121,Temp,1)-1,0,2))</f>
        <v>125.80344444444444</v>
      </c>
      <c r="CO121" s="115">
        <f t="shared" ref="CO121:CO122" ca="1" si="626">FORECAST(CJ121,OFFSET(h,MATCH(CJ121,Temp,1)-1,0,2),OFFSET(Temp,MATCH(CJ121,Temp,1)-1,0,2))</f>
        <v>690.58718083896258</v>
      </c>
      <c r="CP121" s="115">
        <f t="shared" ref="CP121:CP122" ca="1" si="627">FORECAST(CJ121,OFFSET(KnownA,MATCH(CJ121,KnownB,1)-1,0,2),OFFSET(KnownB,MATCH(CJ121,KnownB,1)-1,0,2))</f>
        <v>2790.6388281929471</v>
      </c>
      <c r="CQ121" s="115">
        <f t="shared" ref="CQ121:CQ122" si="628">0.991615+(0.0000699703*CW121)+(0.00000027129*CW121^2)-(0.000000000122442*CW121^3)</f>
        <v>1.072449112508886</v>
      </c>
      <c r="CR121" s="115">
        <f t="shared" ca="1" si="481"/>
        <v>453.28537613196045</v>
      </c>
      <c r="CS121" s="115">
        <f t="shared" ca="1" si="482"/>
        <v>22.425030190686535</v>
      </c>
      <c r="CT121" s="115">
        <f t="shared" ref="CT121:CT122" si="629">0.991615+(0.0000699703*CL121)+(0.00000027129*CL121^2)-(0.000000000122442*CL121^3)</f>
        <v>1.1245798254877986</v>
      </c>
      <c r="CU121" s="115">
        <f t="shared" ref="CU121:CU122" ca="1" si="630">0.991615+(0.0000699703*CZ121)+(0.00000027129*CZ121^2)-(0.000000000122442*CZ121^3)</f>
        <v>1.0194595994037587</v>
      </c>
      <c r="CV121" s="115">
        <f t="shared" si="360"/>
        <v>210.63136001375483</v>
      </c>
      <c r="CW121" s="115">
        <f t="shared" ref="CW121:CW122" si="631">CK121+20</f>
        <v>473</v>
      </c>
      <c r="CX121" s="115">
        <f t="shared" ref="CX121:CX122" si="632">CK121-15</f>
        <v>438</v>
      </c>
      <c r="CY121" s="115">
        <f t="shared" ref="CY121:CY122" ca="1" si="633">CW121-CS121</f>
        <v>450.57496980931347</v>
      </c>
      <c r="CZ121" s="115">
        <f t="shared" ref="CZ121:CZ122" ca="1" si="634">CL121-CY121</f>
        <v>223.62534757349903</v>
      </c>
      <c r="DA121" s="115">
        <v>0.21890000000000001</v>
      </c>
      <c r="DB121" s="115">
        <v>2.7E-2</v>
      </c>
      <c r="DC121" s="115">
        <v>1.06</v>
      </c>
      <c r="DD121" s="138">
        <f t="shared" si="515"/>
        <v>12.326820570325582</v>
      </c>
      <c r="DE121" s="138">
        <f t="shared" ref="DE121:DE122" si="635">DD121</f>
        <v>12.326820570325582</v>
      </c>
      <c r="DF121" s="115">
        <f t="shared" ref="DF121:DF122" si="636">CL121</f>
        <v>674.2003173828125</v>
      </c>
      <c r="DG121" s="115">
        <v>683.63136001375483</v>
      </c>
      <c r="DH121" s="115">
        <f t="shared" ref="DH121:DH122" si="637">0.991615+(0.0000699703*DF121)+(0.00000027129*DF121^2)-(0.000000000122442*DF121^3)</f>
        <v>1.1245798254877986</v>
      </c>
      <c r="DI121" s="115">
        <f t="shared" si="566"/>
        <v>1.1271169963234227</v>
      </c>
      <c r="DJ121" s="138">
        <f t="shared" si="483"/>
        <v>2.8718442781193159</v>
      </c>
      <c r="DK121" s="138">
        <f t="shared" si="484"/>
        <v>2.9929806211855596</v>
      </c>
      <c r="DL121" s="115">
        <f t="shared" ref="DL121:DL122" si="638">DF121</f>
        <v>674.2003173828125</v>
      </c>
      <c r="DM121" s="115">
        <f t="shared" ref="DM121" si="639">BZ121</f>
        <v>683.63136001375483</v>
      </c>
      <c r="DN121" s="115">
        <f t="shared" si="568"/>
        <v>12.80884974053278</v>
      </c>
      <c r="DO121" s="115">
        <f t="shared" si="569"/>
        <v>1.1245798254877986</v>
      </c>
      <c r="DP121" s="115">
        <f t="shared" ref="DP121" si="640">0.991615+(0.0000699703*DM121)+(0.00000027129*DM121^2)-(0.000000000122442*DM121^3)</f>
        <v>1.1271169963234227</v>
      </c>
      <c r="DQ121" s="115">
        <v>298.14999999999998</v>
      </c>
      <c r="DR121" s="138">
        <f t="shared" si="571"/>
        <v>1.9126482892274641</v>
      </c>
      <c r="DS121" s="138">
        <f t="shared" si="572"/>
        <v>1.9933250937095826</v>
      </c>
      <c r="DT121" s="115">
        <f t="shared" ref="DT121:DT122" si="641">DL121</f>
        <v>674.2003173828125</v>
      </c>
      <c r="DU121" s="139">
        <f t="shared" si="422"/>
        <v>6.4236573773843073</v>
      </c>
      <c r="DV121" s="115">
        <f t="shared" ref="DV121:DV122" si="642">0.991615+(0.0000699703*DT121)+(0.00000027129*DT121^2)-(0.000000000122442*DT121^3)</f>
        <v>1.1245798254877986</v>
      </c>
      <c r="DW121" s="115">
        <v>298.14999999999998</v>
      </c>
      <c r="DX121" s="138">
        <f t="shared" si="485"/>
        <v>0.95919598889185143</v>
      </c>
      <c r="DY121" s="138">
        <f t="shared" si="486"/>
        <v>0.99965552747597686</v>
      </c>
      <c r="DZ121" s="138">
        <f t="shared" ref="DZ121:DZ122" si="643">CB121*0.001</f>
        <v>3.2718978125421949</v>
      </c>
      <c r="EA121" s="138">
        <f>JP121*0.001</f>
        <v>4.2208053398049339</v>
      </c>
      <c r="EB121" s="115">
        <f t="shared" ref="EB121:EB122" si="644">CF121</f>
        <v>19.612617430927155</v>
      </c>
      <c r="EC121" s="115">
        <v>30</v>
      </c>
      <c r="ED121" s="198">
        <f t="shared" ref="ED121:ED122" ca="1" si="645">FORECAST(EC121,OFFSET(h,MATCH(EC121,Temp,1)-1,0,2),OFFSET(Temp,MATCH(EC121,Temp,1)-1,0,2))</f>
        <v>125.80344444444444</v>
      </c>
      <c r="EE121" s="198">
        <v>104.83</v>
      </c>
      <c r="EF121" s="198">
        <f t="shared" ca="1" si="579"/>
        <v>0.42491111111111107</v>
      </c>
      <c r="EG121" s="199">
        <v>0.36720000000000003</v>
      </c>
      <c r="EH121" s="138">
        <f t="shared" ca="1" si="580"/>
        <v>7.3878310972819758E-2</v>
      </c>
      <c r="EI121" s="138">
        <f t="shared" ref="EI121:EI122" ca="1" si="646">EH121</f>
        <v>7.3878310972819758E-2</v>
      </c>
      <c r="EJ121" s="115">
        <f t="shared" si="582"/>
        <v>12.80884974053278</v>
      </c>
      <c r="EK121" s="115">
        <v>435</v>
      </c>
      <c r="EL121" s="115">
        <f t="shared" ca="1" si="583"/>
        <v>450.57496980931347</v>
      </c>
      <c r="EM121" s="115">
        <f t="shared" ca="1" si="584"/>
        <v>1.0621865805558079</v>
      </c>
      <c r="EN121" s="115">
        <f t="shared" ca="1" si="585"/>
        <v>1.0670182155053058</v>
      </c>
      <c r="EO121" s="115">
        <v>298.14999999999998</v>
      </c>
      <c r="EP121" s="138">
        <f t="shared" ca="1" si="586"/>
        <v>0.3295774920253684</v>
      </c>
      <c r="EQ121" s="138">
        <f t="shared" ca="1" si="587"/>
        <v>0.40059547855645539</v>
      </c>
      <c r="ER121" s="115">
        <f t="shared" ref="ER121:ER122" si="647">JQ121</f>
        <v>0.76436400413513184</v>
      </c>
      <c r="ES121" s="115">
        <f t="shared" si="589"/>
        <v>453</v>
      </c>
      <c r="ET121" s="115">
        <f t="shared" ca="1" si="516"/>
        <v>2816.5993052117487</v>
      </c>
      <c r="EU121" s="115">
        <f t="shared" ca="1" si="517"/>
        <v>6.5855309782608691</v>
      </c>
      <c r="EV121" s="138">
        <f t="shared" ca="1" si="590"/>
        <v>0.655651511224419</v>
      </c>
      <c r="EW121" s="138">
        <f t="shared" ca="1" si="487"/>
        <v>1.1328949471192096</v>
      </c>
      <c r="EX121" s="115">
        <v>21.47</v>
      </c>
      <c r="EY121" s="115">
        <f t="shared" ca="1" si="518"/>
        <v>108.55902844365438</v>
      </c>
      <c r="EZ121" s="115">
        <f t="shared" ca="1" si="519"/>
        <v>0.36800612939198812</v>
      </c>
      <c r="FA121" s="138">
        <f t="shared" ca="1" si="591"/>
        <v>7.4901980327849393E-2</v>
      </c>
      <c r="FB121" s="138">
        <f t="shared" ref="FB121:FB122" ca="1" si="648">FA121</f>
        <v>7.4901980327849393E-2</v>
      </c>
      <c r="FC121" s="115">
        <f t="shared" ref="FC121:FC122" si="649">EX121</f>
        <v>21.47</v>
      </c>
      <c r="FD121" s="115">
        <v>37</v>
      </c>
      <c r="FE121" s="115">
        <f t="shared" ref="FE121:FE122" ca="1" si="650">FORECAST(FD121,OFFSET(KnownY1SAC,MATCH(FD121,KnownX1SAC,1)-1,0,2),OFFSET(KnownX1SAC,MATCH(FD121,KnownX1SAC,1)-1,0,2))</f>
        <v>154.93355555555553</v>
      </c>
      <c r="FF121" s="115">
        <f t="shared" ref="FF121:FF122" ca="1" si="651">FORECAST(FD121,OFFSET(KnownYSAC,MATCH(FD121,KnownXSAC,1)-1,0,2),OFFSET(KnownXSAC,MATCH(FD121,KnownXSAC,1)-1,0,2))</f>
        <v>0.52252222222222222</v>
      </c>
      <c r="FG121" s="138">
        <f t="shared" ca="1" si="596"/>
        <v>8.1462225449999703E-2</v>
      </c>
      <c r="FH121" s="138">
        <f t="shared" ca="1" si="597"/>
        <v>8.1462225449999703E-2</v>
      </c>
      <c r="FI121" s="115">
        <f t="shared" ref="FI121:FI122" si="652">JS121</f>
        <v>25.294910583496097</v>
      </c>
      <c r="FJ121" s="115">
        <f t="shared" ca="1" si="520"/>
        <v>52.689665402094526</v>
      </c>
      <c r="FK121" s="115">
        <f t="shared" ca="1" si="521"/>
        <v>0.18185402771631876</v>
      </c>
      <c r="FL121" s="138">
        <f t="shared" ca="1" si="599"/>
        <v>7.8934464208007399E-2</v>
      </c>
      <c r="FM121" s="138">
        <f t="shared" ca="1" si="488"/>
        <v>1.4378806975089176</v>
      </c>
      <c r="FN121" s="115">
        <f t="shared" ref="FN121:FN122" si="653">FI121</f>
        <v>25.294910583496097</v>
      </c>
      <c r="FO121" s="115">
        <f t="shared" ca="1" si="522"/>
        <v>58.602154207441551</v>
      </c>
      <c r="FP121" s="115">
        <f t="shared" ca="1" si="523"/>
        <v>0.20155395192040337</v>
      </c>
      <c r="FQ121" s="138">
        <f t="shared" ca="1" si="601"/>
        <v>7.9919862961292193E-2</v>
      </c>
      <c r="FR121" s="138">
        <f t="shared" ca="1" si="489"/>
        <v>1.4558308522469521</v>
      </c>
      <c r="FS121" s="139">
        <f t="shared" si="602"/>
        <v>6.1830784796640721</v>
      </c>
      <c r="FT121" s="249">
        <f t="shared" si="603"/>
        <v>5.1130346093350889</v>
      </c>
      <c r="FU121" s="139">
        <f t="shared" ca="1" si="604"/>
        <v>1.0012975969504965</v>
      </c>
      <c r="FV121" s="249">
        <f t="shared" ca="1" si="605"/>
        <v>0.53371297900673742</v>
      </c>
      <c r="FW121" s="139">
        <f ca="1">(EV121+FA121+FQ121)-(FG121+FL121)</f>
        <v>0.65007666485555349</v>
      </c>
      <c r="FX121" s="249">
        <f t="shared" ca="1" si="607"/>
        <v>1.1442848567350938</v>
      </c>
      <c r="FY121" s="249">
        <f t="shared" si="524"/>
        <v>0.15000000000000002</v>
      </c>
      <c r="FZ121" s="139">
        <f t="shared" si="525"/>
        <v>1050000</v>
      </c>
      <c r="GA121" s="139">
        <f t="shared" si="608"/>
        <v>3.3757716049382713E-2</v>
      </c>
      <c r="GB121" s="139">
        <f t="shared" si="361"/>
        <v>121.52777777777777</v>
      </c>
      <c r="GC121" s="139">
        <f t="shared" si="526"/>
        <v>1050000</v>
      </c>
      <c r="GD121" s="139">
        <f t="shared" si="362"/>
        <v>6.7515432098765427E-2</v>
      </c>
      <c r="GE121" s="139">
        <f t="shared" si="363"/>
        <v>243.05555555555554</v>
      </c>
      <c r="GF121" s="139">
        <f t="shared" si="364"/>
        <v>4.5814043209876545E-2</v>
      </c>
      <c r="GG121" s="139">
        <f t="shared" si="527"/>
        <v>712500</v>
      </c>
      <c r="GH121" s="139">
        <f t="shared" si="365"/>
        <v>164.93055555555554</v>
      </c>
      <c r="GI121" s="137">
        <f t="shared" si="528"/>
        <v>51.950143075871615</v>
      </c>
      <c r="GJ121" s="137">
        <f t="shared" si="609"/>
        <v>0.18702051507313633</v>
      </c>
      <c r="GK121" s="251">
        <f t="shared" si="529"/>
        <v>39.857405080997601</v>
      </c>
      <c r="GL121" s="137">
        <f t="shared" si="610"/>
        <v>0.14348665829159021</v>
      </c>
      <c r="GM121" s="137">
        <f t="shared" ca="1" si="530"/>
        <v>5.6232105239276278</v>
      </c>
      <c r="GN121" s="137">
        <f t="shared" ca="1" si="611"/>
        <v>2.02435578861393E-2</v>
      </c>
      <c r="GO121" s="137">
        <f t="shared" ca="1" si="366"/>
        <v>7.1179880049716246E-2</v>
      </c>
      <c r="GP121" s="137">
        <f t="shared" ca="1" si="531"/>
        <v>10.670884216597081</v>
      </c>
      <c r="GQ121" s="137">
        <f t="shared" ca="1" si="612"/>
        <v>3.8415183179749186E-2</v>
      </c>
      <c r="GR121" s="137">
        <f t="shared" ca="1" si="406"/>
        <v>0.13507448375439238</v>
      </c>
      <c r="GS121" s="140">
        <f t="shared" si="532"/>
        <v>8.9079611656520286E-2</v>
      </c>
      <c r="GT121" s="140">
        <f t="shared" si="533"/>
        <v>7.3663489616690628E-2</v>
      </c>
      <c r="GU121" s="140">
        <f>GS121*3600</f>
        <v>320.68660196347304</v>
      </c>
      <c r="GV121" s="140">
        <f t="shared" si="614"/>
        <v>265.18856262008626</v>
      </c>
      <c r="GW121" s="141">
        <f t="shared" ca="1" si="534"/>
        <v>9.6075125231910238E-3</v>
      </c>
      <c r="GX121" s="141">
        <f t="shared" ca="1" si="535"/>
        <v>5.1210091237743434E-3</v>
      </c>
      <c r="GY121" s="141">
        <f t="shared" ca="1" si="615"/>
        <v>34.587045083487688</v>
      </c>
      <c r="GZ121" s="141">
        <f t="shared" ca="1" si="616"/>
        <v>18.435632845587637</v>
      </c>
      <c r="HA121" s="141">
        <f t="shared" ca="1" si="536"/>
        <v>1.6973014743907933E-2</v>
      </c>
      <c r="HB121" s="141">
        <f t="shared" ca="1" si="537"/>
        <v>1.6512818554132544E-2</v>
      </c>
      <c r="HC121" s="141">
        <f t="shared" ca="1" si="617"/>
        <v>61.102853078068563</v>
      </c>
      <c r="HD121" s="141">
        <f t="shared" ca="1" si="618"/>
        <v>59.446146794877158</v>
      </c>
      <c r="HE121" s="137">
        <f t="shared" si="367"/>
        <v>9.4549762922062666</v>
      </c>
      <c r="HF121" s="250">
        <f t="shared" si="368"/>
        <v>9.3338399491400228</v>
      </c>
      <c r="HG121" s="137">
        <v>3.2718978125421949</v>
      </c>
      <c r="HH121" s="251">
        <v>4.4357569465448083</v>
      </c>
      <c r="HI121" s="137">
        <f t="shared" ca="1" si="369"/>
        <v>1.5120528106710087</v>
      </c>
      <c r="HJ121" s="251">
        <f t="shared" ca="1" si="370"/>
        <v>1.5927296151531272</v>
      </c>
      <c r="HK121" s="137">
        <f t="shared" ca="1" si="371"/>
        <v>0.58177320025159929</v>
      </c>
      <c r="HL121" s="251">
        <f t="shared" ca="1" si="372"/>
        <v>1.0590166361463897</v>
      </c>
      <c r="HM121" s="137">
        <f t="shared" ca="1" si="373"/>
        <v>0.655651511224419</v>
      </c>
      <c r="HN121" s="251">
        <f t="shared" ca="1" si="374"/>
        <v>1.1328949471192096</v>
      </c>
      <c r="HO121" s="137">
        <f t="shared" ca="1" si="375"/>
        <v>7.8934464208007399E-2</v>
      </c>
      <c r="HP121" s="251">
        <f t="shared" ca="1" si="376"/>
        <v>1.4378806975089176</v>
      </c>
      <c r="JN121" s="143">
        <f t="shared" si="538"/>
        <v>19.232507117917088</v>
      </c>
      <c r="JO121" s="143">
        <f t="shared" si="490"/>
        <v>3271.897812542195</v>
      </c>
      <c r="JP121" s="143">
        <f t="shared" si="539"/>
        <v>4220.8053398049342</v>
      </c>
      <c r="JQ121" s="143">
        <f t="shared" si="540"/>
        <v>0.76436400413513184</v>
      </c>
      <c r="JR121" s="143">
        <f t="shared" ca="1" si="491"/>
        <v>1.3207383849803995</v>
      </c>
      <c r="JS121" s="143">
        <f t="shared" si="541"/>
        <v>25.294910583496097</v>
      </c>
      <c r="JT121" s="143">
        <f t="shared" ca="1" si="492"/>
        <v>460.77545515959122</v>
      </c>
      <c r="JU121" s="143">
        <f t="shared" si="547"/>
        <v>0.28135492534415318</v>
      </c>
      <c r="JV121" s="143">
        <f t="shared" si="542"/>
        <v>0.36295276909957153</v>
      </c>
      <c r="JW121" s="143">
        <f t="shared" ca="1" si="543"/>
        <v>0.17656481324071974</v>
      </c>
      <c r="JX121" s="143">
        <f t="shared" ca="1" si="544"/>
        <v>0.30508491376143787</v>
      </c>
      <c r="JY121" s="143">
        <f t="shared" si="545"/>
        <v>0.70504367502735366</v>
      </c>
      <c r="JZ121" s="143">
        <f t="shared" si="546"/>
        <v>0.13712890071317504</v>
      </c>
      <c r="KA121" s="143">
        <f t="shared" si="493"/>
        <v>0.26542917485297474</v>
      </c>
      <c r="KB121" s="143">
        <f t="shared" si="494"/>
        <v>0.34240827273544489</v>
      </c>
      <c r="KC121" s="143">
        <f t="shared" ca="1" si="495"/>
        <v>0.36749664088290918</v>
      </c>
      <c r="KD121" s="143">
        <f t="shared" ca="1" si="496"/>
        <v>0.66490672746395463</v>
      </c>
      <c r="KE121" s="143">
        <f t="shared" ca="1" si="497"/>
        <v>1.2692092070542316</v>
      </c>
      <c r="KF121" s="143">
        <f t="shared" ca="1" si="498"/>
        <v>0.12039088274287436</v>
      </c>
      <c r="KG121" s="142">
        <f t="shared" si="499"/>
        <v>0.14348665829159021</v>
      </c>
      <c r="KH121" s="142">
        <f t="shared" ca="1" si="500"/>
        <v>0.13507448375439238</v>
      </c>
      <c r="KI121" s="142">
        <f t="shared" ca="1" si="501"/>
        <v>416.37650012502928</v>
      </c>
      <c r="KJ121" s="142">
        <f t="shared" ca="1" si="502"/>
        <v>343.07034226055106</v>
      </c>
    </row>
    <row r="122" spans="1:296" s="283" customFormat="1" ht="17.25" thickBot="1" x14ac:dyDescent="0.35">
      <c r="A122" s="267">
        <v>41639</v>
      </c>
      <c r="B122" s="268">
        <v>157</v>
      </c>
      <c r="C122" s="269">
        <v>24</v>
      </c>
      <c r="D122" s="270">
        <v>4.2</v>
      </c>
      <c r="E122" s="270">
        <v>50016</v>
      </c>
      <c r="F122" s="270">
        <v>300</v>
      </c>
      <c r="G122" s="270">
        <v>11.7</v>
      </c>
      <c r="H122" s="270">
        <v>0.85</v>
      </c>
      <c r="I122" s="270">
        <v>1.4</v>
      </c>
      <c r="J122" s="270">
        <v>1.33</v>
      </c>
      <c r="K122" s="270">
        <v>0.91</v>
      </c>
      <c r="L122" s="270">
        <v>25827.937229312956</v>
      </c>
      <c r="M122" s="271">
        <v>19</v>
      </c>
      <c r="N122" s="272">
        <v>69172.522499233484</v>
      </c>
      <c r="O122" s="273">
        <v>17</v>
      </c>
      <c r="P122" s="270">
        <v>2</v>
      </c>
      <c r="Q122" s="270">
        <v>5</v>
      </c>
      <c r="R122" s="274">
        <v>404.72760009765625</v>
      </c>
      <c r="S122" s="274">
        <v>80.943256489146734</v>
      </c>
      <c r="T122" s="270">
        <v>180</v>
      </c>
      <c r="U122" s="275">
        <v>3.1763291358947754</v>
      </c>
      <c r="V122" s="273">
        <v>17</v>
      </c>
      <c r="W122" s="270">
        <v>1250</v>
      </c>
      <c r="X122" s="271">
        <v>10727.868993364275</v>
      </c>
      <c r="Y122" s="271">
        <v>1471.8842382282019</v>
      </c>
      <c r="Z122" s="271">
        <v>55.392158508300781</v>
      </c>
      <c r="AA122" s="271">
        <v>12.979186058044434</v>
      </c>
      <c r="AB122" s="271">
        <v>13.977458000183105</v>
      </c>
      <c r="AC122" s="276">
        <v>37</v>
      </c>
      <c r="AD122" s="276">
        <v>27.184560775756836</v>
      </c>
      <c r="AE122" s="277">
        <v>20</v>
      </c>
      <c r="AF122" s="277">
        <v>10</v>
      </c>
      <c r="AG122" s="278">
        <v>5000000</v>
      </c>
      <c r="AH122" s="279">
        <v>300000</v>
      </c>
      <c r="AI122" s="280">
        <v>5000000</v>
      </c>
      <c r="AJ122" s="281">
        <f t="shared" si="473"/>
        <v>300000</v>
      </c>
      <c r="AK122" s="280">
        <v>2750000</v>
      </c>
      <c r="AL122" s="279">
        <f t="shared" si="474"/>
        <v>300000</v>
      </c>
      <c r="AM122" s="282">
        <v>14.407</v>
      </c>
      <c r="BK122"/>
      <c r="BM122" s="284">
        <f t="shared" si="475"/>
        <v>9.8154392242431641</v>
      </c>
      <c r="BN122" s="268">
        <f t="shared" si="476"/>
        <v>180</v>
      </c>
      <c r="BO122" s="284">
        <f t="shared" si="477"/>
        <v>0.99827194213867188</v>
      </c>
      <c r="BP122" s="268">
        <f t="shared" si="472"/>
        <v>12.680336078565672</v>
      </c>
      <c r="BQ122" s="285">
        <f t="shared" si="478"/>
        <v>659.74492511188635</v>
      </c>
      <c r="BR122" s="286">
        <f t="shared" si="479"/>
        <v>1.0041987768</v>
      </c>
      <c r="BS122" s="285">
        <f t="shared" si="480"/>
        <v>6863.8528613899143</v>
      </c>
      <c r="BT122" s="268">
        <v>900</v>
      </c>
      <c r="BU122" s="285">
        <f t="shared" si="620"/>
        <v>1.1850729520000001</v>
      </c>
      <c r="BV122" s="285">
        <f t="shared" si="621"/>
        <v>1.0713293685890173</v>
      </c>
      <c r="BW122" s="285">
        <f t="shared" si="622"/>
        <v>468.41048868130815</v>
      </c>
      <c r="BX122" s="285">
        <f t="shared" si="503"/>
        <v>1126.8369400783961</v>
      </c>
      <c r="BY122" s="285"/>
      <c r="BZ122" s="285">
        <f t="shared" si="504"/>
        <v>658.42645139708793</v>
      </c>
      <c r="CA122" s="285">
        <f t="shared" si="505"/>
        <v>10664.942685807009</v>
      </c>
      <c r="CB122" s="285">
        <f t="shared" si="506"/>
        <v>2882.1884374680617</v>
      </c>
      <c r="CC122" s="285">
        <f t="shared" si="507"/>
        <v>1076.1640512213733</v>
      </c>
      <c r="CD122" s="287">
        <f t="shared" si="623"/>
        <v>0.21263042206920163</v>
      </c>
      <c r="CE122" s="285">
        <f t="shared" si="508"/>
        <v>3.2583622651941635</v>
      </c>
      <c r="CF122" s="285">
        <f t="shared" si="509"/>
        <v>22.484237913651871</v>
      </c>
      <c r="CG122" s="285">
        <f t="shared" si="510"/>
        <v>0.02</v>
      </c>
      <c r="CH122" s="285">
        <f t="shared" si="511"/>
        <v>0.05</v>
      </c>
      <c r="CI122" s="285">
        <v>30</v>
      </c>
      <c r="CJ122" s="285">
        <f t="shared" si="624"/>
        <v>165</v>
      </c>
      <c r="CK122" s="285">
        <f t="shared" si="512"/>
        <v>453</v>
      </c>
      <c r="CL122" s="285">
        <f t="shared" si="513"/>
        <v>677.72760009765625</v>
      </c>
      <c r="CM122" s="285">
        <f t="shared" ca="1" si="514"/>
        <v>2816.5993052117487</v>
      </c>
      <c r="CN122" s="285">
        <f t="shared" ca="1" si="625"/>
        <v>125.80344444444444</v>
      </c>
      <c r="CO122" s="285">
        <f t="shared" ca="1" si="626"/>
        <v>690.58718083896258</v>
      </c>
      <c r="CP122" s="285">
        <f t="shared" ca="1" si="627"/>
        <v>2790.6388281929471</v>
      </c>
      <c r="CQ122" s="285">
        <f t="shared" si="628"/>
        <v>1.072449112508886</v>
      </c>
      <c r="CR122" s="285">
        <f t="shared" ca="1" si="481"/>
        <v>523.23221923858171</v>
      </c>
      <c r="CS122" s="285">
        <f t="shared" ca="1" si="482"/>
        <v>25.912235396572896</v>
      </c>
      <c r="CT122" s="285">
        <f t="shared" si="629"/>
        <v>1.1255282877403991</v>
      </c>
      <c r="CU122" s="285">
        <f t="shared" ca="1" si="630"/>
        <v>1.0206819183657263</v>
      </c>
      <c r="CV122" s="285">
        <f t="shared" si="360"/>
        <v>185.42645139708793</v>
      </c>
      <c r="CW122" s="285">
        <f t="shared" si="631"/>
        <v>473</v>
      </c>
      <c r="CX122" s="285">
        <f t="shared" si="632"/>
        <v>438</v>
      </c>
      <c r="CY122" s="285">
        <f t="shared" ca="1" si="633"/>
        <v>447.0877646034271</v>
      </c>
      <c r="CZ122" s="285">
        <f t="shared" ca="1" si="634"/>
        <v>230.63983549422915</v>
      </c>
      <c r="DA122" s="285">
        <v>0.21890000000000001</v>
      </c>
      <c r="DB122" s="285">
        <v>2.7E-2</v>
      </c>
      <c r="DC122" s="285">
        <v>1.06</v>
      </c>
      <c r="DD122" s="285">
        <f t="shared" si="515"/>
        <v>11.27301858162598</v>
      </c>
      <c r="DE122" s="285">
        <f t="shared" si="635"/>
        <v>11.27301858162598</v>
      </c>
      <c r="DF122" s="285">
        <f t="shared" si="636"/>
        <v>677.72760009765625</v>
      </c>
      <c r="DG122" s="285">
        <v>658.42645139708793</v>
      </c>
      <c r="DH122" s="285">
        <f t="shared" si="637"/>
        <v>1.1255282877403991</v>
      </c>
      <c r="DI122" s="285">
        <f t="shared" si="566"/>
        <v>1.1203459939776128</v>
      </c>
      <c r="DJ122" s="285">
        <f t="shared" si="483"/>
        <v>2.9139279768718915</v>
      </c>
      <c r="DK122" s="285">
        <f t="shared" si="484"/>
        <v>2.670479809695856</v>
      </c>
      <c r="DL122" s="288">
        <f t="shared" si="638"/>
        <v>677.72760009765625</v>
      </c>
      <c r="DM122" s="288">
        <f t="shared" ref="DM122" si="654">BZ122</f>
        <v>658.42645139708793</v>
      </c>
      <c r="DN122" s="285">
        <f t="shared" si="568"/>
        <v>12.795611861098088</v>
      </c>
      <c r="DO122" s="285">
        <f t="shared" si="569"/>
        <v>1.1255282877403991</v>
      </c>
      <c r="DP122" s="288">
        <f t="shared" ref="DP122:DP123" si="655">0.991615+(0.0000699703*DM122)+(0.00000027129*DM122^2)-(0.000000000122442*DM122^3)</f>
        <v>1.1203459939776128</v>
      </c>
      <c r="DQ122" s="288">
        <v>298.14999999999998</v>
      </c>
      <c r="DR122" s="285">
        <f t="shared" si="571"/>
        <v>1.9406760325966801</v>
      </c>
      <c r="DS122" s="285">
        <f t="shared" si="572"/>
        <v>1.7785395532574404</v>
      </c>
      <c r="DT122" s="288">
        <f t="shared" si="641"/>
        <v>677.72760009765625</v>
      </c>
      <c r="DU122" s="289">
        <f t="shared" si="422"/>
        <v>6.4170185609711119</v>
      </c>
      <c r="DV122" s="288">
        <f t="shared" si="642"/>
        <v>1.1255282877403991</v>
      </c>
      <c r="DW122" s="288">
        <v>298.14999999999998</v>
      </c>
      <c r="DX122" s="285">
        <f t="shared" si="485"/>
        <v>0.97325194427521167</v>
      </c>
      <c r="DY122" s="285">
        <f t="shared" si="486"/>
        <v>0.89194025643841568</v>
      </c>
      <c r="DZ122" s="285">
        <f t="shared" si="643"/>
        <v>2.882188437468062</v>
      </c>
      <c r="EA122" s="285">
        <f>JP122*0.001</f>
        <v>3.8010898244170948</v>
      </c>
      <c r="EB122" s="285">
        <f t="shared" si="644"/>
        <v>22.484237913651871</v>
      </c>
      <c r="EC122" s="285">
        <v>30</v>
      </c>
      <c r="ED122" s="290">
        <f t="shared" ca="1" si="645"/>
        <v>125.80344444444444</v>
      </c>
      <c r="EE122" s="290">
        <v>104.83</v>
      </c>
      <c r="EF122" s="290">
        <f t="shared" ca="1" si="579"/>
        <v>0.42491111111111107</v>
      </c>
      <c r="EG122" s="291">
        <v>0.36720000000000003</v>
      </c>
      <c r="EH122" s="285">
        <f t="shared" ca="1" si="580"/>
        <v>8.4695351164717603E-2</v>
      </c>
      <c r="EI122" s="285">
        <f t="shared" ca="1" si="646"/>
        <v>8.4695351164717603E-2</v>
      </c>
      <c r="EJ122" s="285">
        <f t="shared" si="582"/>
        <v>12.795611861098088</v>
      </c>
      <c r="EK122" s="285">
        <v>435</v>
      </c>
      <c r="EL122" s="285">
        <f t="shared" ca="1" si="583"/>
        <v>447.0877646034271</v>
      </c>
      <c r="EM122" s="285">
        <f t="shared" ca="1" si="584"/>
        <v>1.0624446269291772</v>
      </c>
      <c r="EN122" s="285">
        <f t="shared" ca="1" si="585"/>
        <v>1.0661830327298356</v>
      </c>
      <c r="EO122" s="285">
        <v>298.14999999999998</v>
      </c>
      <c r="EP122" s="285">
        <f t="shared" ca="1" si="586"/>
        <v>0.32931685982929787</v>
      </c>
      <c r="EQ122" s="285">
        <f t="shared" ca="1" si="587"/>
        <v>0.38389685595559103</v>
      </c>
      <c r="ER122" s="285">
        <f t="shared" si="647"/>
        <v>0.8823136488596599</v>
      </c>
      <c r="ES122" s="285">
        <f t="shared" si="589"/>
        <v>453</v>
      </c>
      <c r="ET122" s="285">
        <f t="shared" ca="1" si="516"/>
        <v>2816.5993052117487</v>
      </c>
      <c r="EU122" s="285">
        <f t="shared" ca="1" si="517"/>
        <v>6.5855309782608691</v>
      </c>
      <c r="EV122" s="285">
        <f t="shared" ca="1" si="590"/>
        <v>0.75682564081928705</v>
      </c>
      <c r="EW122" s="285">
        <f t="shared" ca="1" si="487"/>
        <v>0.99713818590389669</v>
      </c>
      <c r="EX122" s="285">
        <v>21.47</v>
      </c>
      <c r="EY122" s="285">
        <f t="shared" ca="1" si="518"/>
        <v>113.85485179773967</v>
      </c>
      <c r="EZ122" s="285">
        <f t="shared" ca="1" si="519"/>
        <v>0.38565137526194254</v>
      </c>
      <c r="FA122" s="285">
        <f t="shared" ca="1" si="591"/>
        <v>7.5651139435015738E-2</v>
      </c>
      <c r="FB122" s="285">
        <f t="shared" ca="1" si="648"/>
        <v>7.5651139435015738E-2</v>
      </c>
      <c r="FC122" s="285">
        <f t="shared" si="649"/>
        <v>21.47</v>
      </c>
      <c r="FD122" s="285">
        <v>37</v>
      </c>
      <c r="FE122" s="285">
        <f t="shared" ca="1" si="650"/>
        <v>154.93355555555553</v>
      </c>
      <c r="FF122" s="285">
        <f t="shared" ca="1" si="651"/>
        <v>0.52252222222222222</v>
      </c>
      <c r="FG122" s="285">
        <f t="shared" ca="1" si="596"/>
        <v>8.1462225449999703E-2</v>
      </c>
      <c r="FH122" s="285">
        <f t="shared" ca="1" si="597"/>
        <v>8.1462225449999703E-2</v>
      </c>
      <c r="FI122" s="285">
        <f t="shared" si="652"/>
        <v>15.509804382324221</v>
      </c>
      <c r="FJ122" s="285">
        <f t="shared" ca="1" si="520"/>
        <v>54.40378022914463</v>
      </c>
      <c r="FK122" s="285">
        <f t="shared" ca="1" si="521"/>
        <v>0.18756531669828627</v>
      </c>
      <c r="FL122" s="285">
        <f t="shared" ca="1" si="599"/>
        <v>4.8574552324208944E-2</v>
      </c>
      <c r="FM122" s="285">
        <f t="shared" ca="1" si="488"/>
        <v>1.7933070884017916</v>
      </c>
      <c r="FN122" s="285">
        <f t="shared" si="653"/>
        <v>15.509804382324221</v>
      </c>
      <c r="FO122" s="285">
        <f t="shared" ca="1" si="522"/>
        <v>58.581659226099653</v>
      </c>
      <c r="FP122" s="285">
        <f t="shared" ca="1" si="523"/>
        <v>0.20148566433588663</v>
      </c>
      <c r="FQ122" s="285">
        <f t="shared" ca="1" si="601"/>
        <v>4.9001496119330377E-2</v>
      </c>
      <c r="FR122" s="285">
        <f t="shared" ca="1" si="489"/>
        <v>1.8090692786332154</v>
      </c>
      <c r="FS122" s="289">
        <f t="shared" si="602"/>
        <v>5.4769021672860267</v>
      </c>
      <c r="FT122" s="289">
        <f t="shared" si="603"/>
        <v>4.8014489475130295</v>
      </c>
      <c r="FU122" s="289">
        <f t="shared" ca="1" si="604"/>
        <v>0.93922888311281261</v>
      </c>
      <c r="FV122" s="289">
        <f t="shared" ca="1" si="605"/>
        <v>0.48219986256267022</v>
      </c>
      <c r="FW122" s="289">
        <f ca="1">(EV122+FA122+FQ122)-(FG122+FL122)</f>
        <v>0.75144149859942455</v>
      </c>
      <c r="FX122" s="289">
        <f t="shared" ca="1" si="607"/>
        <v>1.0070892901203363</v>
      </c>
      <c r="FY122" s="289">
        <f t="shared" si="524"/>
        <v>0.15000000000000002</v>
      </c>
      <c r="FZ122" s="289">
        <f t="shared" si="525"/>
        <v>1050000</v>
      </c>
      <c r="GA122" s="289">
        <f t="shared" si="608"/>
        <v>3.3757716049382713E-2</v>
      </c>
      <c r="GB122" s="289">
        <f t="shared" si="361"/>
        <v>121.52777777777777</v>
      </c>
      <c r="GC122" s="289">
        <f t="shared" si="526"/>
        <v>1050000</v>
      </c>
      <c r="GD122" s="289">
        <f t="shared" si="362"/>
        <v>6.7515432098765427E-2</v>
      </c>
      <c r="GE122" s="289">
        <f t="shared" si="363"/>
        <v>243.05555555555554</v>
      </c>
      <c r="GF122" s="289">
        <f t="shared" si="364"/>
        <v>4.5814043209876545E-2</v>
      </c>
      <c r="GG122" s="289">
        <f t="shared" si="527"/>
        <v>712500</v>
      </c>
      <c r="GH122" s="289">
        <f t="shared" si="365"/>
        <v>164.93055555555554</v>
      </c>
      <c r="GI122" s="292">
        <f t="shared" si="528"/>
        <v>53.496548798705476</v>
      </c>
      <c r="GJ122" s="292">
        <f t="shared" si="609"/>
        <v>0.19258757567533819</v>
      </c>
      <c r="GK122" s="292">
        <f t="shared" si="529"/>
        <v>41.486652360487902</v>
      </c>
      <c r="GL122" s="292">
        <f t="shared" si="610"/>
        <v>0.14935194849775527</v>
      </c>
      <c r="GM122" s="292">
        <f t="shared" ca="1" si="530"/>
        <v>2.3368752709025697</v>
      </c>
      <c r="GN122" s="292">
        <f t="shared" ca="1" si="611"/>
        <v>8.4127509752491836E-3</v>
      </c>
      <c r="GO122" s="292">
        <f t="shared" ca="1" si="366"/>
        <v>2.9580699631677861E-2</v>
      </c>
      <c r="GP122" s="292">
        <f t="shared" ca="1" si="531"/>
        <v>9.9870526754476892</v>
      </c>
      <c r="GQ122" s="292">
        <f t="shared" ca="1" si="612"/>
        <v>3.5953389631611397E-2</v>
      </c>
      <c r="GR122" s="292">
        <f t="shared" ca="1" si="406"/>
        <v>0.12641838829680521</v>
      </c>
      <c r="GS122" s="293">
        <f t="shared" si="532"/>
        <v>7.8905729524089793E-2</v>
      </c>
      <c r="GT122" s="293">
        <f t="shared" si="533"/>
        <v>6.9174474986820222E-2</v>
      </c>
      <c r="GU122" s="293">
        <f>GS122*3600</f>
        <v>284.06062628672328</v>
      </c>
      <c r="GV122" s="293">
        <f t="shared" si="614"/>
        <v>249.0281099525528</v>
      </c>
      <c r="GW122" s="293">
        <f t="shared" ca="1" si="534"/>
        <v>9.0119593656581894E-3</v>
      </c>
      <c r="GX122" s="293">
        <f t="shared" ca="1" si="535"/>
        <v>4.6267375776802991E-3</v>
      </c>
      <c r="GY122" s="293">
        <f t="shared" ca="1" si="615"/>
        <v>32.443053716369484</v>
      </c>
      <c r="GZ122" s="293">
        <f t="shared" ca="1" si="616"/>
        <v>16.656255279649077</v>
      </c>
      <c r="HA122" s="293">
        <f t="shared" ca="1" si="536"/>
        <v>1.7285496123768666E-2</v>
      </c>
      <c r="HB122" s="293">
        <f t="shared" ca="1" si="537"/>
        <v>1.476974695784484E-2</v>
      </c>
      <c r="HC122" s="293">
        <f t="shared" ca="1" si="617"/>
        <v>62.2277860455672</v>
      </c>
      <c r="HD122" s="293">
        <f t="shared" ca="1" si="618"/>
        <v>53.171089048241427</v>
      </c>
      <c r="HE122" s="292">
        <f t="shared" si="367"/>
        <v>8.3590906047540887</v>
      </c>
      <c r="HF122" s="294">
        <f t="shared" si="368"/>
        <v>8.6025387719301243</v>
      </c>
      <c r="HG122" s="292">
        <v>2.882188437468062</v>
      </c>
      <c r="HH122" s="292">
        <v>3.3616341554347327</v>
      </c>
      <c r="HI122" s="292">
        <f t="shared" ca="1" si="369"/>
        <v>1.556779176641089</v>
      </c>
      <c r="HJ122" s="292">
        <f t="shared" ca="1" si="370"/>
        <v>1.3946426973018493</v>
      </c>
      <c r="HK122" s="292">
        <f t="shared" ca="1" si="371"/>
        <v>0.67213028965456945</v>
      </c>
      <c r="HL122" s="292">
        <f t="shared" ca="1" si="372"/>
        <v>0.91244283473917909</v>
      </c>
      <c r="HM122" s="292">
        <f t="shared" ca="1" si="373"/>
        <v>0.75682564081928705</v>
      </c>
      <c r="HN122" s="292">
        <f t="shared" ca="1" si="374"/>
        <v>0.99713818590389669</v>
      </c>
      <c r="HO122" s="292">
        <f t="shared" ca="1" si="375"/>
        <v>4.8574552324208944E-2</v>
      </c>
      <c r="HP122" s="292">
        <f t="shared" ca="1" si="376"/>
        <v>1.7933070884017916</v>
      </c>
      <c r="JC122"/>
      <c r="JN122" s="292">
        <f t="shared" si="538"/>
        <v>19.2126304220692</v>
      </c>
      <c r="JO122" s="292">
        <f t="shared" si="490"/>
        <v>2882.1884374680617</v>
      </c>
      <c r="JP122" s="292">
        <f t="shared" si="539"/>
        <v>3801.0898244170949</v>
      </c>
      <c r="JQ122" s="292">
        <f t="shared" si="540"/>
        <v>0.8823136488596599</v>
      </c>
      <c r="JR122" s="292">
        <f t="shared" ca="1" si="491"/>
        <v>1.1624720196712293</v>
      </c>
      <c r="JS122" s="292">
        <f t="shared" si="541"/>
        <v>15.509804382324221</v>
      </c>
      <c r="JT122" s="292">
        <f t="shared" ca="1" si="492"/>
        <v>572.60110094077243</v>
      </c>
      <c r="JU122" s="292">
        <f t="shared" si="547"/>
        <v>0.27101168348074217</v>
      </c>
      <c r="JV122" s="292">
        <f t="shared" si="542"/>
        <v>0.35741582298545005</v>
      </c>
      <c r="JW122" s="292">
        <f t="shared" ca="1" si="543"/>
        <v>0.22282777436837969</v>
      </c>
      <c r="JX122" s="292">
        <f t="shared" ca="1" si="544"/>
        <v>0.29358160019811341</v>
      </c>
      <c r="JY122" s="292">
        <f t="shared" si="545"/>
        <v>0.71496571851170054</v>
      </c>
      <c r="JZ122" s="292">
        <f t="shared" si="546"/>
        <v>0.10704525902707808</v>
      </c>
      <c r="KA122" s="292">
        <f t="shared" si="493"/>
        <v>0.25567139951013418</v>
      </c>
      <c r="KB122" s="292">
        <f t="shared" si="494"/>
        <v>0.3371847386655189</v>
      </c>
      <c r="KC122" s="292">
        <f t="shared" ca="1" si="495"/>
        <v>0.41712009402611261</v>
      </c>
      <c r="KD122" s="292">
        <f t="shared" ca="1" si="496"/>
        <v>0.65424845840761936</v>
      </c>
      <c r="KE122" s="292">
        <f t="shared" ca="1" si="497"/>
        <v>1.7984539292075903</v>
      </c>
      <c r="KF122" s="292">
        <f t="shared" ca="1" si="498"/>
        <v>6.4181959099093813E-2</v>
      </c>
      <c r="KG122" s="293">
        <f t="shared" si="499"/>
        <v>0.14935194849775527</v>
      </c>
      <c r="KH122" s="293">
        <f t="shared" ca="1" si="500"/>
        <v>0.12641838829680521</v>
      </c>
      <c r="KI122" s="293">
        <f t="shared" ca="1" si="501"/>
        <v>378.73146604865997</v>
      </c>
      <c r="KJ122" s="293">
        <f t="shared" ca="1" si="502"/>
        <v>318.85545428044327</v>
      </c>
    </row>
    <row r="123" spans="1:296" x14ac:dyDescent="0.3">
      <c r="M123" s="192"/>
      <c r="AA123" s="265"/>
      <c r="AB123" s="265"/>
      <c r="CD123" s="260">
        <f>AVERAGE(CD5:CD122)</f>
        <v>0.21543322234244369</v>
      </c>
      <c r="DE123" s="261">
        <f>AVERAGE(DE5:DE122)</f>
        <v>11.421614531600444</v>
      </c>
      <c r="DK123" s="261">
        <f>AVERAGE(DK5:DK122)</f>
        <v>2.7283762718421416</v>
      </c>
      <c r="DM123" s="263">
        <f>AVERAGE(DM5:DM122)</f>
        <v>661.93109927633816</v>
      </c>
      <c r="DN123" s="263">
        <f>AVERAGE(DN5:DN122)</f>
        <v>12.797478526080063</v>
      </c>
      <c r="DO123" s="115"/>
      <c r="DP123" s="262">
        <f t="shared" si="655"/>
        <v>1.1212855053448048</v>
      </c>
      <c r="DS123" s="261">
        <f>AVERAGE(DS5:DS122)</f>
        <v>1.8170985970468654</v>
      </c>
      <c r="DU123" s="263">
        <f>AVERAGE(DU5:DU122)</f>
        <v>6.4179546962623748</v>
      </c>
      <c r="DY123" s="261">
        <f>AVERAGE(DY5:DY122)</f>
        <v>0.91127767479527533</v>
      </c>
      <c r="EA123" s="261">
        <f>AVERAGE(EA5:EA122)</f>
        <v>3.8602736430062397</v>
      </c>
      <c r="EB123" s="262">
        <f>AVERAGE(EB5:EB122)</f>
        <v>23.352198191825419</v>
      </c>
      <c r="EI123" s="261">
        <f ca="1">AVERAGE(EI5:EI122)</f>
        <v>8.7964850484163096E-2</v>
      </c>
      <c r="EJ123" s="262">
        <f t="shared" si="582"/>
        <v>12.797478526080063</v>
      </c>
      <c r="EL123" s="262">
        <f ca="1">AVERAGE(EL5:EL122)</f>
        <v>445.68037061265153</v>
      </c>
      <c r="EN123" s="262">
        <f t="shared" ca="1" si="585"/>
        <v>1.0658466987912638</v>
      </c>
      <c r="EQ123" s="261">
        <f ca="1">AVERAGE(EQ5:EQ122)</f>
        <v>0.37786102021729917</v>
      </c>
      <c r="EW123" s="261">
        <f ca="1">AVERAGE(EW5:EW122)</f>
        <v>1.0114455508977531</v>
      </c>
      <c r="FB123" s="261">
        <f ca="1">AVERAGE(FB5:FB122)</f>
        <v>7.6623646869380294E-2</v>
      </c>
      <c r="FH123" s="261">
        <f ca="1">AVERAGE(FH5:FH122)</f>
        <v>8.1462225449999953E-2</v>
      </c>
      <c r="FM123" s="261">
        <f ca="1">AVERAGE(FM5:FM122)</f>
        <v>0.65508134895020564</v>
      </c>
      <c r="FR123" s="301">
        <f ca="1">AVERAGE(FR5:FR122)</f>
        <v>0.67212558920671217</v>
      </c>
      <c r="FS123" s="301">
        <f>AVERAGE(FS5:FS122)</f>
        <v>5.8231573233838798</v>
      </c>
      <c r="FT123" s="301">
        <f t="shared" ref="FT123:GA123" si="656">AVERAGE(FT5:FT122)</f>
        <v>4.8329646167520579</v>
      </c>
      <c r="FU123" s="301">
        <f t="shared" ca="1" si="656"/>
        <v>0.70675708975212093</v>
      </c>
      <c r="FV123" s="301">
        <f t="shared" ca="1" si="656"/>
        <v>0.51575687641597712</v>
      </c>
      <c r="FW123" s="301">
        <f t="shared" ca="1" si="656"/>
        <v>0.80117515236541936</v>
      </c>
      <c r="FX123" s="301">
        <f t="shared" ca="1" si="656"/>
        <v>1.0236512125736406</v>
      </c>
      <c r="FY123" s="301">
        <f t="shared" si="656"/>
        <v>0.15000000000000008</v>
      </c>
      <c r="FZ123" s="301">
        <f t="shared" si="656"/>
        <v>1050000</v>
      </c>
      <c r="GA123" s="301">
        <f t="shared" si="656"/>
        <v>3.3757716049382824E-2</v>
      </c>
      <c r="GB123" s="256">
        <f>AVERAGE(GB5:GB122)</f>
        <v>121.5277777777775</v>
      </c>
      <c r="GE123" s="256">
        <f>AVERAGE(GE5:GE122)</f>
        <v>243.055555555555</v>
      </c>
      <c r="GH123" s="257">
        <f>AVERAGE(GH5:GH122)</f>
        <v>164.93055555555512</v>
      </c>
      <c r="GJ123" s="237">
        <f>AVERAGE(GJ5:GJ122)</f>
        <v>0.19483961091275392</v>
      </c>
      <c r="GK123" s="255">
        <f>AVERAGE(GK5:GK122)</f>
        <v>41.603770054791909</v>
      </c>
      <c r="GL123" s="236">
        <f>AVERAGE(GL5:GL122)</f>
        <v>0.14977357219724965</v>
      </c>
      <c r="GP123" s="237">
        <f ca="1">AVERAGE(GP5:GP122)</f>
        <v>9.5906747180344354</v>
      </c>
      <c r="GQ123" s="258">
        <f t="shared" ca="1" si="612"/>
        <v>3.4526428984923696E-2</v>
      </c>
      <c r="GR123" s="258">
        <f t="shared" ref="GR123" ca="1" si="657">GQ123/3.516</f>
        <v>9.8198034655641916E-3</v>
      </c>
      <c r="GU123" s="302">
        <f>AVERAGE(GU5:GU122)</f>
        <v>302.01921920876975</v>
      </c>
      <c r="GV123" s="141">
        <f t="shared" ref="GV123:HP123" si="658">AVERAGE(GV5:GV122)</f>
        <v>250.66267644076882</v>
      </c>
      <c r="GW123" s="141">
        <f t="shared" ca="1" si="658"/>
        <v>6.7813780951111674E-3</v>
      </c>
      <c r="GX123" s="141">
        <f t="shared" ca="1" si="658"/>
        <v>4.9487192061376407E-3</v>
      </c>
      <c r="GY123" s="141">
        <f t="shared" ca="1" si="658"/>
        <v>24.412961142400189</v>
      </c>
      <c r="GZ123" s="141">
        <f t="shared" ca="1" si="658"/>
        <v>17.815389142095498</v>
      </c>
      <c r="HA123" s="141">
        <f t="shared" ca="1" si="658"/>
        <v>1.5339102428651641E-2</v>
      </c>
      <c r="HB123" s="141">
        <f t="shared" ca="1" si="658"/>
        <v>1.5317859538850578E-2</v>
      </c>
      <c r="HC123" s="141">
        <f t="shared" ca="1" si="658"/>
        <v>55.220768743145896</v>
      </c>
      <c r="HD123" s="141">
        <f t="shared" ca="1" si="658"/>
        <v>55.144294339862043</v>
      </c>
      <c r="HE123" s="252">
        <f t="shared" si="658"/>
        <v>8.7995361006855006</v>
      </c>
      <c r="HF123" s="252">
        <f t="shared" si="658"/>
        <v>8.6932382597582976</v>
      </c>
      <c r="HG123" s="252">
        <f t="shared" si="658"/>
        <v>2.9763787773016235</v>
      </c>
      <c r="HH123" s="252">
        <f t="shared" si="658"/>
        <v>4.0440793141128806</v>
      </c>
      <c r="HI123" s="252">
        <f t="shared" ca="1" si="658"/>
        <v>1.3684432147720487</v>
      </c>
      <c r="HJ123" s="252">
        <f t="shared" ca="1" si="658"/>
        <v>1.4392375768295671</v>
      </c>
      <c r="HK123" s="252">
        <f t="shared" ca="1" si="658"/>
        <v>0.71015210065150858</v>
      </c>
      <c r="HL123" s="252">
        <f t="shared" ca="1" si="658"/>
        <v>0.92348070041358932</v>
      </c>
      <c r="HM123" s="252">
        <f t="shared" ca="1" si="658"/>
        <v>0.79811695113567205</v>
      </c>
      <c r="HN123" s="252">
        <f t="shared" ca="1" si="658"/>
        <v>1.0114455508977531</v>
      </c>
      <c r="HO123" s="252">
        <f t="shared" ca="1" si="658"/>
        <v>0.26091083312164587</v>
      </c>
      <c r="HP123" s="252">
        <f t="shared" ca="1" si="658"/>
        <v>0.65508134895020564</v>
      </c>
      <c r="JR123" s="38">
        <f ca="1">AVERAGE(JR5:JR122)</f>
        <v>1.1791516651964922</v>
      </c>
      <c r="JT123" s="38">
        <f ca="1">AVERAGE(JT5:JT122)</f>
        <v>210.5943195475503</v>
      </c>
      <c r="KB123" s="264">
        <f t="shared" si="494"/>
        <v>0.33797968162258774</v>
      </c>
      <c r="KD123" s="259">
        <f ca="1">AVERAGE(KD5:KD122)</f>
        <v>0.64275869941357988</v>
      </c>
      <c r="KE123" s="259">
        <f ca="1">AVERAGE(KE5:KE122)</f>
        <v>0.63029602097722925</v>
      </c>
      <c r="KG123" s="238">
        <f>AVERAGE(KG5:KG122)</f>
        <v>0.14977357219724965</v>
      </c>
      <c r="KH123" s="238">
        <f ca="1">AVERAGE(KH5:KH122)</f>
        <v>0.12140094579790335</v>
      </c>
      <c r="KI123" s="303">
        <f t="shared" ca="1" si="501"/>
        <v>381.65294909431589</v>
      </c>
    </row>
    <row r="124" spans="1:296" x14ac:dyDescent="0.3">
      <c r="M124" s="192"/>
    </row>
    <row r="125" spans="1:296" x14ac:dyDescent="0.3">
      <c r="M125" s="192"/>
    </row>
    <row r="126" spans="1:296" x14ac:dyDescent="0.3">
      <c r="M126" s="192"/>
    </row>
    <row r="127" spans="1:296" x14ac:dyDescent="0.3">
      <c r="M127" s="192"/>
    </row>
    <row r="128" spans="1:296" x14ac:dyDescent="0.3">
      <c r="M128" s="192"/>
    </row>
    <row r="129" spans="13:13" x14ac:dyDescent="0.3">
      <c r="M129" s="192"/>
    </row>
    <row r="130" spans="13:13" x14ac:dyDescent="0.3">
      <c r="M130" s="192"/>
    </row>
    <row r="131" spans="13:13" x14ac:dyDescent="0.3">
      <c r="M131" s="192"/>
    </row>
    <row r="132" spans="13:13" x14ac:dyDescent="0.3">
      <c r="M132" s="192"/>
    </row>
    <row r="133" spans="13:13" x14ac:dyDescent="0.3">
      <c r="M133" s="192"/>
    </row>
    <row r="134" spans="13:13" x14ac:dyDescent="0.3">
      <c r="M134" s="192"/>
    </row>
    <row r="135" spans="13:13" x14ac:dyDescent="0.3">
      <c r="M135" s="192"/>
    </row>
  </sheetData>
  <mergeCells count="21">
    <mergeCell ref="GS2:GV2"/>
    <mergeCell ref="AE1:AM1"/>
    <mergeCell ref="AE2:AE3"/>
    <mergeCell ref="AF2:AF3"/>
    <mergeCell ref="AI2:AJ2"/>
    <mergeCell ref="AK2:AL2"/>
    <mergeCell ref="ER1:FM1"/>
    <mergeCell ref="CM2:CZ2"/>
    <mergeCell ref="AM2:AM3"/>
    <mergeCell ref="DC2:FR2"/>
    <mergeCell ref="C1:AD1"/>
    <mergeCell ref="V2:AD2"/>
    <mergeCell ref="C2:N2"/>
    <mergeCell ref="O2:U2"/>
    <mergeCell ref="AG2:AH2"/>
    <mergeCell ref="HM2:HP2"/>
    <mergeCell ref="HE2:HH2"/>
    <mergeCell ref="HI2:HL2"/>
    <mergeCell ref="JN1:KJ2"/>
    <mergeCell ref="GW2:GZ2"/>
    <mergeCell ref="HA2:HD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373"/>
  <sheetViews>
    <sheetView topLeftCell="BF1" zoomScaleNormal="100" workbookViewId="0">
      <selection activeCell="AG5" sqref="AG5"/>
    </sheetView>
  </sheetViews>
  <sheetFormatPr defaultRowHeight="15.75" x14ac:dyDescent="0.25"/>
  <cols>
    <col min="1" max="1" width="5.375" style="52" customWidth="1"/>
    <col min="2" max="2" width="22.25" style="52" customWidth="1"/>
    <col min="3" max="3" width="23.625" style="52" customWidth="1"/>
    <col min="4" max="4" width="21" style="53" customWidth="1"/>
    <col min="5" max="5" width="15.5" style="53" customWidth="1"/>
    <col min="6" max="6" width="22.875" style="47" customWidth="1"/>
    <col min="7" max="7" width="24.25" style="47" customWidth="1"/>
    <col min="8" max="8" width="30" style="47" customWidth="1"/>
    <col min="9" max="9" width="15.625" style="47" customWidth="1"/>
    <col min="10" max="10" width="28" style="47" customWidth="1"/>
    <col min="11" max="11" width="37" style="47" customWidth="1"/>
    <col min="12" max="12" width="39.75" style="29" customWidth="1"/>
    <col min="13" max="13" width="33" style="29" customWidth="1"/>
    <col min="14" max="14" width="34.375" style="29" customWidth="1"/>
    <col min="15" max="15" width="32.5" style="29" customWidth="1"/>
    <col min="16" max="16" width="33.875" style="29" customWidth="1"/>
    <col min="17" max="18" width="31.375" style="29" customWidth="1"/>
    <col min="19" max="19" width="27" style="29" customWidth="1"/>
    <col min="20" max="20" width="17.25" style="29" customWidth="1"/>
    <col min="21" max="21" width="17.375" style="29" customWidth="1"/>
    <col min="22" max="22" width="20.25" style="29" customWidth="1"/>
    <col min="23" max="23" width="17.75" style="29" customWidth="1"/>
    <col min="24" max="24" width="20.5" style="29" customWidth="1"/>
    <col min="25" max="25" width="21.25" style="29" customWidth="1"/>
    <col min="26" max="26" width="21.75" style="29" customWidth="1"/>
    <col min="27" max="27" width="28.375" style="29" customWidth="1"/>
    <col min="28" max="28" width="26.375" style="29" customWidth="1"/>
    <col min="29" max="29" width="27.25" style="29" customWidth="1"/>
    <col min="30" max="30" width="30" style="29" customWidth="1"/>
    <col min="31" max="31" width="31.75" style="29" customWidth="1"/>
    <col min="32" max="32" width="32" style="29" customWidth="1"/>
    <col min="33" max="33" width="41.25" style="29" customWidth="1"/>
    <col min="34" max="34" width="31.875" style="29" customWidth="1"/>
    <col min="35" max="35" width="30.375" style="29" customWidth="1"/>
    <col min="36" max="36" width="29.75" style="29" customWidth="1"/>
    <col min="37" max="37" width="27.5" style="29" customWidth="1"/>
    <col min="38" max="38" width="32.625" style="4" customWidth="1"/>
    <col min="39" max="39" width="28.875" style="4" customWidth="1"/>
    <col min="40" max="40" width="29.75" style="4" customWidth="1"/>
    <col min="41" max="41" width="45.625" style="4" customWidth="1"/>
    <col min="42" max="42" width="23" style="4" customWidth="1"/>
    <col min="43" max="43" width="23.875" style="4" customWidth="1"/>
    <col min="44" max="44" width="25.75" style="4" customWidth="1"/>
    <col min="45" max="45" width="25" style="4" customWidth="1"/>
    <col min="46" max="46" width="32.875" style="4" customWidth="1"/>
    <col min="47" max="47" width="38.625" style="4" customWidth="1"/>
    <col min="48" max="48" width="37" style="4" customWidth="1"/>
    <col min="49" max="50" width="32.875" style="4" customWidth="1"/>
    <col min="51" max="51" width="47.25" style="4" customWidth="1"/>
    <col min="52" max="55" width="32.875" style="4" customWidth="1"/>
    <col min="56" max="59" width="30.5" style="4" customWidth="1"/>
    <col min="60" max="60" width="15.5" style="3" customWidth="1"/>
    <col min="61" max="61" width="24" style="3" customWidth="1"/>
    <col min="62" max="62" width="20.875" style="18" customWidth="1"/>
    <col min="63" max="63" width="24.5" style="14" customWidth="1"/>
    <col min="64" max="64" width="18.75" style="14" customWidth="1"/>
    <col min="65" max="65" width="26.25" style="14" customWidth="1"/>
    <col min="66" max="66" width="6" style="3" customWidth="1"/>
    <col min="67" max="67" width="15.25" style="3" customWidth="1"/>
    <col min="68" max="68" width="10.75" style="18" customWidth="1"/>
    <col min="69" max="69" width="9.75" style="3" customWidth="1"/>
    <col min="70" max="70" width="13.5" style="3" customWidth="1"/>
    <col min="71" max="71" width="14.25" style="3" customWidth="1"/>
    <col min="72" max="72" width="11.875" style="18" customWidth="1"/>
    <col min="73" max="74" width="13.5" style="3" customWidth="1"/>
    <col min="75" max="75" width="25.875" style="3" customWidth="1"/>
    <col min="76" max="76" width="26.25" style="3" customWidth="1"/>
    <col min="77" max="77" width="20.375" style="3" customWidth="1"/>
    <col min="78" max="78" width="23.625" style="3" customWidth="1"/>
    <col min="79" max="79" width="17.75" style="3" customWidth="1"/>
    <col min="80" max="80" width="22" style="3" customWidth="1"/>
    <col min="81" max="81" width="13.5" style="3" customWidth="1"/>
    <col min="82" max="83" width="13.625" style="3" customWidth="1"/>
    <col min="84" max="84" width="19.5" style="3" customWidth="1"/>
    <col min="85" max="85" width="18.75" style="3" customWidth="1"/>
    <col min="86" max="86" width="7.25" style="3" customWidth="1"/>
    <col min="87" max="87" width="13.5" style="3" customWidth="1"/>
    <col min="88" max="88" width="18.875" style="3" customWidth="1"/>
    <col min="89" max="89" width="14.625" style="3" customWidth="1"/>
    <col min="90" max="91" width="13.5" style="3" customWidth="1"/>
    <col min="92" max="93" width="13.625" style="3" customWidth="1"/>
    <col min="94" max="94" width="14.25" style="3" customWidth="1"/>
    <col min="95" max="95" width="22.375" style="3" customWidth="1"/>
    <col min="96" max="96" width="8" style="3" customWidth="1"/>
    <col min="97" max="97" width="14.75" style="3" customWidth="1"/>
    <col min="98" max="98" width="13.625" style="3" customWidth="1"/>
    <col min="99" max="99" width="14.875" style="3" customWidth="1"/>
    <col min="100" max="100" width="16.5" style="3" customWidth="1"/>
    <col min="101" max="101" width="16.375" style="3" customWidth="1"/>
    <col min="102" max="102" width="20.375" style="3" customWidth="1"/>
    <col min="103" max="103" width="8" style="3" customWidth="1"/>
    <col min="104" max="104" width="14.75" style="3" customWidth="1"/>
    <col min="105" max="105" width="13.625" style="3" customWidth="1"/>
    <col min="106" max="107" width="14.875" style="3" customWidth="1"/>
    <col min="108" max="108" width="15" style="3" customWidth="1"/>
    <col min="109" max="109" width="21.625" style="3" customWidth="1"/>
    <col min="110" max="110" width="26.5" style="3" customWidth="1"/>
    <col min="111" max="111" width="24.375" style="3" customWidth="1"/>
    <col min="112" max="112" width="13.625" style="3" customWidth="1"/>
    <col min="113" max="113" width="14.875" style="3" customWidth="1"/>
    <col min="114" max="114" width="38.5" style="3" customWidth="1"/>
    <col min="115" max="115" width="5.875" style="3" customWidth="1"/>
    <col min="116" max="116" width="9.875" style="3" customWidth="1"/>
    <col min="117" max="117" width="29" style="3" customWidth="1"/>
    <col min="118" max="118" width="7.875" style="3" customWidth="1"/>
    <col min="119" max="119" width="45.75" style="3" customWidth="1"/>
    <col min="120" max="120" width="18.875" style="3" customWidth="1"/>
    <col min="121" max="121" width="20" style="3" customWidth="1"/>
    <col min="122" max="122" width="27.375" style="3" customWidth="1"/>
    <col min="123" max="123" width="30.875" style="3" customWidth="1"/>
    <col min="124" max="124" width="36.5" style="3" customWidth="1"/>
    <col min="125" max="125" width="7.875" style="3" customWidth="1"/>
    <col min="126" max="126" width="20.875" style="3" customWidth="1"/>
    <col min="127" max="127" width="22.375" style="18" customWidth="1"/>
    <col min="128" max="128" width="31" style="18" customWidth="1"/>
    <col min="129" max="129" width="5.75" style="18" customWidth="1"/>
    <col min="130" max="130" width="6.375" style="18" customWidth="1"/>
    <col min="131" max="131" width="5.75" style="3" customWidth="1"/>
    <col min="132" max="132" width="23.5" style="3" customWidth="1"/>
    <col min="133" max="133" width="33.25" style="3" customWidth="1"/>
    <col min="134" max="134" width="33.375" style="3" customWidth="1"/>
    <col min="135" max="135" width="19" style="3" customWidth="1"/>
    <col min="136" max="136" width="20.375" style="3" customWidth="1"/>
    <col min="137" max="141" width="8.25" style="3" customWidth="1"/>
    <col min="142" max="142" width="13.875" style="3" customWidth="1"/>
    <col min="143" max="143" width="13.5" style="3" customWidth="1"/>
    <col min="144" max="145" width="13.875" style="3" customWidth="1"/>
    <col min="146" max="146" width="13.625" style="3" customWidth="1"/>
    <col min="147" max="147" width="8.25" style="3" customWidth="1"/>
    <col min="148" max="151" width="13.875" style="3" customWidth="1"/>
    <col min="152" max="153" width="8.25" style="3" customWidth="1"/>
    <col min="154" max="154" width="14.75" style="3" customWidth="1"/>
    <col min="155" max="155" width="13.875" style="3" customWidth="1"/>
    <col min="156" max="156" width="14.75" style="3" customWidth="1"/>
    <col min="157" max="157" width="13.875" style="3" customWidth="1"/>
    <col min="158" max="158" width="8.25" style="3" customWidth="1"/>
    <col min="159" max="159" width="14.75" style="3" customWidth="1"/>
    <col min="160" max="160" width="13.875" style="3" customWidth="1"/>
    <col min="161" max="161" width="14.75" style="3" customWidth="1"/>
    <col min="162" max="162" width="13.875" style="3" customWidth="1"/>
    <col min="163" max="163" width="8.25" style="3" customWidth="1"/>
    <col min="164" max="164" width="14.75" style="3" customWidth="1"/>
    <col min="165" max="165" width="13.875" style="3" customWidth="1"/>
    <col min="166" max="167" width="14.75" style="3" customWidth="1"/>
    <col min="168" max="168" width="8.25" style="3" customWidth="1"/>
    <col min="169" max="169" width="14.75" style="3" customWidth="1"/>
    <col min="170" max="170" width="13.875" style="3" customWidth="1"/>
    <col min="171" max="171" width="14.75" style="3" customWidth="1"/>
    <col min="172" max="172" width="13.875" style="3" customWidth="1"/>
    <col min="173" max="173" width="14.25" style="3" customWidth="1"/>
    <col min="174" max="175" width="11.75" style="3" customWidth="1"/>
    <col min="176" max="176" width="11.5" style="3" customWidth="1"/>
    <col min="177" max="177" width="11.75" style="3" customWidth="1"/>
    <col min="178" max="178" width="9.5" style="3" customWidth="1"/>
    <col min="179" max="180" width="10.625" style="3" customWidth="1"/>
    <col min="181" max="181" width="10.375" style="3" customWidth="1"/>
    <col min="182" max="182" width="9.5" style="3" customWidth="1"/>
    <col min="183" max="183" width="10.625" style="3" customWidth="1"/>
    <col min="184" max="184" width="15.375" style="3" customWidth="1"/>
    <col min="185" max="185" width="9.25" style="3" customWidth="1"/>
    <col min="186" max="186" width="31.5" style="3" customWidth="1"/>
    <col min="187" max="187" width="24.875" style="3" customWidth="1"/>
    <col min="188" max="188" width="24.25" style="3" customWidth="1"/>
    <col min="189" max="189" width="24.375" style="3" customWidth="1"/>
    <col min="190" max="190" width="27.75" style="3" customWidth="1"/>
    <col min="191" max="191" width="26" style="3" customWidth="1"/>
    <col min="192" max="192" width="26.75" style="3" customWidth="1"/>
    <col min="193" max="193" width="30.25" style="3" customWidth="1"/>
    <col min="194" max="194" width="28.5" style="3" customWidth="1"/>
    <col min="195" max="195" width="20" style="3" customWidth="1"/>
    <col min="196" max="196" width="19.625" style="49" customWidth="1"/>
    <col min="197" max="197" width="18.625" style="47" customWidth="1"/>
    <col min="198" max="316" width="9" style="3"/>
    <col min="317" max="317" width="11.25" style="3" customWidth="1"/>
    <col min="318" max="318" width="5" style="3" customWidth="1"/>
    <col min="319" max="319" width="6.625" style="3" customWidth="1"/>
    <col min="320" max="320" width="7.625" style="3" customWidth="1"/>
    <col min="321" max="321" width="5.5" style="3" customWidth="1"/>
    <col min="322" max="322" width="14" style="3" customWidth="1"/>
    <col min="323" max="323" width="12.5" style="3" customWidth="1"/>
    <col min="324" max="325" width="6" style="3" customWidth="1"/>
    <col min="326" max="326" width="7.25" style="3" customWidth="1"/>
    <col min="327" max="327" width="13.625" style="3" customWidth="1"/>
    <col min="328" max="328" width="9.75" style="3" customWidth="1"/>
    <col min="329" max="329" width="7.75" style="3" customWidth="1"/>
    <col min="330" max="330" width="14" style="3" customWidth="1"/>
    <col min="331" max="331" width="6" style="3" customWidth="1"/>
    <col min="332" max="332" width="7.25" style="3" customWidth="1"/>
    <col min="333" max="333" width="13.625" style="3" customWidth="1"/>
    <col min="334" max="334" width="9.75" style="3" customWidth="1"/>
    <col min="335" max="335" width="14" style="3" customWidth="1"/>
    <col min="336" max="336" width="5.875" style="3" customWidth="1"/>
    <col min="337" max="337" width="7.25" style="3" customWidth="1"/>
    <col min="338" max="338" width="13.5" style="3" customWidth="1"/>
    <col min="339" max="339" width="9.75" style="3" customWidth="1"/>
    <col min="340" max="340" width="14" style="3" customWidth="1"/>
    <col min="341" max="341" width="5.875" style="3" customWidth="1"/>
    <col min="342" max="342" width="7.25" style="3" customWidth="1"/>
    <col min="343" max="343" width="13.625" style="3" customWidth="1"/>
    <col min="344" max="345" width="13.5" style="3" customWidth="1"/>
    <col min="346" max="347" width="13.625" style="3" customWidth="1"/>
    <col min="348" max="348" width="14" style="3" customWidth="1"/>
    <col min="349" max="349" width="10.875" style="3" customWidth="1"/>
    <col min="350" max="350" width="7.25" style="3" customWidth="1"/>
    <col min="351" max="352" width="13.5" style="3" customWidth="1"/>
    <col min="353" max="354" width="13.625" style="3" customWidth="1"/>
    <col min="355" max="355" width="14" style="3" customWidth="1"/>
    <col min="356" max="356" width="10.875" style="3" customWidth="1"/>
    <col min="357" max="357" width="7.25" style="3" customWidth="1"/>
    <col min="358" max="358" width="13.5" style="3" customWidth="1"/>
    <col min="359" max="359" width="13.625" style="3" customWidth="1"/>
    <col min="360" max="360" width="14" style="3" customWidth="1"/>
    <col min="361" max="361" width="6.625" style="3" customWidth="1"/>
    <col min="362" max="362" width="8" style="3" customWidth="1"/>
    <col min="363" max="364" width="13.5" style="3" customWidth="1"/>
    <col min="365" max="366" width="13.625" style="3" customWidth="1"/>
    <col min="367" max="367" width="13.875" style="3" customWidth="1"/>
    <col min="368" max="368" width="7.25" style="3" customWidth="1"/>
    <col min="369" max="369" width="8" style="3" customWidth="1"/>
    <col min="370" max="370" width="14.75" style="3" customWidth="1"/>
    <col min="371" max="371" width="13.625" style="3" customWidth="1"/>
    <col min="372" max="372" width="14.875" style="3" customWidth="1"/>
    <col min="373" max="373" width="13.75" style="3" customWidth="1"/>
    <col min="374" max="374" width="14" style="3" customWidth="1"/>
    <col min="375" max="375" width="6.625" style="3" customWidth="1"/>
    <col min="376" max="376" width="8" style="3" customWidth="1"/>
    <col min="377" max="377" width="14.75" style="3" customWidth="1"/>
    <col min="378" max="378" width="13.625" style="3" customWidth="1"/>
    <col min="379" max="380" width="14.875" style="3" customWidth="1"/>
    <col min="381" max="381" width="14" style="3" customWidth="1"/>
    <col min="382" max="382" width="6.625" style="3" customWidth="1"/>
    <col min="383" max="383" width="8" style="3" customWidth="1"/>
    <col min="384" max="384" width="14.75" style="3" customWidth="1"/>
    <col min="385" max="385" width="13.625" style="3" customWidth="1"/>
    <col min="386" max="386" width="14.875" style="3" customWidth="1"/>
    <col min="387" max="387" width="13.75" style="3" customWidth="1"/>
    <col min="388" max="388" width="14" style="3" customWidth="1"/>
    <col min="389" max="389" width="25" style="3" customWidth="1"/>
    <col min="390" max="394" width="28.5" style="3" customWidth="1"/>
    <col min="395" max="572" width="9" style="3"/>
    <col min="573" max="573" width="11.25" style="3" customWidth="1"/>
    <col min="574" max="574" width="5" style="3" customWidth="1"/>
    <col min="575" max="575" width="6.625" style="3" customWidth="1"/>
    <col min="576" max="576" width="7.625" style="3" customWidth="1"/>
    <col min="577" max="577" width="5.5" style="3" customWidth="1"/>
    <col min="578" max="578" width="14" style="3" customWidth="1"/>
    <col min="579" max="579" width="12.5" style="3" customWidth="1"/>
    <col min="580" max="581" width="6" style="3" customWidth="1"/>
    <col min="582" max="582" width="7.25" style="3" customWidth="1"/>
    <col min="583" max="583" width="13.625" style="3" customWidth="1"/>
    <col min="584" max="584" width="9.75" style="3" customWidth="1"/>
    <col min="585" max="585" width="7.75" style="3" customWidth="1"/>
    <col min="586" max="586" width="14" style="3" customWidth="1"/>
    <col min="587" max="587" width="6" style="3" customWidth="1"/>
    <col min="588" max="588" width="7.25" style="3" customWidth="1"/>
    <col min="589" max="589" width="13.625" style="3" customWidth="1"/>
    <col min="590" max="590" width="9.75" style="3" customWidth="1"/>
    <col min="591" max="591" width="14" style="3" customWidth="1"/>
    <col min="592" max="592" width="5.875" style="3" customWidth="1"/>
    <col min="593" max="593" width="7.25" style="3" customWidth="1"/>
    <col min="594" max="594" width="13.5" style="3" customWidth="1"/>
    <col min="595" max="595" width="9.75" style="3" customWidth="1"/>
    <col min="596" max="596" width="14" style="3" customWidth="1"/>
    <col min="597" max="597" width="5.875" style="3" customWidth="1"/>
    <col min="598" max="598" width="7.25" style="3" customWidth="1"/>
    <col min="599" max="599" width="13.625" style="3" customWidth="1"/>
    <col min="600" max="601" width="13.5" style="3" customWidth="1"/>
    <col min="602" max="603" width="13.625" style="3" customWidth="1"/>
    <col min="604" max="604" width="14" style="3" customWidth="1"/>
    <col min="605" max="605" width="10.875" style="3" customWidth="1"/>
    <col min="606" max="606" width="7.25" style="3" customWidth="1"/>
    <col min="607" max="608" width="13.5" style="3" customWidth="1"/>
    <col min="609" max="610" width="13.625" style="3" customWidth="1"/>
    <col min="611" max="611" width="14" style="3" customWidth="1"/>
    <col min="612" max="612" width="10.875" style="3" customWidth="1"/>
    <col min="613" max="613" width="7.25" style="3" customWidth="1"/>
    <col min="614" max="614" width="13.5" style="3" customWidth="1"/>
    <col min="615" max="615" width="13.625" style="3" customWidth="1"/>
    <col min="616" max="616" width="14" style="3" customWidth="1"/>
    <col min="617" max="617" width="6.625" style="3" customWidth="1"/>
    <col min="618" max="618" width="8" style="3" customWidth="1"/>
    <col min="619" max="620" width="13.5" style="3" customWidth="1"/>
    <col min="621" max="622" width="13.625" style="3" customWidth="1"/>
    <col min="623" max="623" width="13.875" style="3" customWidth="1"/>
    <col min="624" max="624" width="7.25" style="3" customWidth="1"/>
    <col min="625" max="625" width="8" style="3" customWidth="1"/>
    <col min="626" max="626" width="14.75" style="3" customWidth="1"/>
    <col min="627" max="627" width="13.625" style="3" customWidth="1"/>
    <col min="628" max="628" width="14.875" style="3" customWidth="1"/>
    <col min="629" max="629" width="13.75" style="3" customWidth="1"/>
    <col min="630" max="630" width="14" style="3" customWidth="1"/>
    <col min="631" max="631" width="6.625" style="3" customWidth="1"/>
    <col min="632" max="632" width="8" style="3" customWidth="1"/>
    <col min="633" max="633" width="14.75" style="3" customWidth="1"/>
    <col min="634" max="634" width="13.625" style="3" customWidth="1"/>
    <col min="635" max="636" width="14.875" style="3" customWidth="1"/>
    <col min="637" max="637" width="14" style="3" customWidth="1"/>
    <col min="638" max="638" width="6.625" style="3" customWidth="1"/>
    <col min="639" max="639" width="8" style="3" customWidth="1"/>
    <col min="640" max="640" width="14.75" style="3" customWidth="1"/>
    <col min="641" max="641" width="13.625" style="3" customWidth="1"/>
    <col min="642" max="642" width="14.875" style="3" customWidth="1"/>
    <col min="643" max="643" width="13.75" style="3" customWidth="1"/>
    <col min="644" max="644" width="14" style="3" customWidth="1"/>
    <col min="645" max="645" width="25" style="3" customWidth="1"/>
    <col min="646" max="650" width="28.5" style="3" customWidth="1"/>
    <col min="651" max="828" width="9" style="3"/>
    <col min="829" max="829" width="11.25" style="3" customWidth="1"/>
    <col min="830" max="830" width="5" style="3" customWidth="1"/>
    <col min="831" max="831" width="6.625" style="3" customWidth="1"/>
    <col min="832" max="832" width="7.625" style="3" customWidth="1"/>
    <col min="833" max="833" width="5.5" style="3" customWidth="1"/>
    <col min="834" max="834" width="14" style="3" customWidth="1"/>
    <col min="835" max="835" width="12.5" style="3" customWidth="1"/>
    <col min="836" max="837" width="6" style="3" customWidth="1"/>
    <col min="838" max="838" width="7.25" style="3" customWidth="1"/>
    <col min="839" max="839" width="13.625" style="3" customWidth="1"/>
    <col min="840" max="840" width="9.75" style="3" customWidth="1"/>
    <col min="841" max="841" width="7.75" style="3" customWidth="1"/>
    <col min="842" max="842" width="14" style="3" customWidth="1"/>
    <col min="843" max="843" width="6" style="3" customWidth="1"/>
    <col min="844" max="844" width="7.25" style="3" customWidth="1"/>
    <col min="845" max="845" width="13.625" style="3" customWidth="1"/>
    <col min="846" max="846" width="9.75" style="3" customWidth="1"/>
    <col min="847" max="847" width="14" style="3" customWidth="1"/>
    <col min="848" max="848" width="5.875" style="3" customWidth="1"/>
    <col min="849" max="849" width="7.25" style="3" customWidth="1"/>
    <col min="850" max="850" width="13.5" style="3" customWidth="1"/>
    <col min="851" max="851" width="9.75" style="3" customWidth="1"/>
    <col min="852" max="852" width="14" style="3" customWidth="1"/>
    <col min="853" max="853" width="5.875" style="3" customWidth="1"/>
    <col min="854" max="854" width="7.25" style="3" customWidth="1"/>
    <col min="855" max="855" width="13.625" style="3" customWidth="1"/>
    <col min="856" max="857" width="13.5" style="3" customWidth="1"/>
    <col min="858" max="859" width="13.625" style="3" customWidth="1"/>
    <col min="860" max="860" width="14" style="3" customWidth="1"/>
    <col min="861" max="861" width="10.875" style="3" customWidth="1"/>
    <col min="862" max="862" width="7.25" style="3" customWidth="1"/>
    <col min="863" max="864" width="13.5" style="3" customWidth="1"/>
    <col min="865" max="866" width="13.625" style="3" customWidth="1"/>
    <col min="867" max="867" width="14" style="3" customWidth="1"/>
    <col min="868" max="868" width="10.875" style="3" customWidth="1"/>
    <col min="869" max="869" width="7.25" style="3" customWidth="1"/>
    <col min="870" max="870" width="13.5" style="3" customWidth="1"/>
    <col min="871" max="871" width="13.625" style="3" customWidth="1"/>
    <col min="872" max="872" width="14" style="3" customWidth="1"/>
    <col min="873" max="873" width="6.625" style="3" customWidth="1"/>
    <col min="874" max="874" width="8" style="3" customWidth="1"/>
    <col min="875" max="876" width="13.5" style="3" customWidth="1"/>
    <col min="877" max="878" width="13.625" style="3" customWidth="1"/>
    <col min="879" max="879" width="13.875" style="3" customWidth="1"/>
    <col min="880" max="880" width="7.25" style="3" customWidth="1"/>
    <col min="881" max="881" width="8" style="3" customWidth="1"/>
    <col min="882" max="882" width="14.75" style="3" customWidth="1"/>
    <col min="883" max="883" width="13.625" style="3" customWidth="1"/>
    <col min="884" max="884" width="14.875" style="3" customWidth="1"/>
    <col min="885" max="885" width="13.75" style="3" customWidth="1"/>
    <col min="886" max="886" width="14" style="3" customWidth="1"/>
    <col min="887" max="887" width="6.625" style="3" customWidth="1"/>
    <col min="888" max="888" width="8" style="3" customWidth="1"/>
    <col min="889" max="889" width="14.75" style="3" customWidth="1"/>
    <col min="890" max="890" width="13.625" style="3" customWidth="1"/>
    <col min="891" max="892" width="14.875" style="3" customWidth="1"/>
    <col min="893" max="893" width="14" style="3" customWidth="1"/>
    <col min="894" max="894" width="6.625" style="3" customWidth="1"/>
    <col min="895" max="895" width="8" style="3" customWidth="1"/>
    <col min="896" max="896" width="14.75" style="3" customWidth="1"/>
    <col min="897" max="897" width="13.625" style="3" customWidth="1"/>
    <col min="898" max="898" width="14.875" style="3" customWidth="1"/>
    <col min="899" max="899" width="13.75" style="3" customWidth="1"/>
    <col min="900" max="900" width="14" style="3" customWidth="1"/>
    <col min="901" max="901" width="25" style="3" customWidth="1"/>
    <col min="902" max="906" width="28.5" style="3" customWidth="1"/>
    <col min="907" max="1084" width="9" style="3"/>
    <col min="1085" max="1085" width="11.25" style="3" customWidth="1"/>
    <col min="1086" max="1086" width="5" style="3" customWidth="1"/>
    <col min="1087" max="1087" width="6.625" style="3" customWidth="1"/>
    <col min="1088" max="1088" width="7.625" style="3" customWidth="1"/>
    <col min="1089" max="1089" width="5.5" style="3" customWidth="1"/>
    <col min="1090" max="1090" width="14" style="3" customWidth="1"/>
    <col min="1091" max="1091" width="12.5" style="3" customWidth="1"/>
    <col min="1092" max="1093" width="6" style="3" customWidth="1"/>
    <col min="1094" max="1094" width="7.25" style="3" customWidth="1"/>
    <col min="1095" max="1095" width="13.625" style="3" customWidth="1"/>
    <col min="1096" max="1096" width="9.75" style="3" customWidth="1"/>
    <col min="1097" max="1097" width="7.75" style="3" customWidth="1"/>
    <col min="1098" max="1098" width="14" style="3" customWidth="1"/>
    <col min="1099" max="1099" width="6" style="3" customWidth="1"/>
    <col min="1100" max="1100" width="7.25" style="3" customWidth="1"/>
    <col min="1101" max="1101" width="13.625" style="3" customWidth="1"/>
    <col min="1102" max="1102" width="9.75" style="3" customWidth="1"/>
    <col min="1103" max="1103" width="14" style="3" customWidth="1"/>
    <col min="1104" max="1104" width="5.875" style="3" customWidth="1"/>
    <col min="1105" max="1105" width="7.25" style="3" customWidth="1"/>
    <col min="1106" max="1106" width="13.5" style="3" customWidth="1"/>
    <col min="1107" max="1107" width="9.75" style="3" customWidth="1"/>
    <col min="1108" max="1108" width="14" style="3" customWidth="1"/>
    <col min="1109" max="1109" width="5.875" style="3" customWidth="1"/>
    <col min="1110" max="1110" width="7.25" style="3" customWidth="1"/>
    <col min="1111" max="1111" width="13.625" style="3" customWidth="1"/>
    <col min="1112" max="1113" width="13.5" style="3" customWidth="1"/>
    <col min="1114" max="1115" width="13.625" style="3" customWidth="1"/>
    <col min="1116" max="1116" width="14" style="3" customWidth="1"/>
    <col min="1117" max="1117" width="10.875" style="3" customWidth="1"/>
    <col min="1118" max="1118" width="7.25" style="3" customWidth="1"/>
    <col min="1119" max="1120" width="13.5" style="3" customWidth="1"/>
    <col min="1121" max="1122" width="13.625" style="3" customWidth="1"/>
    <col min="1123" max="1123" width="14" style="3" customWidth="1"/>
    <col min="1124" max="1124" width="10.875" style="3" customWidth="1"/>
    <col min="1125" max="1125" width="7.25" style="3" customWidth="1"/>
    <col min="1126" max="1126" width="13.5" style="3" customWidth="1"/>
    <col min="1127" max="1127" width="13.625" style="3" customWidth="1"/>
    <col min="1128" max="1128" width="14" style="3" customWidth="1"/>
    <col min="1129" max="1129" width="6.625" style="3" customWidth="1"/>
    <col min="1130" max="1130" width="8" style="3" customWidth="1"/>
    <col min="1131" max="1132" width="13.5" style="3" customWidth="1"/>
    <col min="1133" max="1134" width="13.625" style="3" customWidth="1"/>
    <col min="1135" max="1135" width="13.875" style="3" customWidth="1"/>
    <col min="1136" max="1136" width="7.25" style="3" customWidth="1"/>
    <col min="1137" max="1137" width="8" style="3" customWidth="1"/>
    <col min="1138" max="1138" width="14.75" style="3" customWidth="1"/>
    <col min="1139" max="1139" width="13.625" style="3" customWidth="1"/>
    <col min="1140" max="1140" width="14.875" style="3" customWidth="1"/>
    <col min="1141" max="1141" width="13.75" style="3" customWidth="1"/>
    <col min="1142" max="1142" width="14" style="3" customWidth="1"/>
    <col min="1143" max="1143" width="6.625" style="3" customWidth="1"/>
    <col min="1144" max="1144" width="8" style="3" customWidth="1"/>
    <col min="1145" max="1145" width="14.75" style="3" customWidth="1"/>
    <col min="1146" max="1146" width="13.625" style="3" customWidth="1"/>
    <col min="1147" max="1148" width="14.875" style="3" customWidth="1"/>
    <col min="1149" max="1149" width="14" style="3" customWidth="1"/>
    <col min="1150" max="1150" width="6.625" style="3" customWidth="1"/>
    <col min="1151" max="1151" width="8" style="3" customWidth="1"/>
    <col min="1152" max="1152" width="14.75" style="3" customWidth="1"/>
    <col min="1153" max="1153" width="13.625" style="3" customWidth="1"/>
    <col min="1154" max="1154" width="14.875" style="3" customWidth="1"/>
    <col min="1155" max="1155" width="13.75" style="3" customWidth="1"/>
    <col min="1156" max="1156" width="14" style="3" customWidth="1"/>
    <col min="1157" max="1157" width="25" style="3" customWidth="1"/>
    <col min="1158" max="1162" width="28.5" style="3" customWidth="1"/>
    <col min="1163" max="1340" width="9" style="3"/>
    <col min="1341" max="1341" width="11.25" style="3" customWidth="1"/>
    <col min="1342" max="1342" width="5" style="3" customWidth="1"/>
    <col min="1343" max="1343" width="6.625" style="3" customWidth="1"/>
    <col min="1344" max="1344" width="7.625" style="3" customWidth="1"/>
    <col min="1345" max="1345" width="5.5" style="3" customWidth="1"/>
    <col min="1346" max="1346" width="14" style="3" customWidth="1"/>
    <col min="1347" max="1347" width="12.5" style="3" customWidth="1"/>
    <col min="1348" max="1349" width="6" style="3" customWidth="1"/>
    <col min="1350" max="1350" width="7.25" style="3" customWidth="1"/>
    <col min="1351" max="1351" width="13.625" style="3" customWidth="1"/>
    <col min="1352" max="1352" width="9.75" style="3" customWidth="1"/>
    <col min="1353" max="1353" width="7.75" style="3" customWidth="1"/>
    <col min="1354" max="1354" width="14" style="3" customWidth="1"/>
    <col min="1355" max="1355" width="6" style="3" customWidth="1"/>
    <col min="1356" max="1356" width="7.25" style="3" customWidth="1"/>
    <col min="1357" max="1357" width="13.625" style="3" customWidth="1"/>
    <col min="1358" max="1358" width="9.75" style="3" customWidth="1"/>
    <col min="1359" max="1359" width="14" style="3" customWidth="1"/>
    <col min="1360" max="1360" width="5.875" style="3" customWidth="1"/>
    <col min="1361" max="1361" width="7.25" style="3" customWidth="1"/>
    <col min="1362" max="1362" width="13.5" style="3" customWidth="1"/>
    <col min="1363" max="1363" width="9.75" style="3" customWidth="1"/>
    <col min="1364" max="1364" width="14" style="3" customWidth="1"/>
    <col min="1365" max="1365" width="5.875" style="3" customWidth="1"/>
    <col min="1366" max="1366" width="7.25" style="3" customWidth="1"/>
    <col min="1367" max="1367" width="13.625" style="3" customWidth="1"/>
    <col min="1368" max="1369" width="13.5" style="3" customWidth="1"/>
    <col min="1370" max="1371" width="13.625" style="3" customWidth="1"/>
    <col min="1372" max="1372" width="14" style="3" customWidth="1"/>
    <col min="1373" max="1373" width="10.875" style="3" customWidth="1"/>
    <col min="1374" max="1374" width="7.25" style="3" customWidth="1"/>
    <col min="1375" max="1376" width="13.5" style="3" customWidth="1"/>
    <col min="1377" max="1378" width="13.625" style="3" customWidth="1"/>
    <col min="1379" max="1379" width="14" style="3" customWidth="1"/>
    <col min="1380" max="1380" width="10.875" style="3" customWidth="1"/>
    <col min="1381" max="1381" width="7.25" style="3" customWidth="1"/>
    <col min="1382" max="1382" width="13.5" style="3" customWidth="1"/>
    <col min="1383" max="1383" width="13.625" style="3" customWidth="1"/>
    <col min="1384" max="1384" width="14" style="3" customWidth="1"/>
    <col min="1385" max="1385" width="6.625" style="3" customWidth="1"/>
    <col min="1386" max="1386" width="8" style="3" customWidth="1"/>
    <col min="1387" max="1388" width="13.5" style="3" customWidth="1"/>
    <col min="1389" max="1390" width="13.625" style="3" customWidth="1"/>
    <col min="1391" max="1391" width="13.875" style="3" customWidth="1"/>
    <col min="1392" max="1392" width="7.25" style="3" customWidth="1"/>
    <col min="1393" max="1393" width="8" style="3" customWidth="1"/>
    <col min="1394" max="1394" width="14.75" style="3" customWidth="1"/>
    <col min="1395" max="1395" width="13.625" style="3" customWidth="1"/>
    <col min="1396" max="1396" width="14.875" style="3" customWidth="1"/>
    <col min="1397" max="1397" width="13.75" style="3" customWidth="1"/>
    <col min="1398" max="1398" width="14" style="3" customWidth="1"/>
    <col min="1399" max="1399" width="6.625" style="3" customWidth="1"/>
    <col min="1400" max="1400" width="8" style="3" customWidth="1"/>
    <col min="1401" max="1401" width="14.75" style="3" customWidth="1"/>
    <col min="1402" max="1402" width="13.625" style="3" customWidth="1"/>
    <col min="1403" max="1404" width="14.875" style="3" customWidth="1"/>
    <col min="1405" max="1405" width="14" style="3" customWidth="1"/>
    <col min="1406" max="1406" width="6.625" style="3" customWidth="1"/>
    <col min="1407" max="1407" width="8" style="3" customWidth="1"/>
    <col min="1408" max="1408" width="14.75" style="3" customWidth="1"/>
    <col min="1409" max="1409" width="13.625" style="3" customWidth="1"/>
    <col min="1410" max="1410" width="14.875" style="3" customWidth="1"/>
    <col min="1411" max="1411" width="13.75" style="3" customWidth="1"/>
    <col min="1412" max="1412" width="14" style="3" customWidth="1"/>
    <col min="1413" max="1413" width="25" style="3" customWidth="1"/>
    <col min="1414" max="1418" width="28.5" style="3" customWidth="1"/>
    <col min="1419" max="1596" width="9" style="3"/>
    <col min="1597" max="1597" width="11.25" style="3" customWidth="1"/>
    <col min="1598" max="1598" width="5" style="3" customWidth="1"/>
    <col min="1599" max="1599" width="6.625" style="3" customWidth="1"/>
    <col min="1600" max="1600" width="7.625" style="3" customWidth="1"/>
    <col min="1601" max="1601" width="5.5" style="3" customWidth="1"/>
    <col min="1602" max="1602" width="14" style="3" customWidth="1"/>
    <col min="1603" max="1603" width="12.5" style="3" customWidth="1"/>
    <col min="1604" max="1605" width="6" style="3" customWidth="1"/>
    <col min="1606" max="1606" width="7.25" style="3" customWidth="1"/>
    <col min="1607" max="1607" width="13.625" style="3" customWidth="1"/>
    <col min="1608" max="1608" width="9.75" style="3" customWidth="1"/>
    <col min="1609" max="1609" width="7.75" style="3" customWidth="1"/>
    <col min="1610" max="1610" width="14" style="3" customWidth="1"/>
    <col min="1611" max="1611" width="6" style="3" customWidth="1"/>
    <col min="1612" max="1612" width="7.25" style="3" customWidth="1"/>
    <col min="1613" max="1613" width="13.625" style="3" customWidth="1"/>
    <col min="1614" max="1614" width="9.75" style="3" customWidth="1"/>
    <col min="1615" max="1615" width="14" style="3" customWidth="1"/>
    <col min="1616" max="1616" width="5.875" style="3" customWidth="1"/>
    <col min="1617" max="1617" width="7.25" style="3" customWidth="1"/>
    <col min="1618" max="1618" width="13.5" style="3" customWidth="1"/>
    <col min="1619" max="1619" width="9.75" style="3" customWidth="1"/>
    <col min="1620" max="1620" width="14" style="3" customWidth="1"/>
    <col min="1621" max="1621" width="5.875" style="3" customWidth="1"/>
    <col min="1622" max="1622" width="7.25" style="3" customWidth="1"/>
    <col min="1623" max="1623" width="13.625" style="3" customWidth="1"/>
    <col min="1624" max="1625" width="13.5" style="3" customWidth="1"/>
    <col min="1626" max="1627" width="13.625" style="3" customWidth="1"/>
    <col min="1628" max="1628" width="14" style="3" customWidth="1"/>
    <col min="1629" max="1629" width="10.875" style="3" customWidth="1"/>
    <col min="1630" max="1630" width="7.25" style="3" customWidth="1"/>
    <col min="1631" max="1632" width="13.5" style="3" customWidth="1"/>
    <col min="1633" max="1634" width="13.625" style="3" customWidth="1"/>
    <col min="1635" max="1635" width="14" style="3" customWidth="1"/>
    <col min="1636" max="1636" width="10.875" style="3" customWidth="1"/>
    <col min="1637" max="1637" width="7.25" style="3" customWidth="1"/>
    <col min="1638" max="1638" width="13.5" style="3" customWidth="1"/>
    <col min="1639" max="1639" width="13.625" style="3" customWidth="1"/>
    <col min="1640" max="1640" width="14" style="3" customWidth="1"/>
    <col min="1641" max="1641" width="6.625" style="3" customWidth="1"/>
    <col min="1642" max="1642" width="8" style="3" customWidth="1"/>
    <col min="1643" max="1644" width="13.5" style="3" customWidth="1"/>
    <col min="1645" max="1646" width="13.625" style="3" customWidth="1"/>
    <col min="1647" max="1647" width="13.875" style="3" customWidth="1"/>
    <col min="1648" max="1648" width="7.25" style="3" customWidth="1"/>
    <col min="1649" max="1649" width="8" style="3" customWidth="1"/>
    <col min="1650" max="1650" width="14.75" style="3" customWidth="1"/>
    <col min="1651" max="1651" width="13.625" style="3" customWidth="1"/>
    <col min="1652" max="1652" width="14.875" style="3" customWidth="1"/>
    <col min="1653" max="1653" width="13.75" style="3" customWidth="1"/>
    <col min="1654" max="1654" width="14" style="3" customWidth="1"/>
    <col min="1655" max="1655" width="6.625" style="3" customWidth="1"/>
    <col min="1656" max="1656" width="8" style="3" customWidth="1"/>
    <col min="1657" max="1657" width="14.75" style="3" customWidth="1"/>
    <col min="1658" max="1658" width="13.625" style="3" customWidth="1"/>
    <col min="1659" max="1660" width="14.875" style="3" customWidth="1"/>
    <col min="1661" max="1661" width="14" style="3" customWidth="1"/>
    <col min="1662" max="1662" width="6.625" style="3" customWidth="1"/>
    <col min="1663" max="1663" width="8" style="3" customWidth="1"/>
    <col min="1664" max="1664" width="14.75" style="3" customWidth="1"/>
    <col min="1665" max="1665" width="13.625" style="3" customWidth="1"/>
    <col min="1666" max="1666" width="14.875" style="3" customWidth="1"/>
    <col min="1667" max="1667" width="13.75" style="3" customWidth="1"/>
    <col min="1668" max="1668" width="14" style="3" customWidth="1"/>
    <col min="1669" max="1669" width="25" style="3" customWidth="1"/>
    <col min="1670" max="1674" width="28.5" style="3" customWidth="1"/>
    <col min="1675" max="1852" width="9" style="3"/>
    <col min="1853" max="1853" width="11.25" style="3" customWidth="1"/>
    <col min="1854" max="1854" width="5" style="3" customWidth="1"/>
    <col min="1855" max="1855" width="6.625" style="3" customWidth="1"/>
    <col min="1856" max="1856" width="7.625" style="3" customWidth="1"/>
    <col min="1857" max="1857" width="5.5" style="3" customWidth="1"/>
    <col min="1858" max="1858" width="14" style="3" customWidth="1"/>
    <col min="1859" max="1859" width="12.5" style="3" customWidth="1"/>
    <col min="1860" max="1861" width="6" style="3" customWidth="1"/>
    <col min="1862" max="1862" width="7.25" style="3" customWidth="1"/>
    <col min="1863" max="1863" width="13.625" style="3" customWidth="1"/>
    <col min="1864" max="1864" width="9.75" style="3" customWidth="1"/>
    <col min="1865" max="1865" width="7.75" style="3" customWidth="1"/>
    <col min="1866" max="1866" width="14" style="3" customWidth="1"/>
    <col min="1867" max="1867" width="6" style="3" customWidth="1"/>
    <col min="1868" max="1868" width="7.25" style="3" customWidth="1"/>
    <col min="1869" max="1869" width="13.625" style="3" customWidth="1"/>
    <col min="1870" max="1870" width="9.75" style="3" customWidth="1"/>
    <col min="1871" max="1871" width="14" style="3" customWidth="1"/>
    <col min="1872" max="1872" width="5.875" style="3" customWidth="1"/>
    <col min="1873" max="1873" width="7.25" style="3" customWidth="1"/>
    <col min="1874" max="1874" width="13.5" style="3" customWidth="1"/>
    <col min="1875" max="1875" width="9.75" style="3" customWidth="1"/>
    <col min="1876" max="1876" width="14" style="3" customWidth="1"/>
    <col min="1877" max="1877" width="5.875" style="3" customWidth="1"/>
    <col min="1878" max="1878" width="7.25" style="3" customWidth="1"/>
    <col min="1879" max="1879" width="13.625" style="3" customWidth="1"/>
    <col min="1880" max="1881" width="13.5" style="3" customWidth="1"/>
    <col min="1882" max="1883" width="13.625" style="3" customWidth="1"/>
    <col min="1884" max="1884" width="14" style="3" customWidth="1"/>
    <col min="1885" max="1885" width="10.875" style="3" customWidth="1"/>
    <col min="1886" max="1886" width="7.25" style="3" customWidth="1"/>
    <col min="1887" max="1888" width="13.5" style="3" customWidth="1"/>
    <col min="1889" max="1890" width="13.625" style="3" customWidth="1"/>
    <col min="1891" max="1891" width="14" style="3" customWidth="1"/>
    <col min="1892" max="1892" width="10.875" style="3" customWidth="1"/>
    <col min="1893" max="1893" width="7.25" style="3" customWidth="1"/>
    <col min="1894" max="1894" width="13.5" style="3" customWidth="1"/>
    <col min="1895" max="1895" width="13.625" style="3" customWidth="1"/>
    <col min="1896" max="1896" width="14" style="3" customWidth="1"/>
    <col min="1897" max="1897" width="6.625" style="3" customWidth="1"/>
    <col min="1898" max="1898" width="8" style="3" customWidth="1"/>
    <col min="1899" max="1900" width="13.5" style="3" customWidth="1"/>
    <col min="1901" max="1902" width="13.625" style="3" customWidth="1"/>
    <col min="1903" max="1903" width="13.875" style="3" customWidth="1"/>
    <col min="1904" max="1904" width="7.25" style="3" customWidth="1"/>
    <col min="1905" max="1905" width="8" style="3" customWidth="1"/>
    <col min="1906" max="1906" width="14.75" style="3" customWidth="1"/>
    <col min="1907" max="1907" width="13.625" style="3" customWidth="1"/>
    <col min="1908" max="1908" width="14.875" style="3" customWidth="1"/>
    <col min="1909" max="1909" width="13.75" style="3" customWidth="1"/>
    <col min="1910" max="1910" width="14" style="3" customWidth="1"/>
    <col min="1911" max="1911" width="6.625" style="3" customWidth="1"/>
    <col min="1912" max="1912" width="8" style="3" customWidth="1"/>
    <col min="1913" max="1913" width="14.75" style="3" customWidth="1"/>
    <col min="1914" max="1914" width="13.625" style="3" customWidth="1"/>
    <col min="1915" max="1916" width="14.875" style="3" customWidth="1"/>
    <col min="1917" max="1917" width="14" style="3" customWidth="1"/>
    <col min="1918" max="1918" width="6.625" style="3" customWidth="1"/>
    <col min="1919" max="1919" width="8" style="3" customWidth="1"/>
    <col min="1920" max="1920" width="14.75" style="3" customWidth="1"/>
    <col min="1921" max="1921" width="13.625" style="3" customWidth="1"/>
    <col min="1922" max="1922" width="14.875" style="3" customWidth="1"/>
    <col min="1923" max="1923" width="13.75" style="3" customWidth="1"/>
    <col min="1924" max="1924" width="14" style="3" customWidth="1"/>
    <col min="1925" max="1925" width="25" style="3" customWidth="1"/>
    <col min="1926" max="1930" width="28.5" style="3" customWidth="1"/>
    <col min="1931" max="2108" width="9" style="3"/>
    <col min="2109" max="2109" width="11.25" style="3" customWidth="1"/>
    <col min="2110" max="2110" width="5" style="3" customWidth="1"/>
    <col min="2111" max="2111" width="6.625" style="3" customWidth="1"/>
    <col min="2112" max="2112" width="7.625" style="3" customWidth="1"/>
    <col min="2113" max="2113" width="5.5" style="3" customWidth="1"/>
    <col min="2114" max="2114" width="14" style="3" customWidth="1"/>
    <col min="2115" max="2115" width="12.5" style="3" customWidth="1"/>
    <col min="2116" max="2117" width="6" style="3" customWidth="1"/>
    <col min="2118" max="2118" width="7.25" style="3" customWidth="1"/>
    <col min="2119" max="2119" width="13.625" style="3" customWidth="1"/>
    <col min="2120" max="2120" width="9.75" style="3" customWidth="1"/>
    <col min="2121" max="2121" width="7.75" style="3" customWidth="1"/>
    <col min="2122" max="2122" width="14" style="3" customWidth="1"/>
    <col min="2123" max="2123" width="6" style="3" customWidth="1"/>
    <col min="2124" max="2124" width="7.25" style="3" customWidth="1"/>
    <col min="2125" max="2125" width="13.625" style="3" customWidth="1"/>
    <col min="2126" max="2126" width="9.75" style="3" customWidth="1"/>
    <col min="2127" max="2127" width="14" style="3" customWidth="1"/>
    <col min="2128" max="2128" width="5.875" style="3" customWidth="1"/>
    <col min="2129" max="2129" width="7.25" style="3" customWidth="1"/>
    <col min="2130" max="2130" width="13.5" style="3" customWidth="1"/>
    <col min="2131" max="2131" width="9.75" style="3" customWidth="1"/>
    <col min="2132" max="2132" width="14" style="3" customWidth="1"/>
    <col min="2133" max="2133" width="5.875" style="3" customWidth="1"/>
    <col min="2134" max="2134" width="7.25" style="3" customWidth="1"/>
    <col min="2135" max="2135" width="13.625" style="3" customWidth="1"/>
    <col min="2136" max="2137" width="13.5" style="3" customWidth="1"/>
    <col min="2138" max="2139" width="13.625" style="3" customWidth="1"/>
    <col min="2140" max="2140" width="14" style="3" customWidth="1"/>
    <col min="2141" max="2141" width="10.875" style="3" customWidth="1"/>
    <col min="2142" max="2142" width="7.25" style="3" customWidth="1"/>
    <col min="2143" max="2144" width="13.5" style="3" customWidth="1"/>
    <col min="2145" max="2146" width="13.625" style="3" customWidth="1"/>
    <col min="2147" max="2147" width="14" style="3" customWidth="1"/>
    <col min="2148" max="2148" width="10.875" style="3" customWidth="1"/>
    <col min="2149" max="2149" width="7.25" style="3" customWidth="1"/>
    <col min="2150" max="2150" width="13.5" style="3" customWidth="1"/>
    <col min="2151" max="2151" width="13.625" style="3" customWidth="1"/>
    <col min="2152" max="2152" width="14" style="3" customWidth="1"/>
    <col min="2153" max="2153" width="6.625" style="3" customWidth="1"/>
    <col min="2154" max="2154" width="8" style="3" customWidth="1"/>
    <col min="2155" max="2156" width="13.5" style="3" customWidth="1"/>
    <col min="2157" max="2158" width="13.625" style="3" customWidth="1"/>
    <col min="2159" max="2159" width="13.875" style="3" customWidth="1"/>
    <col min="2160" max="2160" width="7.25" style="3" customWidth="1"/>
    <col min="2161" max="2161" width="8" style="3" customWidth="1"/>
    <col min="2162" max="2162" width="14.75" style="3" customWidth="1"/>
    <col min="2163" max="2163" width="13.625" style="3" customWidth="1"/>
    <col min="2164" max="2164" width="14.875" style="3" customWidth="1"/>
    <col min="2165" max="2165" width="13.75" style="3" customWidth="1"/>
    <col min="2166" max="2166" width="14" style="3" customWidth="1"/>
    <col min="2167" max="2167" width="6.625" style="3" customWidth="1"/>
    <col min="2168" max="2168" width="8" style="3" customWidth="1"/>
    <col min="2169" max="2169" width="14.75" style="3" customWidth="1"/>
    <col min="2170" max="2170" width="13.625" style="3" customWidth="1"/>
    <col min="2171" max="2172" width="14.875" style="3" customWidth="1"/>
    <col min="2173" max="2173" width="14" style="3" customWidth="1"/>
    <col min="2174" max="2174" width="6.625" style="3" customWidth="1"/>
    <col min="2175" max="2175" width="8" style="3" customWidth="1"/>
    <col min="2176" max="2176" width="14.75" style="3" customWidth="1"/>
    <col min="2177" max="2177" width="13.625" style="3" customWidth="1"/>
    <col min="2178" max="2178" width="14.875" style="3" customWidth="1"/>
    <col min="2179" max="2179" width="13.75" style="3" customWidth="1"/>
    <col min="2180" max="2180" width="14" style="3" customWidth="1"/>
    <col min="2181" max="2181" width="25" style="3" customWidth="1"/>
    <col min="2182" max="2186" width="28.5" style="3" customWidth="1"/>
    <col min="2187" max="2364" width="9" style="3"/>
    <col min="2365" max="2365" width="11.25" style="3" customWidth="1"/>
    <col min="2366" max="2366" width="5" style="3" customWidth="1"/>
    <col min="2367" max="2367" width="6.625" style="3" customWidth="1"/>
    <col min="2368" max="2368" width="7.625" style="3" customWidth="1"/>
    <col min="2369" max="2369" width="5.5" style="3" customWidth="1"/>
    <col min="2370" max="2370" width="14" style="3" customWidth="1"/>
    <col min="2371" max="2371" width="12.5" style="3" customWidth="1"/>
    <col min="2372" max="2373" width="6" style="3" customWidth="1"/>
    <col min="2374" max="2374" width="7.25" style="3" customWidth="1"/>
    <col min="2375" max="2375" width="13.625" style="3" customWidth="1"/>
    <col min="2376" max="2376" width="9.75" style="3" customWidth="1"/>
    <col min="2377" max="2377" width="7.75" style="3" customWidth="1"/>
    <col min="2378" max="2378" width="14" style="3" customWidth="1"/>
    <col min="2379" max="2379" width="6" style="3" customWidth="1"/>
    <col min="2380" max="2380" width="7.25" style="3" customWidth="1"/>
    <col min="2381" max="2381" width="13.625" style="3" customWidth="1"/>
    <col min="2382" max="2382" width="9.75" style="3" customWidth="1"/>
    <col min="2383" max="2383" width="14" style="3" customWidth="1"/>
    <col min="2384" max="2384" width="5.875" style="3" customWidth="1"/>
    <col min="2385" max="2385" width="7.25" style="3" customWidth="1"/>
    <col min="2386" max="2386" width="13.5" style="3" customWidth="1"/>
    <col min="2387" max="2387" width="9.75" style="3" customWidth="1"/>
    <col min="2388" max="2388" width="14" style="3" customWidth="1"/>
    <col min="2389" max="2389" width="5.875" style="3" customWidth="1"/>
    <col min="2390" max="2390" width="7.25" style="3" customWidth="1"/>
    <col min="2391" max="2391" width="13.625" style="3" customWidth="1"/>
    <col min="2392" max="2393" width="13.5" style="3" customWidth="1"/>
    <col min="2394" max="2395" width="13.625" style="3" customWidth="1"/>
    <col min="2396" max="2396" width="14" style="3" customWidth="1"/>
    <col min="2397" max="2397" width="10.875" style="3" customWidth="1"/>
    <col min="2398" max="2398" width="7.25" style="3" customWidth="1"/>
    <col min="2399" max="2400" width="13.5" style="3" customWidth="1"/>
    <col min="2401" max="2402" width="13.625" style="3" customWidth="1"/>
    <col min="2403" max="2403" width="14" style="3" customWidth="1"/>
    <col min="2404" max="2404" width="10.875" style="3" customWidth="1"/>
    <col min="2405" max="2405" width="7.25" style="3" customWidth="1"/>
    <col min="2406" max="2406" width="13.5" style="3" customWidth="1"/>
    <col min="2407" max="2407" width="13.625" style="3" customWidth="1"/>
    <col min="2408" max="2408" width="14" style="3" customWidth="1"/>
    <col min="2409" max="2409" width="6.625" style="3" customWidth="1"/>
    <col min="2410" max="2410" width="8" style="3" customWidth="1"/>
    <col min="2411" max="2412" width="13.5" style="3" customWidth="1"/>
    <col min="2413" max="2414" width="13.625" style="3" customWidth="1"/>
    <col min="2415" max="2415" width="13.875" style="3" customWidth="1"/>
    <col min="2416" max="2416" width="7.25" style="3" customWidth="1"/>
    <col min="2417" max="2417" width="8" style="3" customWidth="1"/>
    <col min="2418" max="2418" width="14.75" style="3" customWidth="1"/>
    <col min="2419" max="2419" width="13.625" style="3" customWidth="1"/>
    <col min="2420" max="2420" width="14.875" style="3" customWidth="1"/>
    <col min="2421" max="2421" width="13.75" style="3" customWidth="1"/>
    <col min="2422" max="2422" width="14" style="3" customWidth="1"/>
    <col min="2423" max="2423" width="6.625" style="3" customWidth="1"/>
    <col min="2424" max="2424" width="8" style="3" customWidth="1"/>
    <col min="2425" max="2425" width="14.75" style="3" customWidth="1"/>
    <col min="2426" max="2426" width="13.625" style="3" customWidth="1"/>
    <col min="2427" max="2428" width="14.875" style="3" customWidth="1"/>
    <col min="2429" max="2429" width="14" style="3" customWidth="1"/>
    <col min="2430" max="2430" width="6.625" style="3" customWidth="1"/>
    <col min="2431" max="2431" width="8" style="3" customWidth="1"/>
    <col min="2432" max="2432" width="14.75" style="3" customWidth="1"/>
    <col min="2433" max="2433" width="13.625" style="3" customWidth="1"/>
    <col min="2434" max="2434" width="14.875" style="3" customWidth="1"/>
    <col min="2435" max="2435" width="13.75" style="3" customWidth="1"/>
    <col min="2436" max="2436" width="14" style="3" customWidth="1"/>
    <col min="2437" max="2437" width="25" style="3" customWidth="1"/>
    <col min="2438" max="2442" width="28.5" style="3" customWidth="1"/>
    <col min="2443" max="2620" width="9" style="3"/>
    <col min="2621" max="2621" width="11.25" style="3" customWidth="1"/>
    <col min="2622" max="2622" width="5" style="3" customWidth="1"/>
    <col min="2623" max="2623" width="6.625" style="3" customWidth="1"/>
    <col min="2624" max="2624" width="7.625" style="3" customWidth="1"/>
    <col min="2625" max="2625" width="5.5" style="3" customWidth="1"/>
    <col min="2626" max="2626" width="14" style="3" customWidth="1"/>
    <col min="2627" max="2627" width="12.5" style="3" customWidth="1"/>
    <col min="2628" max="2629" width="6" style="3" customWidth="1"/>
    <col min="2630" max="2630" width="7.25" style="3" customWidth="1"/>
    <col min="2631" max="2631" width="13.625" style="3" customWidth="1"/>
    <col min="2632" max="2632" width="9.75" style="3" customWidth="1"/>
    <col min="2633" max="2633" width="7.75" style="3" customWidth="1"/>
    <col min="2634" max="2634" width="14" style="3" customWidth="1"/>
    <col min="2635" max="2635" width="6" style="3" customWidth="1"/>
    <col min="2636" max="2636" width="7.25" style="3" customWidth="1"/>
    <col min="2637" max="2637" width="13.625" style="3" customWidth="1"/>
    <col min="2638" max="2638" width="9.75" style="3" customWidth="1"/>
    <col min="2639" max="2639" width="14" style="3" customWidth="1"/>
    <col min="2640" max="2640" width="5.875" style="3" customWidth="1"/>
    <col min="2641" max="2641" width="7.25" style="3" customWidth="1"/>
    <col min="2642" max="2642" width="13.5" style="3" customWidth="1"/>
    <col min="2643" max="2643" width="9.75" style="3" customWidth="1"/>
    <col min="2644" max="2644" width="14" style="3" customWidth="1"/>
    <col min="2645" max="2645" width="5.875" style="3" customWidth="1"/>
    <col min="2646" max="2646" width="7.25" style="3" customWidth="1"/>
    <col min="2647" max="2647" width="13.625" style="3" customWidth="1"/>
    <col min="2648" max="2649" width="13.5" style="3" customWidth="1"/>
    <col min="2650" max="2651" width="13.625" style="3" customWidth="1"/>
    <col min="2652" max="2652" width="14" style="3" customWidth="1"/>
    <col min="2653" max="2653" width="10.875" style="3" customWidth="1"/>
    <col min="2654" max="2654" width="7.25" style="3" customWidth="1"/>
    <col min="2655" max="2656" width="13.5" style="3" customWidth="1"/>
    <col min="2657" max="2658" width="13.625" style="3" customWidth="1"/>
    <col min="2659" max="2659" width="14" style="3" customWidth="1"/>
    <col min="2660" max="2660" width="10.875" style="3" customWidth="1"/>
    <col min="2661" max="2661" width="7.25" style="3" customWidth="1"/>
    <col min="2662" max="2662" width="13.5" style="3" customWidth="1"/>
    <col min="2663" max="2663" width="13.625" style="3" customWidth="1"/>
    <col min="2664" max="2664" width="14" style="3" customWidth="1"/>
    <col min="2665" max="2665" width="6.625" style="3" customWidth="1"/>
    <col min="2666" max="2666" width="8" style="3" customWidth="1"/>
    <col min="2667" max="2668" width="13.5" style="3" customWidth="1"/>
    <col min="2669" max="2670" width="13.625" style="3" customWidth="1"/>
    <col min="2671" max="2671" width="13.875" style="3" customWidth="1"/>
    <col min="2672" max="2672" width="7.25" style="3" customWidth="1"/>
    <col min="2673" max="2673" width="8" style="3" customWidth="1"/>
    <col min="2674" max="2674" width="14.75" style="3" customWidth="1"/>
    <col min="2675" max="2675" width="13.625" style="3" customWidth="1"/>
    <col min="2676" max="2676" width="14.875" style="3" customWidth="1"/>
    <col min="2677" max="2677" width="13.75" style="3" customWidth="1"/>
    <col min="2678" max="2678" width="14" style="3" customWidth="1"/>
    <col min="2679" max="2679" width="6.625" style="3" customWidth="1"/>
    <col min="2680" max="2680" width="8" style="3" customWidth="1"/>
    <col min="2681" max="2681" width="14.75" style="3" customWidth="1"/>
    <col min="2682" max="2682" width="13.625" style="3" customWidth="1"/>
    <col min="2683" max="2684" width="14.875" style="3" customWidth="1"/>
    <col min="2685" max="2685" width="14" style="3" customWidth="1"/>
    <col min="2686" max="2686" width="6.625" style="3" customWidth="1"/>
    <col min="2687" max="2687" width="8" style="3" customWidth="1"/>
    <col min="2688" max="2688" width="14.75" style="3" customWidth="1"/>
    <col min="2689" max="2689" width="13.625" style="3" customWidth="1"/>
    <col min="2690" max="2690" width="14.875" style="3" customWidth="1"/>
    <col min="2691" max="2691" width="13.75" style="3" customWidth="1"/>
    <col min="2692" max="2692" width="14" style="3" customWidth="1"/>
    <col min="2693" max="2693" width="25" style="3" customWidth="1"/>
    <col min="2694" max="2698" width="28.5" style="3" customWidth="1"/>
    <col min="2699" max="2876" width="9" style="3"/>
    <col min="2877" max="2877" width="11.25" style="3" customWidth="1"/>
    <col min="2878" max="2878" width="5" style="3" customWidth="1"/>
    <col min="2879" max="2879" width="6.625" style="3" customWidth="1"/>
    <col min="2880" max="2880" width="7.625" style="3" customWidth="1"/>
    <col min="2881" max="2881" width="5.5" style="3" customWidth="1"/>
    <col min="2882" max="2882" width="14" style="3" customWidth="1"/>
    <col min="2883" max="2883" width="12.5" style="3" customWidth="1"/>
    <col min="2884" max="2885" width="6" style="3" customWidth="1"/>
    <col min="2886" max="2886" width="7.25" style="3" customWidth="1"/>
    <col min="2887" max="2887" width="13.625" style="3" customWidth="1"/>
    <col min="2888" max="2888" width="9.75" style="3" customWidth="1"/>
    <col min="2889" max="2889" width="7.75" style="3" customWidth="1"/>
    <col min="2890" max="2890" width="14" style="3" customWidth="1"/>
    <col min="2891" max="2891" width="6" style="3" customWidth="1"/>
    <col min="2892" max="2892" width="7.25" style="3" customWidth="1"/>
    <col min="2893" max="2893" width="13.625" style="3" customWidth="1"/>
    <col min="2894" max="2894" width="9.75" style="3" customWidth="1"/>
    <col min="2895" max="2895" width="14" style="3" customWidth="1"/>
    <col min="2896" max="2896" width="5.875" style="3" customWidth="1"/>
    <col min="2897" max="2897" width="7.25" style="3" customWidth="1"/>
    <col min="2898" max="2898" width="13.5" style="3" customWidth="1"/>
    <col min="2899" max="2899" width="9.75" style="3" customWidth="1"/>
    <col min="2900" max="2900" width="14" style="3" customWidth="1"/>
    <col min="2901" max="2901" width="5.875" style="3" customWidth="1"/>
    <col min="2902" max="2902" width="7.25" style="3" customWidth="1"/>
    <col min="2903" max="2903" width="13.625" style="3" customWidth="1"/>
    <col min="2904" max="2905" width="13.5" style="3" customWidth="1"/>
    <col min="2906" max="2907" width="13.625" style="3" customWidth="1"/>
    <col min="2908" max="2908" width="14" style="3" customWidth="1"/>
    <col min="2909" max="2909" width="10.875" style="3" customWidth="1"/>
    <col min="2910" max="2910" width="7.25" style="3" customWidth="1"/>
    <col min="2911" max="2912" width="13.5" style="3" customWidth="1"/>
    <col min="2913" max="2914" width="13.625" style="3" customWidth="1"/>
    <col min="2915" max="2915" width="14" style="3" customWidth="1"/>
    <col min="2916" max="2916" width="10.875" style="3" customWidth="1"/>
    <col min="2917" max="2917" width="7.25" style="3" customWidth="1"/>
    <col min="2918" max="2918" width="13.5" style="3" customWidth="1"/>
    <col min="2919" max="2919" width="13.625" style="3" customWidth="1"/>
    <col min="2920" max="2920" width="14" style="3" customWidth="1"/>
    <col min="2921" max="2921" width="6.625" style="3" customWidth="1"/>
    <col min="2922" max="2922" width="8" style="3" customWidth="1"/>
    <col min="2923" max="2924" width="13.5" style="3" customWidth="1"/>
    <col min="2925" max="2926" width="13.625" style="3" customWidth="1"/>
    <col min="2927" max="2927" width="13.875" style="3" customWidth="1"/>
    <col min="2928" max="2928" width="7.25" style="3" customWidth="1"/>
    <col min="2929" max="2929" width="8" style="3" customWidth="1"/>
    <col min="2930" max="2930" width="14.75" style="3" customWidth="1"/>
    <col min="2931" max="2931" width="13.625" style="3" customWidth="1"/>
    <col min="2932" max="2932" width="14.875" style="3" customWidth="1"/>
    <col min="2933" max="2933" width="13.75" style="3" customWidth="1"/>
    <col min="2934" max="2934" width="14" style="3" customWidth="1"/>
    <col min="2935" max="2935" width="6.625" style="3" customWidth="1"/>
    <col min="2936" max="2936" width="8" style="3" customWidth="1"/>
    <col min="2937" max="2937" width="14.75" style="3" customWidth="1"/>
    <col min="2938" max="2938" width="13.625" style="3" customWidth="1"/>
    <col min="2939" max="2940" width="14.875" style="3" customWidth="1"/>
    <col min="2941" max="2941" width="14" style="3" customWidth="1"/>
    <col min="2942" max="2942" width="6.625" style="3" customWidth="1"/>
    <col min="2943" max="2943" width="8" style="3" customWidth="1"/>
    <col min="2944" max="2944" width="14.75" style="3" customWidth="1"/>
    <col min="2945" max="2945" width="13.625" style="3" customWidth="1"/>
    <col min="2946" max="2946" width="14.875" style="3" customWidth="1"/>
    <col min="2947" max="2947" width="13.75" style="3" customWidth="1"/>
    <col min="2948" max="2948" width="14" style="3" customWidth="1"/>
    <col min="2949" max="2949" width="25" style="3" customWidth="1"/>
    <col min="2950" max="2954" width="28.5" style="3" customWidth="1"/>
    <col min="2955" max="3132" width="9" style="3"/>
    <col min="3133" max="3133" width="11.25" style="3" customWidth="1"/>
    <col min="3134" max="3134" width="5" style="3" customWidth="1"/>
    <col min="3135" max="3135" width="6.625" style="3" customWidth="1"/>
    <col min="3136" max="3136" width="7.625" style="3" customWidth="1"/>
    <col min="3137" max="3137" width="5.5" style="3" customWidth="1"/>
    <col min="3138" max="3138" width="14" style="3" customWidth="1"/>
    <col min="3139" max="3139" width="12.5" style="3" customWidth="1"/>
    <col min="3140" max="3141" width="6" style="3" customWidth="1"/>
    <col min="3142" max="3142" width="7.25" style="3" customWidth="1"/>
    <col min="3143" max="3143" width="13.625" style="3" customWidth="1"/>
    <col min="3144" max="3144" width="9.75" style="3" customWidth="1"/>
    <col min="3145" max="3145" width="7.75" style="3" customWidth="1"/>
    <col min="3146" max="3146" width="14" style="3" customWidth="1"/>
    <col min="3147" max="3147" width="6" style="3" customWidth="1"/>
    <col min="3148" max="3148" width="7.25" style="3" customWidth="1"/>
    <col min="3149" max="3149" width="13.625" style="3" customWidth="1"/>
    <col min="3150" max="3150" width="9.75" style="3" customWidth="1"/>
    <col min="3151" max="3151" width="14" style="3" customWidth="1"/>
    <col min="3152" max="3152" width="5.875" style="3" customWidth="1"/>
    <col min="3153" max="3153" width="7.25" style="3" customWidth="1"/>
    <col min="3154" max="3154" width="13.5" style="3" customWidth="1"/>
    <col min="3155" max="3155" width="9.75" style="3" customWidth="1"/>
    <col min="3156" max="3156" width="14" style="3" customWidth="1"/>
    <col min="3157" max="3157" width="5.875" style="3" customWidth="1"/>
    <col min="3158" max="3158" width="7.25" style="3" customWidth="1"/>
    <col min="3159" max="3159" width="13.625" style="3" customWidth="1"/>
    <col min="3160" max="3161" width="13.5" style="3" customWidth="1"/>
    <col min="3162" max="3163" width="13.625" style="3" customWidth="1"/>
    <col min="3164" max="3164" width="14" style="3" customWidth="1"/>
    <col min="3165" max="3165" width="10.875" style="3" customWidth="1"/>
    <col min="3166" max="3166" width="7.25" style="3" customWidth="1"/>
    <col min="3167" max="3168" width="13.5" style="3" customWidth="1"/>
    <col min="3169" max="3170" width="13.625" style="3" customWidth="1"/>
    <col min="3171" max="3171" width="14" style="3" customWidth="1"/>
    <col min="3172" max="3172" width="10.875" style="3" customWidth="1"/>
    <col min="3173" max="3173" width="7.25" style="3" customWidth="1"/>
    <col min="3174" max="3174" width="13.5" style="3" customWidth="1"/>
    <col min="3175" max="3175" width="13.625" style="3" customWidth="1"/>
    <col min="3176" max="3176" width="14" style="3" customWidth="1"/>
    <col min="3177" max="3177" width="6.625" style="3" customWidth="1"/>
    <col min="3178" max="3178" width="8" style="3" customWidth="1"/>
    <col min="3179" max="3180" width="13.5" style="3" customWidth="1"/>
    <col min="3181" max="3182" width="13.625" style="3" customWidth="1"/>
    <col min="3183" max="3183" width="13.875" style="3" customWidth="1"/>
    <col min="3184" max="3184" width="7.25" style="3" customWidth="1"/>
    <col min="3185" max="3185" width="8" style="3" customWidth="1"/>
    <col min="3186" max="3186" width="14.75" style="3" customWidth="1"/>
    <col min="3187" max="3187" width="13.625" style="3" customWidth="1"/>
    <col min="3188" max="3188" width="14.875" style="3" customWidth="1"/>
    <col min="3189" max="3189" width="13.75" style="3" customWidth="1"/>
    <col min="3190" max="3190" width="14" style="3" customWidth="1"/>
    <col min="3191" max="3191" width="6.625" style="3" customWidth="1"/>
    <col min="3192" max="3192" width="8" style="3" customWidth="1"/>
    <col min="3193" max="3193" width="14.75" style="3" customWidth="1"/>
    <col min="3194" max="3194" width="13.625" style="3" customWidth="1"/>
    <col min="3195" max="3196" width="14.875" style="3" customWidth="1"/>
    <col min="3197" max="3197" width="14" style="3" customWidth="1"/>
    <col min="3198" max="3198" width="6.625" style="3" customWidth="1"/>
    <col min="3199" max="3199" width="8" style="3" customWidth="1"/>
    <col min="3200" max="3200" width="14.75" style="3" customWidth="1"/>
    <col min="3201" max="3201" width="13.625" style="3" customWidth="1"/>
    <col min="3202" max="3202" width="14.875" style="3" customWidth="1"/>
    <col min="3203" max="3203" width="13.75" style="3" customWidth="1"/>
    <col min="3204" max="3204" width="14" style="3" customWidth="1"/>
    <col min="3205" max="3205" width="25" style="3" customWidth="1"/>
    <col min="3206" max="3210" width="28.5" style="3" customWidth="1"/>
    <col min="3211" max="3388" width="9" style="3"/>
    <col min="3389" max="3389" width="11.25" style="3" customWidth="1"/>
    <col min="3390" max="3390" width="5" style="3" customWidth="1"/>
    <col min="3391" max="3391" width="6.625" style="3" customWidth="1"/>
    <col min="3392" max="3392" width="7.625" style="3" customWidth="1"/>
    <col min="3393" max="3393" width="5.5" style="3" customWidth="1"/>
    <col min="3394" max="3394" width="14" style="3" customWidth="1"/>
    <col min="3395" max="3395" width="12.5" style="3" customWidth="1"/>
    <col min="3396" max="3397" width="6" style="3" customWidth="1"/>
    <col min="3398" max="3398" width="7.25" style="3" customWidth="1"/>
    <col min="3399" max="3399" width="13.625" style="3" customWidth="1"/>
    <col min="3400" max="3400" width="9.75" style="3" customWidth="1"/>
    <col min="3401" max="3401" width="7.75" style="3" customWidth="1"/>
    <col min="3402" max="3402" width="14" style="3" customWidth="1"/>
    <col min="3403" max="3403" width="6" style="3" customWidth="1"/>
    <col min="3404" max="3404" width="7.25" style="3" customWidth="1"/>
    <col min="3405" max="3405" width="13.625" style="3" customWidth="1"/>
    <col min="3406" max="3406" width="9.75" style="3" customWidth="1"/>
    <col min="3407" max="3407" width="14" style="3" customWidth="1"/>
    <col min="3408" max="3408" width="5.875" style="3" customWidth="1"/>
    <col min="3409" max="3409" width="7.25" style="3" customWidth="1"/>
    <col min="3410" max="3410" width="13.5" style="3" customWidth="1"/>
    <col min="3411" max="3411" width="9.75" style="3" customWidth="1"/>
    <col min="3412" max="3412" width="14" style="3" customWidth="1"/>
    <col min="3413" max="3413" width="5.875" style="3" customWidth="1"/>
    <col min="3414" max="3414" width="7.25" style="3" customWidth="1"/>
    <col min="3415" max="3415" width="13.625" style="3" customWidth="1"/>
    <col min="3416" max="3417" width="13.5" style="3" customWidth="1"/>
    <col min="3418" max="3419" width="13.625" style="3" customWidth="1"/>
    <col min="3420" max="3420" width="14" style="3" customWidth="1"/>
    <col min="3421" max="3421" width="10.875" style="3" customWidth="1"/>
    <col min="3422" max="3422" width="7.25" style="3" customWidth="1"/>
    <col min="3423" max="3424" width="13.5" style="3" customWidth="1"/>
    <col min="3425" max="3426" width="13.625" style="3" customWidth="1"/>
    <col min="3427" max="3427" width="14" style="3" customWidth="1"/>
    <col min="3428" max="3428" width="10.875" style="3" customWidth="1"/>
    <col min="3429" max="3429" width="7.25" style="3" customWidth="1"/>
    <col min="3430" max="3430" width="13.5" style="3" customWidth="1"/>
    <col min="3431" max="3431" width="13.625" style="3" customWidth="1"/>
    <col min="3432" max="3432" width="14" style="3" customWidth="1"/>
    <col min="3433" max="3433" width="6.625" style="3" customWidth="1"/>
    <col min="3434" max="3434" width="8" style="3" customWidth="1"/>
    <col min="3435" max="3436" width="13.5" style="3" customWidth="1"/>
    <col min="3437" max="3438" width="13.625" style="3" customWidth="1"/>
    <col min="3439" max="3439" width="13.875" style="3" customWidth="1"/>
    <col min="3440" max="3440" width="7.25" style="3" customWidth="1"/>
    <col min="3441" max="3441" width="8" style="3" customWidth="1"/>
    <col min="3442" max="3442" width="14.75" style="3" customWidth="1"/>
    <col min="3443" max="3443" width="13.625" style="3" customWidth="1"/>
    <col min="3444" max="3444" width="14.875" style="3" customWidth="1"/>
    <col min="3445" max="3445" width="13.75" style="3" customWidth="1"/>
    <col min="3446" max="3446" width="14" style="3" customWidth="1"/>
    <col min="3447" max="3447" width="6.625" style="3" customWidth="1"/>
    <col min="3448" max="3448" width="8" style="3" customWidth="1"/>
    <col min="3449" max="3449" width="14.75" style="3" customWidth="1"/>
    <col min="3450" max="3450" width="13.625" style="3" customWidth="1"/>
    <col min="3451" max="3452" width="14.875" style="3" customWidth="1"/>
    <col min="3453" max="3453" width="14" style="3" customWidth="1"/>
    <col min="3454" max="3454" width="6.625" style="3" customWidth="1"/>
    <col min="3455" max="3455" width="8" style="3" customWidth="1"/>
    <col min="3456" max="3456" width="14.75" style="3" customWidth="1"/>
    <col min="3457" max="3457" width="13.625" style="3" customWidth="1"/>
    <col min="3458" max="3458" width="14.875" style="3" customWidth="1"/>
    <col min="3459" max="3459" width="13.75" style="3" customWidth="1"/>
    <col min="3460" max="3460" width="14" style="3" customWidth="1"/>
    <col min="3461" max="3461" width="25" style="3" customWidth="1"/>
    <col min="3462" max="3466" width="28.5" style="3" customWidth="1"/>
    <col min="3467" max="3644" width="9" style="3"/>
    <col min="3645" max="3645" width="11.25" style="3" customWidth="1"/>
    <col min="3646" max="3646" width="5" style="3" customWidth="1"/>
    <col min="3647" max="3647" width="6.625" style="3" customWidth="1"/>
    <col min="3648" max="3648" width="7.625" style="3" customWidth="1"/>
    <col min="3649" max="3649" width="5.5" style="3" customWidth="1"/>
    <col min="3650" max="3650" width="14" style="3" customWidth="1"/>
    <col min="3651" max="3651" width="12.5" style="3" customWidth="1"/>
    <col min="3652" max="3653" width="6" style="3" customWidth="1"/>
    <col min="3654" max="3654" width="7.25" style="3" customWidth="1"/>
    <col min="3655" max="3655" width="13.625" style="3" customWidth="1"/>
    <col min="3656" max="3656" width="9.75" style="3" customWidth="1"/>
    <col min="3657" max="3657" width="7.75" style="3" customWidth="1"/>
    <col min="3658" max="3658" width="14" style="3" customWidth="1"/>
    <col min="3659" max="3659" width="6" style="3" customWidth="1"/>
    <col min="3660" max="3660" width="7.25" style="3" customWidth="1"/>
    <col min="3661" max="3661" width="13.625" style="3" customWidth="1"/>
    <col min="3662" max="3662" width="9.75" style="3" customWidth="1"/>
    <col min="3663" max="3663" width="14" style="3" customWidth="1"/>
    <col min="3664" max="3664" width="5.875" style="3" customWidth="1"/>
    <col min="3665" max="3665" width="7.25" style="3" customWidth="1"/>
    <col min="3666" max="3666" width="13.5" style="3" customWidth="1"/>
    <col min="3667" max="3667" width="9.75" style="3" customWidth="1"/>
    <col min="3668" max="3668" width="14" style="3" customWidth="1"/>
    <col min="3669" max="3669" width="5.875" style="3" customWidth="1"/>
    <col min="3670" max="3670" width="7.25" style="3" customWidth="1"/>
    <col min="3671" max="3671" width="13.625" style="3" customWidth="1"/>
    <col min="3672" max="3673" width="13.5" style="3" customWidth="1"/>
    <col min="3674" max="3675" width="13.625" style="3" customWidth="1"/>
    <col min="3676" max="3676" width="14" style="3" customWidth="1"/>
    <col min="3677" max="3677" width="10.875" style="3" customWidth="1"/>
    <col min="3678" max="3678" width="7.25" style="3" customWidth="1"/>
    <col min="3679" max="3680" width="13.5" style="3" customWidth="1"/>
    <col min="3681" max="3682" width="13.625" style="3" customWidth="1"/>
    <col min="3683" max="3683" width="14" style="3" customWidth="1"/>
    <col min="3684" max="3684" width="10.875" style="3" customWidth="1"/>
    <col min="3685" max="3685" width="7.25" style="3" customWidth="1"/>
    <col min="3686" max="3686" width="13.5" style="3" customWidth="1"/>
    <col min="3687" max="3687" width="13.625" style="3" customWidth="1"/>
    <col min="3688" max="3688" width="14" style="3" customWidth="1"/>
    <col min="3689" max="3689" width="6.625" style="3" customWidth="1"/>
    <col min="3690" max="3690" width="8" style="3" customWidth="1"/>
    <col min="3691" max="3692" width="13.5" style="3" customWidth="1"/>
    <col min="3693" max="3694" width="13.625" style="3" customWidth="1"/>
    <col min="3695" max="3695" width="13.875" style="3" customWidth="1"/>
    <col min="3696" max="3696" width="7.25" style="3" customWidth="1"/>
    <col min="3697" max="3697" width="8" style="3" customWidth="1"/>
    <col min="3698" max="3698" width="14.75" style="3" customWidth="1"/>
    <col min="3699" max="3699" width="13.625" style="3" customWidth="1"/>
    <col min="3700" max="3700" width="14.875" style="3" customWidth="1"/>
    <col min="3701" max="3701" width="13.75" style="3" customWidth="1"/>
    <col min="3702" max="3702" width="14" style="3" customWidth="1"/>
    <col min="3703" max="3703" width="6.625" style="3" customWidth="1"/>
    <col min="3704" max="3704" width="8" style="3" customWidth="1"/>
    <col min="3705" max="3705" width="14.75" style="3" customWidth="1"/>
    <col min="3706" max="3706" width="13.625" style="3" customWidth="1"/>
    <col min="3707" max="3708" width="14.875" style="3" customWidth="1"/>
    <col min="3709" max="3709" width="14" style="3" customWidth="1"/>
    <col min="3710" max="3710" width="6.625" style="3" customWidth="1"/>
    <col min="3711" max="3711" width="8" style="3" customWidth="1"/>
    <col min="3712" max="3712" width="14.75" style="3" customWidth="1"/>
    <col min="3713" max="3713" width="13.625" style="3" customWidth="1"/>
    <col min="3714" max="3714" width="14.875" style="3" customWidth="1"/>
    <col min="3715" max="3715" width="13.75" style="3" customWidth="1"/>
    <col min="3716" max="3716" width="14" style="3" customWidth="1"/>
    <col min="3717" max="3717" width="25" style="3" customWidth="1"/>
    <col min="3718" max="3722" width="28.5" style="3" customWidth="1"/>
    <col min="3723" max="3900" width="9" style="3"/>
    <col min="3901" max="3901" width="11.25" style="3" customWidth="1"/>
    <col min="3902" max="3902" width="5" style="3" customWidth="1"/>
    <col min="3903" max="3903" width="6.625" style="3" customWidth="1"/>
    <col min="3904" max="3904" width="7.625" style="3" customWidth="1"/>
    <col min="3905" max="3905" width="5.5" style="3" customWidth="1"/>
    <col min="3906" max="3906" width="14" style="3" customWidth="1"/>
    <col min="3907" max="3907" width="12.5" style="3" customWidth="1"/>
    <col min="3908" max="3909" width="6" style="3" customWidth="1"/>
    <col min="3910" max="3910" width="7.25" style="3" customWidth="1"/>
    <col min="3911" max="3911" width="13.625" style="3" customWidth="1"/>
    <col min="3912" max="3912" width="9.75" style="3" customWidth="1"/>
    <col min="3913" max="3913" width="7.75" style="3" customWidth="1"/>
    <col min="3914" max="3914" width="14" style="3" customWidth="1"/>
    <col min="3915" max="3915" width="6" style="3" customWidth="1"/>
    <col min="3916" max="3916" width="7.25" style="3" customWidth="1"/>
    <col min="3917" max="3917" width="13.625" style="3" customWidth="1"/>
    <col min="3918" max="3918" width="9.75" style="3" customWidth="1"/>
    <col min="3919" max="3919" width="14" style="3" customWidth="1"/>
    <col min="3920" max="3920" width="5.875" style="3" customWidth="1"/>
    <col min="3921" max="3921" width="7.25" style="3" customWidth="1"/>
    <col min="3922" max="3922" width="13.5" style="3" customWidth="1"/>
    <col min="3923" max="3923" width="9.75" style="3" customWidth="1"/>
    <col min="3924" max="3924" width="14" style="3" customWidth="1"/>
    <col min="3925" max="3925" width="5.875" style="3" customWidth="1"/>
    <col min="3926" max="3926" width="7.25" style="3" customWidth="1"/>
    <col min="3927" max="3927" width="13.625" style="3" customWidth="1"/>
    <col min="3928" max="3929" width="13.5" style="3" customWidth="1"/>
    <col min="3930" max="3931" width="13.625" style="3" customWidth="1"/>
    <col min="3932" max="3932" width="14" style="3" customWidth="1"/>
    <col min="3933" max="3933" width="10.875" style="3" customWidth="1"/>
    <col min="3934" max="3934" width="7.25" style="3" customWidth="1"/>
    <col min="3935" max="3936" width="13.5" style="3" customWidth="1"/>
    <col min="3937" max="3938" width="13.625" style="3" customWidth="1"/>
    <col min="3939" max="3939" width="14" style="3" customWidth="1"/>
    <col min="3940" max="3940" width="10.875" style="3" customWidth="1"/>
    <col min="3941" max="3941" width="7.25" style="3" customWidth="1"/>
    <col min="3942" max="3942" width="13.5" style="3" customWidth="1"/>
    <col min="3943" max="3943" width="13.625" style="3" customWidth="1"/>
    <col min="3944" max="3944" width="14" style="3" customWidth="1"/>
    <col min="3945" max="3945" width="6.625" style="3" customWidth="1"/>
    <col min="3946" max="3946" width="8" style="3" customWidth="1"/>
    <col min="3947" max="3948" width="13.5" style="3" customWidth="1"/>
    <col min="3949" max="3950" width="13.625" style="3" customWidth="1"/>
    <col min="3951" max="3951" width="13.875" style="3" customWidth="1"/>
    <col min="3952" max="3952" width="7.25" style="3" customWidth="1"/>
    <col min="3953" max="3953" width="8" style="3" customWidth="1"/>
    <col min="3954" max="3954" width="14.75" style="3" customWidth="1"/>
    <col min="3955" max="3955" width="13.625" style="3" customWidth="1"/>
    <col min="3956" max="3956" width="14.875" style="3" customWidth="1"/>
    <col min="3957" max="3957" width="13.75" style="3" customWidth="1"/>
    <col min="3958" max="3958" width="14" style="3" customWidth="1"/>
    <col min="3959" max="3959" width="6.625" style="3" customWidth="1"/>
    <col min="3960" max="3960" width="8" style="3" customWidth="1"/>
    <col min="3961" max="3961" width="14.75" style="3" customWidth="1"/>
    <col min="3962" max="3962" width="13.625" style="3" customWidth="1"/>
    <col min="3963" max="3964" width="14.875" style="3" customWidth="1"/>
    <col min="3965" max="3965" width="14" style="3" customWidth="1"/>
    <col min="3966" max="3966" width="6.625" style="3" customWidth="1"/>
    <col min="3967" max="3967" width="8" style="3" customWidth="1"/>
    <col min="3968" max="3968" width="14.75" style="3" customWidth="1"/>
    <col min="3969" max="3969" width="13.625" style="3" customWidth="1"/>
    <col min="3970" max="3970" width="14.875" style="3" customWidth="1"/>
    <col min="3971" max="3971" width="13.75" style="3" customWidth="1"/>
    <col min="3972" max="3972" width="14" style="3" customWidth="1"/>
    <col min="3973" max="3973" width="25" style="3" customWidth="1"/>
    <col min="3974" max="3978" width="28.5" style="3" customWidth="1"/>
    <col min="3979" max="4156" width="9" style="3"/>
    <col min="4157" max="4157" width="11.25" style="3" customWidth="1"/>
    <col min="4158" max="4158" width="5" style="3" customWidth="1"/>
    <col min="4159" max="4159" width="6.625" style="3" customWidth="1"/>
    <col min="4160" max="4160" width="7.625" style="3" customWidth="1"/>
    <col min="4161" max="4161" width="5.5" style="3" customWidth="1"/>
    <col min="4162" max="4162" width="14" style="3" customWidth="1"/>
    <col min="4163" max="4163" width="12.5" style="3" customWidth="1"/>
    <col min="4164" max="4165" width="6" style="3" customWidth="1"/>
    <col min="4166" max="4166" width="7.25" style="3" customWidth="1"/>
    <col min="4167" max="4167" width="13.625" style="3" customWidth="1"/>
    <col min="4168" max="4168" width="9.75" style="3" customWidth="1"/>
    <col min="4169" max="4169" width="7.75" style="3" customWidth="1"/>
    <col min="4170" max="4170" width="14" style="3" customWidth="1"/>
    <col min="4171" max="4171" width="6" style="3" customWidth="1"/>
    <col min="4172" max="4172" width="7.25" style="3" customWidth="1"/>
    <col min="4173" max="4173" width="13.625" style="3" customWidth="1"/>
    <col min="4174" max="4174" width="9.75" style="3" customWidth="1"/>
    <col min="4175" max="4175" width="14" style="3" customWidth="1"/>
    <col min="4176" max="4176" width="5.875" style="3" customWidth="1"/>
    <col min="4177" max="4177" width="7.25" style="3" customWidth="1"/>
    <col min="4178" max="4178" width="13.5" style="3" customWidth="1"/>
    <col min="4179" max="4179" width="9.75" style="3" customWidth="1"/>
    <col min="4180" max="4180" width="14" style="3" customWidth="1"/>
    <col min="4181" max="4181" width="5.875" style="3" customWidth="1"/>
    <col min="4182" max="4182" width="7.25" style="3" customWidth="1"/>
    <col min="4183" max="4183" width="13.625" style="3" customWidth="1"/>
    <col min="4184" max="4185" width="13.5" style="3" customWidth="1"/>
    <col min="4186" max="4187" width="13.625" style="3" customWidth="1"/>
    <col min="4188" max="4188" width="14" style="3" customWidth="1"/>
    <col min="4189" max="4189" width="10.875" style="3" customWidth="1"/>
    <col min="4190" max="4190" width="7.25" style="3" customWidth="1"/>
    <col min="4191" max="4192" width="13.5" style="3" customWidth="1"/>
    <col min="4193" max="4194" width="13.625" style="3" customWidth="1"/>
    <col min="4195" max="4195" width="14" style="3" customWidth="1"/>
    <col min="4196" max="4196" width="10.875" style="3" customWidth="1"/>
    <col min="4197" max="4197" width="7.25" style="3" customWidth="1"/>
    <col min="4198" max="4198" width="13.5" style="3" customWidth="1"/>
    <col min="4199" max="4199" width="13.625" style="3" customWidth="1"/>
    <col min="4200" max="4200" width="14" style="3" customWidth="1"/>
    <col min="4201" max="4201" width="6.625" style="3" customWidth="1"/>
    <col min="4202" max="4202" width="8" style="3" customWidth="1"/>
    <col min="4203" max="4204" width="13.5" style="3" customWidth="1"/>
    <col min="4205" max="4206" width="13.625" style="3" customWidth="1"/>
    <col min="4207" max="4207" width="13.875" style="3" customWidth="1"/>
    <col min="4208" max="4208" width="7.25" style="3" customWidth="1"/>
    <col min="4209" max="4209" width="8" style="3" customWidth="1"/>
    <col min="4210" max="4210" width="14.75" style="3" customWidth="1"/>
    <col min="4211" max="4211" width="13.625" style="3" customWidth="1"/>
    <col min="4212" max="4212" width="14.875" style="3" customWidth="1"/>
    <col min="4213" max="4213" width="13.75" style="3" customWidth="1"/>
    <col min="4214" max="4214" width="14" style="3" customWidth="1"/>
    <col min="4215" max="4215" width="6.625" style="3" customWidth="1"/>
    <col min="4216" max="4216" width="8" style="3" customWidth="1"/>
    <col min="4217" max="4217" width="14.75" style="3" customWidth="1"/>
    <col min="4218" max="4218" width="13.625" style="3" customWidth="1"/>
    <col min="4219" max="4220" width="14.875" style="3" customWidth="1"/>
    <col min="4221" max="4221" width="14" style="3" customWidth="1"/>
    <col min="4222" max="4222" width="6.625" style="3" customWidth="1"/>
    <col min="4223" max="4223" width="8" style="3" customWidth="1"/>
    <col min="4224" max="4224" width="14.75" style="3" customWidth="1"/>
    <col min="4225" max="4225" width="13.625" style="3" customWidth="1"/>
    <col min="4226" max="4226" width="14.875" style="3" customWidth="1"/>
    <col min="4227" max="4227" width="13.75" style="3" customWidth="1"/>
    <col min="4228" max="4228" width="14" style="3" customWidth="1"/>
    <col min="4229" max="4229" width="25" style="3" customWidth="1"/>
    <col min="4230" max="4234" width="28.5" style="3" customWidth="1"/>
    <col min="4235" max="4412" width="9" style="3"/>
    <col min="4413" max="4413" width="11.25" style="3" customWidth="1"/>
    <col min="4414" max="4414" width="5" style="3" customWidth="1"/>
    <col min="4415" max="4415" width="6.625" style="3" customWidth="1"/>
    <col min="4416" max="4416" width="7.625" style="3" customWidth="1"/>
    <col min="4417" max="4417" width="5.5" style="3" customWidth="1"/>
    <col min="4418" max="4418" width="14" style="3" customWidth="1"/>
    <col min="4419" max="4419" width="12.5" style="3" customWidth="1"/>
    <col min="4420" max="4421" width="6" style="3" customWidth="1"/>
    <col min="4422" max="4422" width="7.25" style="3" customWidth="1"/>
    <col min="4423" max="4423" width="13.625" style="3" customWidth="1"/>
    <col min="4424" max="4424" width="9.75" style="3" customWidth="1"/>
    <col min="4425" max="4425" width="7.75" style="3" customWidth="1"/>
    <col min="4426" max="4426" width="14" style="3" customWidth="1"/>
    <col min="4427" max="4427" width="6" style="3" customWidth="1"/>
    <col min="4428" max="4428" width="7.25" style="3" customWidth="1"/>
    <col min="4429" max="4429" width="13.625" style="3" customWidth="1"/>
    <col min="4430" max="4430" width="9.75" style="3" customWidth="1"/>
    <col min="4431" max="4431" width="14" style="3" customWidth="1"/>
    <col min="4432" max="4432" width="5.875" style="3" customWidth="1"/>
    <col min="4433" max="4433" width="7.25" style="3" customWidth="1"/>
    <col min="4434" max="4434" width="13.5" style="3" customWidth="1"/>
    <col min="4435" max="4435" width="9.75" style="3" customWidth="1"/>
    <col min="4436" max="4436" width="14" style="3" customWidth="1"/>
    <col min="4437" max="4437" width="5.875" style="3" customWidth="1"/>
    <col min="4438" max="4438" width="7.25" style="3" customWidth="1"/>
    <col min="4439" max="4439" width="13.625" style="3" customWidth="1"/>
    <col min="4440" max="4441" width="13.5" style="3" customWidth="1"/>
    <col min="4442" max="4443" width="13.625" style="3" customWidth="1"/>
    <col min="4444" max="4444" width="14" style="3" customWidth="1"/>
    <col min="4445" max="4445" width="10.875" style="3" customWidth="1"/>
    <col min="4446" max="4446" width="7.25" style="3" customWidth="1"/>
    <col min="4447" max="4448" width="13.5" style="3" customWidth="1"/>
    <col min="4449" max="4450" width="13.625" style="3" customWidth="1"/>
    <col min="4451" max="4451" width="14" style="3" customWidth="1"/>
    <col min="4452" max="4452" width="10.875" style="3" customWidth="1"/>
    <col min="4453" max="4453" width="7.25" style="3" customWidth="1"/>
    <col min="4454" max="4454" width="13.5" style="3" customWidth="1"/>
    <col min="4455" max="4455" width="13.625" style="3" customWidth="1"/>
    <col min="4456" max="4456" width="14" style="3" customWidth="1"/>
    <col min="4457" max="4457" width="6.625" style="3" customWidth="1"/>
    <col min="4458" max="4458" width="8" style="3" customWidth="1"/>
    <col min="4459" max="4460" width="13.5" style="3" customWidth="1"/>
    <col min="4461" max="4462" width="13.625" style="3" customWidth="1"/>
    <col min="4463" max="4463" width="13.875" style="3" customWidth="1"/>
    <col min="4464" max="4464" width="7.25" style="3" customWidth="1"/>
    <col min="4465" max="4465" width="8" style="3" customWidth="1"/>
    <col min="4466" max="4466" width="14.75" style="3" customWidth="1"/>
    <col min="4467" max="4467" width="13.625" style="3" customWidth="1"/>
    <col min="4468" max="4468" width="14.875" style="3" customWidth="1"/>
    <col min="4469" max="4469" width="13.75" style="3" customWidth="1"/>
    <col min="4470" max="4470" width="14" style="3" customWidth="1"/>
    <col min="4471" max="4471" width="6.625" style="3" customWidth="1"/>
    <col min="4472" max="4472" width="8" style="3" customWidth="1"/>
    <col min="4473" max="4473" width="14.75" style="3" customWidth="1"/>
    <col min="4474" max="4474" width="13.625" style="3" customWidth="1"/>
    <col min="4475" max="4476" width="14.875" style="3" customWidth="1"/>
    <col min="4477" max="4477" width="14" style="3" customWidth="1"/>
    <col min="4478" max="4478" width="6.625" style="3" customWidth="1"/>
    <col min="4479" max="4479" width="8" style="3" customWidth="1"/>
    <col min="4480" max="4480" width="14.75" style="3" customWidth="1"/>
    <col min="4481" max="4481" width="13.625" style="3" customWidth="1"/>
    <col min="4482" max="4482" width="14.875" style="3" customWidth="1"/>
    <col min="4483" max="4483" width="13.75" style="3" customWidth="1"/>
    <col min="4484" max="4484" width="14" style="3" customWidth="1"/>
    <col min="4485" max="4485" width="25" style="3" customWidth="1"/>
    <col min="4486" max="4490" width="28.5" style="3" customWidth="1"/>
    <col min="4491" max="4668" width="9" style="3"/>
    <col min="4669" max="4669" width="11.25" style="3" customWidth="1"/>
    <col min="4670" max="4670" width="5" style="3" customWidth="1"/>
    <col min="4671" max="4671" width="6.625" style="3" customWidth="1"/>
    <col min="4672" max="4672" width="7.625" style="3" customWidth="1"/>
    <col min="4673" max="4673" width="5.5" style="3" customWidth="1"/>
    <col min="4674" max="4674" width="14" style="3" customWidth="1"/>
    <col min="4675" max="4675" width="12.5" style="3" customWidth="1"/>
    <col min="4676" max="4677" width="6" style="3" customWidth="1"/>
    <col min="4678" max="4678" width="7.25" style="3" customWidth="1"/>
    <col min="4679" max="4679" width="13.625" style="3" customWidth="1"/>
    <col min="4680" max="4680" width="9.75" style="3" customWidth="1"/>
    <col min="4681" max="4681" width="7.75" style="3" customWidth="1"/>
    <col min="4682" max="4682" width="14" style="3" customWidth="1"/>
    <col min="4683" max="4683" width="6" style="3" customWidth="1"/>
    <col min="4684" max="4684" width="7.25" style="3" customWidth="1"/>
    <col min="4685" max="4685" width="13.625" style="3" customWidth="1"/>
    <col min="4686" max="4686" width="9.75" style="3" customWidth="1"/>
    <col min="4687" max="4687" width="14" style="3" customWidth="1"/>
    <col min="4688" max="4688" width="5.875" style="3" customWidth="1"/>
    <col min="4689" max="4689" width="7.25" style="3" customWidth="1"/>
    <col min="4690" max="4690" width="13.5" style="3" customWidth="1"/>
    <col min="4691" max="4691" width="9.75" style="3" customWidth="1"/>
    <col min="4692" max="4692" width="14" style="3" customWidth="1"/>
    <col min="4693" max="4693" width="5.875" style="3" customWidth="1"/>
    <col min="4694" max="4694" width="7.25" style="3" customWidth="1"/>
    <col min="4695" max="4695" width="13.625" style="3" customWidth="1"/>
    <col min="4696" max="4697" width="13.5" style="3" customWidth="1"/>
    <col min="4698" max="4699" width="13.625" style="3" customWidth="1"/>
    <col min="4700" max="4700" width="14" style="3" customWidth="1"/>
    <col min="4701" max="4701" width="10.875" style="3" customWidth="1"/>
    <col min="4702" max="4702" width="7.25" style="3" customWidth="1"/>
    <col min="4703" max="4704" width="13.5" style="3" customWidth="1"/>
    <col min="4705" max="4706" width="13.625" style="3" customWidth="1"/>
    <col min="4707" max="4707" width="14" style="3" customWidth="1"/>
    <col min="4708" max="4708" width="10.875" style="3" customWidth="1"/>
    <col min="4709" max="4709" width="7.25" style="3" customWidth="1"/>
    <col min="4710" max="4710" width="13.5" style="3" customWidth="1"/>
    <col min="4711" max="4711" width="13.625" style="3" customWidth="1"/>
    <col min="4712" max="4712" width="14" style="3" customWidth="1"/>
    <col min="4713" max="4713" width="6.625" style="3" customWidth="1"/>
    <col min="4714" max="4714" width="8" style="3" customWidth="1"/>
    <col min="4715" max="4716" width="13.5" style="3" customWidth="1"/>
    <col min="4717" max="4718" width="13.625" style="3" customWidth="1"/>
    <col min="4719" max="4719" width="13.875" style="3" customWidth="1"/>
    <col min="4720" max="4720" width="7.25" style="3" customWidth="1"/>
    <col min="4721" max="4721" width="8" style="3" customWidth="1"/>
    <col min="4722" max="4722" width="14.75" style="3" customWidth="1"/>
    <col min="4723" max="4723" width="13.625" style="3" customWidth="1"/>
    <col min="4724" max="4724" width="14.875" style="3" customWidth="1"/>
    <col min="4725" max="4725" width="13.75" style="3" customWidth="1"/>
    <col min="4726" max="4726" width="14" style="3" customWidth="1"/>
    <col min="4727" max="4727" width="6.625" style="3" customWidth="1"/>
    <col min="4728" max="4728" width="8" style="3" customWidth="1"/>
    <col min="4729" max="4729" width="14.75" style="3" customWidth="1"/>
    <col min="4730" max="4730" width="13.625" style="3" customWidth="1"/>
    <col min="4731" max="4732" width="14.875" style="3" customWidth="1"/>
    <col min="4733" max="4733" width="14" style="3" customWidth="1"/>
    <col min="4734" max="4734" width="6.625" style="3" customWidth="1"/>
    <col min="4735" max="4735" width="8" style="3" customWidth="1"/>
    <col min="4736" max="4736" width="14.75" style="3" customWidth="1"/>
    <col min="4737" max="4737" width="13.625" style="3" customWidth="1"/>
    <col min="4738" max="4738" width="14.875" style="3" customWidth="1"/>
    <col min="4739" max="4739" width="13.75" style="3" customWidth="1"/>
    <col min="4740" max="4740" width="14" style="3" customWidth="1"/>
    <col min="4741" max="4741" width="25" style="3" customWidth="1"/>
    <col min="4742" max="4746" width="28.5" style="3" customWidth="1"/>
    <col min="4747" max="4924" width="9" style="3"/>
    <col min="4925" max="4925" width="11.25" style="3" customWidth="1"/>
    <col min="4926" max="4926" width="5" style="3" customWidth="1"/>
    <col min="4927" max="4927" width="6.625" style="3" customWidth="1"/>
    <col min="4928" max="4928" width="7.625" style="3" customWidth="1"/>
    <col min="4929" max="4929" width="5.5" style="3" customWidth="1"/>
    <col min="4930" max="4930" width="14" style="3" customWidth="1"/>
    <col min="4931" max="4931" width="12.5" style="3" customWidth="1"/>
    <col min="4932" max="4933" width="6" style="3" customWidth="1"/>
    <col min="4934" max="4934" width="7.25" style="3" customWidth="1"/>
    <col min="4935" max="4935" width="13.625" style="3" customWidth="1"/>
    <col min="4936" max="4936" width="9.75" style="3" customWidth="1"/>
    <col min="4937" max="4937" width="7.75" style="3" customWidth="1"/>
    <col min="4938" max="4938" width="14" style="3" customWidth="1"/>
    <col min="4939" max="4939" width="6" style="3" customWidth="1"/>
    <col min="4940" max="4940" width="7.25" style="3" customWidth="1"/>
    <col min="4941" max="4941" width="13.625" style="3" customWidth="1"/>
    <col min="4942" max="4942" width="9.75" style="3" customWidth="1"/>
    <col min="4943" max="4943" width="14" style="3" customWidth="1"/>
    <col min="4944" max="4944" width="5.875" style="3" customWidth="1"/>
    <col min="4945" max="4945" width="7.25" style="3" customWidth="1"/>
    <col min="4946" max="4946" width="13.5" style="3" customWidth="1"/>
    <col min="4947" max="4947" width="9.75" style="3" customWidth="1"/>
    <col min="4948" max="4948" width="14" style="3" customWidth="1"/>
    <col min="4949" max="4949" width="5.875" style="3" customWidth="1"/>
    <col min="4950" max="4950" width="7.25" style="3" customWidth="1"/>
    <col min="4951" max="4951" width="13.625" style="3" customWidth="1"/>
    <col min="4952" max="4953" width="13.5" style="3" customWidth="1"/>
    <col min="4954" max="4955" width="13.625" style="3" customWidth="1"/>
    <col min="4956" max="4956" width="14" style="3" customWidth="1"/>
    <col min="4957" max="4957" width="10.875" style="3" customWidth="1"/>
    <col min="4958" max="4958" width="7.25" style="3" customWidth="1"/>
    <col min="4959" max="4960" width="13.5" style="3" customWidth="1"/>
    <col min="4961" max="4962" width="13.625" style="3" customWidth="1"/>
    <col min="4963" max="4963" width="14" style="3" customWidth="1"/>
    <col min="4964" max="4964" width="10.875" style="3" customWidth="1"/>
    <col min="4965" max="4965" width="7.25" style="3" customWidth="1"/>
    <col min="4966" max="4966" width="13.5" style="3" customWidth="1"/>
    <col min="4967" max="4967" width="13.625" style="3" customWidth="1"/>
    <col min="4968" max="4968" width="14" style="3" customWidth="1"/>
    <col min="4969" max="4969" width="6.625" style="3" customWidth="1"/>
    <col min="4970" max="4970" width="8" style="3" customWidth="1"/>
    <col min="4971" max="4972" width="13.5" style="3" customWidth="1"/>
    <col min="4973" max="4974" width="13.625" style="3" customWidth="1"/>
    <col min="4975" max="4975" width="13.875" style="3" customWidth="1"/>
    <col min="4976" max="4976" width="7.25" style="3" customWidth="1"/>
    <col min="4977" max="4977" width="8" style="3" customWidth="1"/>
    <col min="4978" max="4978" width="14.75" style="3" customWidth="1"/>
    <col min="4979" max="4979" width="13.625" style="3" customWidth="1"/>
    <col min="4980" max="4980" width="14.875" style="3" customWidth="1"/>
    <col min="4981" max="4981" width="13.75" style="3" customWidth="1"/>
    <col min="4982" max="4982" width="14" style="3" customWidth="1"/>
    <col min="4983" max="4983" width="6.625" style="3" customWidth="1"/>
    <col min="4984" max="4984" width="8" style="3" customWidth="1"/>
    <col min="4985" max="4985" width="14.75" style="3" customWidth="1"/>
    <col min="4986" max="4986" width="13.625" style="3" customWidth="1"/>
    <col min="4987" max="4988" width="14.875" style="3" customWidth="1"/>
    <col min="4989" max="4989" width="14" style="3" customWidth="1"/>
    <col min="4990" max="4990" width="6.625" style="3" customWidth="1"/>
    <col min="4991" max="4991" width="8" style="3" customWidth="1"/>
    <col min="4992" max="4992" width="14.75" style="3" customWidth="1"/>
    <col min="4993" max="4993" width="13.625" style="3" customWidth="1"/>
    <col min="4994" max="4994" width="14.875" style="3" customWidth="1"/>
    <col min="4995" max="4995" width="13.75" style="3" customWidth="1"/>
    <col min="4996" max="4996" width="14" style="3" customWidth="1"/>
    <col min="4997" max="4997" width="25" style="3" customWidth="1"/>
    <col min="4998" max="5002" width="28.5" style="3" customWidth="1"/>
    <col min="5003" max="5180" width="9" style="3"/>
    <col min="5181" max="5181" width="11.25" style="3" customWidth="1"/>
    <col min="5182" max="5182" width="5" style="3" customWidth="1"/>
    <col min="5183" max="5183" width="6.625" style="3" customWidth="1"/>
    <col min="5184" max="5184" width="7.625" style="3" customWidth="1"/>
    <col min="5185" max="5185" width="5.5" style="3" customWidth="1"/>
    <col min="5186" max="5186" width="14" style="3" customWidth="1"/>
    <col min="5187" max="5187" width="12.5" style="3" customWidth="1"/>
    <col min="5188" max="5189" width="6" style="3" customWidth="1"/>
    <col min="5190" max="5190" width="7.25" style="3" customWidth="1"/>
    <col min="5191" max="5191" width="13.625" style="3" customWidth="1"/>
    <col min="5192" max="5192" width="9.75" style="3" customWidth="1"/>
    <col min="5193" max="5193" width="7.75" style="3" customWidth="1"/>
    <col min="5194" max="5194" width="14" style="3" customWidth="1"/>
    <col min="5195" max="5195" width="6" style="3" customWidth="1"/>
    <col min="5196" max="5196" width="7.25" style="3" customWidth="1"/>
    <col min="5197" max="5197" width="13.625" style="3" customWidth="1"/>
    <col min="5198" max="5198" width="9.75" style="3" customWidth="1"/>
    <col min="5199" max="5199" width="14" style="3" customWidth="1"/>
    <col min="5200" max="5200" width="5.875" style="3" customWidth="1"/>
    <col min="5201" max="5201" width="7.25" style="3" customWidth="1"/>
    <col min="5202" max="5202" width="13.5" style="3" customWidth="1"/>
    <col min="5203" max="5203" width="9.75" style="3" customWidth="1"/>
    <col min="5204" max="5204" width="14" style="3" customWidth="1"/>
    <col min="5205" max="5205" width="5.875" style="3" customWidth="1"/>
    <col min="5206" max="5206" width="7.25" style="3" customWidth="1"/>
    <col min="5207" max="5207" width="13.625" style="3" customWidth="1"/>
    <col min="5208" max="5209" width="13.5" style="3" customWidth="1"/>
    <col min="5210" max="5211" width="13.625" style="3" customWidth="1"/>
    <col min="5212" max="5212" width="14" style="3" customWidth="1"/>
    <col min="5213" max="5213" width="10.875" style="3" customWidth="1"/>
    <col min="5214" max="5214" width="7.25" style="3" customWidth="1"/>
    <col min="5215" max="5216" width="13.5" style="3" customWidth="1"/>
    <col min="5217" max="5218" width="13.625" style="3" customWidth="1"/>
    <col min="5219" max="5219" width="14" style="3" customWidth="1"/>
    <col min="5220" max="5220" width="10.875" style="3" customWidth="1"/>
    <col min="5221" max="5221" width="7.25" style="3" customWidth="1"/>
    <col min="5222" max="5222" width="13.5" style="3" customWidth="1"/>
    <col min="5223" max="5223" width="13.625" style="3" customWidth="1"/>
    <col min="5224" max="5224" width="14" style="3" customWidth="1"/>
    <col min="5225" max="5225" width="6.625" style="3" customWidth="1"/>
    <col min="5226" max="5226" width="8" style="3" customWidth="1"/>
    <col min="5227" max="5228" width="13.5" style="3" customWidth="1"/>
    <col min="5229" max="5230" width="13.625" style="3" customWidth="1"/>
    <col min="5231" max="5231" width="13.875" style="3" customWidth="1"/>
    <col min="5232" max="5232" width="7.25" style="3" customWidth="1"/>
    <col min="5233" max="5233" width="8" style="3" customWidth="1"/>
    <col min="5234" max="5234" width="14.75" style="3" customWidth="1"/>
    <col min="5235" max="5235" width="13.625" style="3" customWidth="1"/>
    <col min="5236" max="5236" width="14.875" style="3" customWidth="1"/>
    <col min="5237" max="5237" width="13.75" style="3" customWidth="1"/>
    <col min="5238" max="5238" width="14" style="3" customWidth="1"/>
    <col min="5239" max="5239" width="6.625" style="3" customWidth="1"/>
    <col min="5240" max="5240" width="8" style="3" customWidth="1"/>
    <col min="5241" max="5241" width="14.75" style="3" customWidth="1"/>
    <col min="5242" max="5242" width="13.625" style="3" customWidth="1"/>
    <col min="5243" max="5244" width="14.875" style="3" customWidth="1"/>
    <col min="5245" max="5245" width="14" style="3" customWidth="1"/>
    <col min="5246" max="5246" width="6.625" style="3" customWidth="1"/>
    <col min="5247" max="5247" width="8" style="3" customWidth="1"/>
    <col min="5248" max="5248" width="14.75" style="3" customWidth="1"/>
    <col min="5249" max="5249" width="13.625" style="3" customWidth="1"/>
    <col min="5250" max="5250" width="14.875" style="3" customWidth="1"/>
    <col min="5251" max="5251" width="13.75" style="3" customWidth="1"/>
    <col min="5252" max="5252" width="14" style="3" customWidth="1"/>
    <col min="5253" max="5253" width="25" style="3" customWidth="1"/>
    <col min="5254" max="5258" width="28.5" style="3" customWidth="1"/>
    <col min="5259" max="5436" width="9" style="3"/>
    <col min="5437" max="5437" width="11.25" style="3" customWidth="1"/>
    <col min="5438" max="5438" width="5" style="3" customWidth="1"/>
    <col min="5439" max="5439" width="6.625" style="3" customWidth="1"/>
    <col min="5440" max="5440" width="7.625" style="3" customWidth="1"/>
    <col min="5441" max="5441" width="5.5" style="3" customWidth="1"/>
    <col min="5442" max="5442" width="14" style="3" customWidth="1"/>
    <col min="5443" max="5443" width="12.5" style="3" customWidth="1"/>
    <col min="5444" max="5445" width="6" style="3" customWidth="1"/>
    <col min="5446" max="5446" width="7.25" style="3" customWidth="1"/>
    <col min="5447" max="5447" width="13.625" style="3" customWidth="1"/>
    <col min="5448" max="5448" width="9.75" style="3" customWidth="1"/>
    <col min="5449" max="5449" width="7.75" style="3" customWidth="1"/>
    <col min="5450" max="5450" width="14" style="3" customWidth="1"/>
    <col min="5451" max="5451" width="6" style="3" customWidth="1"/>
    <col min="5452" max="5452" width="7.25" style="3" customWidth="1"/>
    <col min="5453" max="5453" width="13.625" style="3" customWidth="1"/>
    <col min="5454" max="5454" width="9.75" style="3" customWidth="1"/>
    <col min="5455" max="5455" width="14" style="3" customWidth="1"/>
    <col min="5456" max="5456" width="5.875" style="3" customWidth="1"/>
    <col min="5457" max="5457" width="7.25" style="3" customWidth="1"/>
    <col min="5458" max="5458" width="13.5" style="3" customWidth="1"/>
    <col min="5459" max="5459" width="9.75" style="3" customWidth="1"/>
    <col min="5460" max="5460" width="14" style="3" customWidth="1"/>
    <col min="5461" max="5461" width="5.875" style="3" customWidth="1"/>
    <col min="5462" max="5462" width="7.25" style="3" customWidth="1"/>
    <col min="5463" max="5463" width="13.625" style="3" customWidth="1"/>
    <col min="5464" max="5465" width="13.5" style="3" customWidth="1"/>
    <col min="5466" max="5467" width="13.625" style="3" customWidth="1"/>
    <col min="5468" max="5468" width="14" style="3" customWidth="1"/>
    <col min="5469" max="5469" width="10.875" style="3" customWidth="1"/>
    <col min="5470" max="5470" width="7.25" style="3" customWidth="1"/>
    <col min="5471" max="5472" width="13.5" style="3" customWidth="1"/>
    <col min="5473" max="5474" width="13.625" style="3" customWidth="1"/>
    <col min="5475" max="5475" width="14" style="3" customWidth="1"/>
    <col min="5476" max="5476" width="10.875" style="3" customWidth="1"/>
    <col min="5477" max="5477" width="7.25" style="3" customWidth="1"/>
    <col min="5478" max="5478" width="13.5" style="3" customWidth="1"/>
    <col min="5479" max="5479" width="13.625" style="3" customWidth="1"/>
    <col min="5480" max="5480" width="14" style="3" customWidth="1"/>
    <col min="5481" max="5481" width="6.625" style="3" customWidth="1"/>
    <col min="5482" max="5482" width="8" style="3" customWidth="1"/>
    <col min="5483" max="5484" width="13.5" style="3" customWidth="1"/>
    <col min="5485" max="5486" width="13.625" style="3" customWidth="1"/>
    <col min="5487" max="5487" width="13.875" style="3" customWidth="1"/>
    <col min="5488" max="5488" width="7.25" style="3" customWidth="1"/>
    <col min="5489" max="5489" width="8" style="3" customWidth="1"/>
    <col min="5490" max="5490" width="14.75" style="3" customWidth="1"/>
    <col min="5491" max="5491" width="13.625" style="3" customWidth="1"/>
    <col min="5492" max="5492" width="14.875" style="3" customWidth="1"/>
    <col min="5493" max="5493" width="13.75" style="3" customWidth="1"/>
    <col min="5494" max="5494" width="14" style="3" customWidth="1"/>
    <col min="5495" max="5495" width="6.625" style="3" customWidth="1"/>
    <col min="5496" max="5496" width="8" style="3" customWidth="1"/>
    <col min="5497" max="5497" width="14.75" style="3" customWidth="1"/>
    <col min="5498" max="5498" width="13.625" style="3" customWidth="1"/>
    <col min="5499" max="5500" width="14.875" style="3" customWidth="1"/>
    <col min="5501" max="5501" width="14" style="3" customWidth="1"/>
    <col min="5502" max="5502" width="6.625" style="3" customWidth="1"/>
    <col min="5503" max="5503" width="8" style="3" customWidth="1"/>
    <col min="5504" max="5504" width="14.75" style="3" customWidth="1"/>
    <col min="5505" max="5505" width="13.625" style="3" customWidth="1"/>
    <col min="5506" max="5506" width="14.875" style="3" customWidth="1"/>
    <col min="5507" max="5507" width="13.75" style="3" customWidth="1"/>
    <col min="5508" max="5508" width="14" style="3" customWidth="1"/>
    <col min="5509" max="5509" width="25" style="3" customWidth="1"/>
    <col min="5510" max="5514" width="28.5" style="3" customWidth="1"/>
    <col min="5515" max="5692" width="9" style="3"/>
    <col min="5693" max="5693" width="11.25" style="3" customWidth="1"/>
    <col min="5694" max="5694" width="5" style="3" customWidth="1"/>
    <col min="5695" max="5695" width="6.625" style="3" customWidth="1"/>
    <col min="5696" max="5696" width="7.625" style="3" customWidth="1"/>
    <col min="5697" max="5697" width="5.5" style="3" customWidth="1"/>
    <col min="5698" max="5698" width="14" style="3" customWidth="1"/>
    <col min="5699" max="5699" width="12.5" style="3" customWidth="1"/>
    <col min="5700" max="5701" width="6" style="3" customWidth="1"/>
    <col min="5702" max="5702" width="7.25" style="3" customWidth="1"/>
    <col min="5703" max="5703" width="13.625" style="3" customWidth="1"/>
    <col min="5704" max="5704" width="9.75" style="3" customWidth="1"/>
    <col min="5705" max="5705" width="7.75" style="3" customWidth="1"/>
    <col min="5706" max="5706" width="14" style="3" customWidth="1"/>
    <col min="5707" max="5707" width="6" style="3" customWidth="1"/>
    <col min="5708" max="5708" width="7.25" style="3" customWidth="1"/>
    <col min="5709" max="5709" width="13.625" style="3" customWidth="1"/>
    <col min="5710" max="5710" width="9.75" style="3" customWidth="1"/>
    <col min="5711" max="5711" width="14" style="3" customWidth="1"/>
    <col min="5712" max="5712" width="5.875" style="3" customWidth="1"/>
    <col min="5713" max="5713" width="7.25" style="3" customWidth="1"/>
    <col min="5714" max="5714" width="13.5" style="3" customWidth="1"/>
    <col min="5715" max="5715" width="9.75" style="3" customWidth="1"/>
    <col min="5716" max="5716" width="14" style="3" customWidth="1"/>
    <col min="5717" max="5717" width="5.875" style="3" customWidth="1"/>
    <col min="5718" max="5718" width="7.25" style="3" customWidth="1"/>
    <col min="5719" max="5719" width="13.625" style="3" customWidth="1"/>
    <col min="5720" max="5721" width="13.5" style="3" customWidth="1"/>
    <col min="5722" max="5723" width="13.625" style="3" customWidth="1"/>
    <col min="5724" max="5724" width="14" style="3" customWidth="1"/>
    <col min="5725" max="5725" width="10.875" style="3" customWidth="1"/>
    <col min="5726" max="5726" width="7.25" style="3" customWidth="1"/>
    <col min="5727" max="5728" width="13.5" style="3" customWidth="1"/>
    <col min="5729" max="5730" width="13.625" style="3" customWidth="1"/>
    <col min="5731" max="5731" width="14" style="3" customWidth="1"/>
    <col min="5732" max="5732" width="10.875" style="3" customWidth="1"/>
    <col min="5733" max="5733" width="7.25" style="3" customWidth="1"/>
    <col min="5734" max="5734" width="13.5" style="3" customWidth="1"/>
    <col min="5735" max="5735" width="13.625" style="3" customWidth="1"/>
    <col min="5736" max="5736" width="14" style="3" customWidth="1"/>
    <col min="5737" max="5737" width="6.625" style="3" customWidth="1"/>
    <col min="5738" max="5738" width="8" style="3" customWidth="1"/>
    <col min="5739" max="5740" width="13.5" style="3" customWidth="1"/>
    <col min="5741" max="5742" width="13.625" style="3" customWidth="1"/>
    <col min="5743" max="5743" width="13.875" style="3" customWidth="1"/>
    <col min="5744" max="5744" width="7.25" style="3" customWidth="1"/>
    <col min="5745" max="5745" width="8" style="3" customWidth="1"/>
    <col min="5746" max="5746" width="14.75" style="3" customWidth="1"/>
    <col min="5747" max="5747" width="13.625" style="3" customWidth="1"/>
    <col min="5748" max="5748" width="14.875" style="3" customWidth="1"/>
    <col min="5749" max="5749" width="13.75" style="3" customWidth="1"/>
    <col min="5750" max="5750" width="14" style="3" customWidth="1"/>
    <col min="5751" max="5751" width="6.625" style="3" customWidth="1"/>
    <col min="5752" max="5752" width="8" style="3" customWidth="1"/>
    <col min="5753" max="5753" width="14.75" style="3" customWidth="1"/>
    <col min="5754" max="5754" width="13.625" style="3" customWidth="1"/>
    <col min="5755" max="5756" width="14.875" style="3" customWidth="1"/>
    <col min="5757" max="5757" width="14" style="3" customWidth="1"/>
    <col min="5758" max="5758" width="6.625" style="3" customWidth="1"/>
    <col min="5759" max="5759" width="8" style="3" customWidth="1"/>
    <col min="5760" max="5760" width="14.75" style="3" customWidth="1"/>
    <col min="5761" max="5761" width="13.625" style="3" customWidth="1"/>
    <col min="5762" max="5762" width="14.875" style="3" customWidth="1"/>
    <col min="5763" max="5763" width="13.75" style="3" customWidth="1"/>
    <col min="5764" max="5764" width="14" style="3" customWidth="1"/>
    <col min="5765" max="5765" width="25" style="3" customWidth="1"/>
    <col min="5766" max="5770" width="28.5" style="3" customWidth="1"/>
    <col min="5771" max="5948" width="9" style="3"/>
    <col min="5949" max="5949" width="11.25" style="3" customWidth="1"/>
    <col min="5950" max="5950" width="5" style="3" customWidth="1"/>
    <col min="5951" max="5951" width="6.625" style="3" customWidth="1"/>
    <col min="5952" max="5952" width="7.625" style="3" customWidth="1"/>
    <col min="5953" max="5953" width="5.5" style="3" customWidth="1"/>
    <col min="5954" max="5954" width="14" style="3" customWidth="1"/>
    <col min="5955" max="5955" width="12.5" style="3" customWidth="1"/>
    <col min="5956" max="5957" width="6" style="3" customWidth="1"/>
    <col min="5958" max="5958" width="7.25" style="3" customWidth="1"/>
    <col min="5959" max="5959" width="13.625" style="3" customWidth="1"/>
    <col min="5960" max="5960" width="9.75" style="3" customWidth="1"/>
    <col min="5961" max="5961" width="7.75" style="3" customWidth="1"/>
    <col min="5962" max="5962" width="14" style="3" customWidth="1"/>
    <col min="5963" max="5963" width="6" style="3" customWidth="1"/>
    <col min="5964" max="5964" width="7.25" style="3" customWidth="1"/>
    <col min="5965" max="5965" width="13.625" style="3" customWidth="1"/>
    <col min="5966" max="5966" width="9.75" style="3" customWidth="1"/>
    <col min="5967" max="5967" width="14" style="3" customWidth="1"/>
    <col min="5968" max="5968" width="5.875" style="3" customWidth="1"/>
    <col min="5969" max="5969" width="7.25" style="3" customWidth="1"/>
    <col min="5970" max="5970" width="13.5" style="3" customWidth="1"/>
    <col min="5971" max="5971" width="9.75" style="3" customWidth="1"/>
    <col min="5972" max="5972" width="14" style="3" customWidth="1"/>
    <col min="5973" max="5973" width="5.875" style="3" customWidth="1"/>
    <col min="5974" max="5974" width="7.25" style="3" customWidth="1"/>
    <col min="5975" max="5975" width="13.625" style="3" customWidth="1"/>
    <col min="5976" max="5977" width="13.5" style="3" customWidth="1"/>
    <col min="5978" max="5979" width="13.625" style="3" customWidth="1"/>
    <col min="5980" max="5980" width="14" style="3" customWidth="1"/>
    <col min="5981" max="5981" width="10.875" style="3" customWidth="1"/>
    <col min="5982" max="5982" width="7.25" style="3" customWidth="1"/>
    <col min="5983" max="5984" width="13.5" style="3" customWidth="1"/>
    <col min="5985" max="5986" width="13.625" style="3" customWidth="1"/>
    <col min="5987" max="5987" width="14" style="3" customWidth="1"/>
    <col min="5988" max="5988" width="10.875" style="3" customWidth="1"/>
    <col min="5989" max="5989" width="7.25" style="3" customWidth="1"/>
    <col min="5990" max="5990" width="13.5" style="3" customWidth="1"/>
    <col min="5991" max="5991" width="13.625" style="3" customWidth="1"/>
    <col min="5992" max="5992" width="14" style="3" customWidth="1"/>
    <col min="5993" max="5993" width="6.625" style="3" customWidth="1"/>
    <col min="5994" max="5994" width="8" style="3" customWidth="1"/>
    <col min="5995" max="5996" width="13.5" style="3" customWidth="1"/>
    <col min="5997" max="5998" width="13.625" style="3" customWidth="1"/>
    <col min="5999" max="5999" width="13.875" style="3" customWidth="1"/>
    <col min="6000" max="6000" width="7.25" style="3" customWidth="1"/>
    <col min="6001" max="6001" width="8" style="3" customWidth="1"/>
    <col min="6002" max="6002" width="14.75" style="3" customWidth="1"/>
    <col min="6003" max="6003" width="13.625" style="3" customWidth="1"/>
    <col min="6004" max="6004" width="14.875" style="3" customWidth="1"/>
    <col min="6005" max="6005" width="13.75" style="3" customWidth="1"/>
    <col min="6006" max="6006" width="14" style="3" customWidth="1"/>
    <col min="6007" max="6007" width="6.625" style="3" customWidth="1"/>
    <col min="6008" max="6008" width="8" style="3" customWidth="1"/>
    <col min="6009" max="6009" width="14.75" style="3" customWidth="1"/>
    <col min="6010" max="6010" width="13.625" style="3" customWidth="1"/>
    <col min="6011" max="6012" width="14.875" style="3" customWidth="1"/>
    <col min="6013" max="6013" width="14" style="3" customWidth="1"/>
    <col min="6014" max="6014" width="6.625" style="3" customWidth="1"/>
    <col min="6015" max="6015" width="8" style="3" customWidth="1"/>
    <col min="6016" max="6016" width="14.75" style="3" customWidth="1"/>
    <col min="6017" max="6017" width="13.625" style="3" customWidth="1"/>
    <col min="6018" max="6018" width="14.875" style="3" customWidth="1"/>
    <col min="6019" max="6019" width="13.75" style="3" customWidth="1"/>
    <col min="6020" max="6020" width="14" style="3" customWidth="1"/>
    <col min="6021" max="6021" width="25" style="3" customWidth="1"/>
    <col min="6022" max="6026" width="28.5" style="3" customWidth="1"/>
    <col min="6027" max="6204" width="9" style="3"/>
    <col min="6205" max="6205" width="11.25" style="3" customWidth="1"/>
    <col min="6206" max="6206" width="5" style="3" customWidth="1"/>
    <col min="6207" max="6207" width="6.625" style="3" customWidth="1"/>
    <col min="6208" max="6208" width="7.625" style="3" customWidth="1"/>
    <col min="6209" max="6209" width="5.5" style="3" customWidth="1"/>
    <col min="6210" max="6210" width="14" style="3" customWidth="1"/>
    <col min="6211" max="6211" width="12.5" style="3" customWidth="1"/>
    <col min="6212" max="6213" width="6" style="3" customWidth="1"/>
    <col min="6214" max="6214" width="7.25" style="3" customWidth="1"/>
    <col min="6215" max="6215" width="13.625" style="3" customWidth="1"/>
    <col min="6216" max="6216" width="9.75" style="3" customWidth="1"/>
    <col min="6217" max="6217" width="7.75" style="3" customWidth="1"/>
    <col min="6218" max="6218" width="14" style="3" customWidth="1"/>
    <col min="6219" max="6219" width="6" style="3" customWidth="1"/>
    <col min="6220" max="6220" width="7.25" style="3" customWidth="1"/>
    <col min="6221" max="6221" width="13.625" style="3" customWidth="1"/>
    <col min="6222" max="6222" width="9.75" style="3" customWidth="1"/>
    <col min="6223" max="6223" width="14" style="3" customWidth="1"/>
    <col min="6224" max="6224" width="5.875" style="3" customWidth="1"/>
    <col min="6225" max="6225" width="7.25" style="3" customWidth="1"/>
    <col min="6226" max="6226" width="13.5" style="3" customWidth="1"/>
    <col min="6227" max="6227" width="9.75" style="3" customWidth="1"/>
    <col min="6228" max="6228" width="14" style="3" customWidth="1"/>
    <col min="6229" max="6229" width="5.875" style="3" customWidth="1"/>
    <col min="6230" max="6230" width="7.25" style="3" customWidth="1"/>
    <col min="6231" max="6231" width="13.625" style="3" customWidth="1"/>
    <col min="6232" max="6233" width="13.5" style="3" customWidth="1"/>
    <col min="6234" max="6235" width="13.625" style="3" customWidth="1"/>
    <col min="6236" max="6236" width="14" style="3" customWidth="1"/>
    <col min="6237" max="6237" width="10.875" style="3" customWidth="1"/>
    <col min="6238" max="6238" width="7.25" style="3" customWidth="1"/>
    <col min="6239" max="6240" width="13.5" style="3" customWidth="1"/>
    <col min="6241" max="6242" width="13.625" style="3" customWidth="1"/>
    <col min="6243" max="6243" width="14" style="3" customWidth="1"/>
    <col min="6244" max="6244" width="10.875" style="3" customWidth="1"/>
    <col min="6245" max="6245" width="7.25" style="3" customWidth="1"/>
    <col min="6246" max="6246" width="13.5" style="3" customWidth="1"/>
    <col min="6247" max="6247" width="13.625" style="3" customWidth="1"/>
    <col min="6248" max="6248" width="14" style="3" customWidth="1"/>
    <col min="6249" max="6249" width="6.625" style="3" customWidth="1"/>
    <col min="6250" max="6250" width="8" style="3" customWidth="1"/>
    <col min="6251" max="6252" width="13.5" style="3" customWidth="1"/>
    <col min="6253" max="6254" width="13.625" style="3" customWidth="1"/>
    <col min="6255" max="6255" width="13.875" style="3" customWidth="1"/>
    <col min="6256" max="6256" width="7.25" style="3" customWidth="1"/>
    <col min="6257" max="6257" width="8" style="3" customWidth="1"/>
    <col min="6258" max="6258" width="14.75" style="3" customWidth="1"/>
    <col min="6259" max="6259" width="13.625" style="3" customWidth="1"/>
    <col min="6260" max="6260" width="14.875" style="3" customWidth="1"/>
    <col min="6261" max="6261" width="13.75" style="3" customWidth="1"/>
    <col min="6262" max="6262" width="14" style="3" customWidth="1"/>
    <col min="6263" max="6263" width="6.625" style="3" customWidth="1"/>
    <col min="6264" max="6264" width="8" style="3" customWidth="1"/>
    <col min="6265" max="6265" width="14.75" style="3" customWidth="1"/>
    <col min="6266" max="6266" width="13.625" style="3" customWidth="1"/>
    <col min="6267" max="6268" width="14.875" style="3" customWidth="1"/>
    <col min="6269" max="6269" width="14" style="3" customWidth="1"/>
    <col min="6270" max="6270" width="6.625" style="3" customWidth="1"/>
    <col min="6271" max="6271" width="8" style="3" customWidth="1"/>
    <col min="6272" max="6272" width="14.75" style="3" customWidth="1"/>
    <col min="6273" max="6273" width="13.625" style="3" customWidth="1"/>
    <col min="6274" max="6274" width="14.875" style="3" customWidth="1"/>
    <col min="6275" max="6275" width="13.75" style="3" customWidth="1"/>
    <col min="6276" max="6276" width="14" style="3" customWidth="1"/>
    <col min="6277" max="6277" width="25" style="3" customWidth="1"/>
    <col min="6278" max="6282" width="28.5" style="3" customWidth="1"/>
    <col min="6283" max="6460" width="9" style="3"/>
    <col min="6461" max="6461" width="11.25" style="3" customWidth="1"/>
    <col min="6462" max="6462" width="5" style="3" customWidth="1"/>
    <col min="6463" max="6463" width="6.625" style="3" customWidth="1"/>
    <col min="6464" max="6464" width="7.625" style="3" customWidth="1"/>
    <col min="6465" max="6465" width="5.5" style="3" customWidth="1"/>
    <col min="6466" max="6466" width="14" style="3" customWidth="1"/>
    <col min="6467" max="6467" width="12.5" style="3" customWidth="1"/>
    <col min="6468" max="6469" width="6" style="3" customWidth="1"/>
    <col min="6470" max="6470" width="7.25" style="3" customWidth="1"/>
    <col min="6471" max="6471" width="13.625" style="3" customWidth="1"/>
    <col min="6472" max="6472" width="9.75" style="3" customWidth="1"/>
    <col min="6473" max="6473" width="7.75" style="3" customWidth="1"/>
    <col min="6474" max="6474" width="14" style="3" customWidth="1"/>
    <col min="6475" max="6475" width="6" style="3" customWidth="1"/>
    <col min="6476" max="6476" width="7.25" style="3" customWidth="1"/>
    <col min="6477" max="6477" width="13.625" style="3" customWidth="1"/>
    <col min="6478" max="6478" width="9.75" style="3" customWidth="1"/>
    <col min="6479" max="6479" width="14" style="3" customWidth="1"/>
    <col min="6480" max="6480" width="5.875" style="3" customWidth="1"/>
    <col min="6481" max="6481" width="7.25" style="3" customWidth="1"/>
    <col min="6482" max="6482" width="13.5" style="3" customWidth="1"/>
    <col min="6483" max="6483" width="9.75" style="3" customWidth="1"/>
    <col min="6484" max="6484" width="14" style="3" customWidth="1"/>
    <col min="6485" max="6485" width="5.875" style="3" customWidth="1"/>
    <col min="6486" max="6486" width="7.25" style="3" customWidth="1"/>
    <col min="6487" max="6487" width="13.625" style="3" customWidth="1"/>
    <col min="6488" max="6489" width="13.5" style="3" customWidth="1"/>
    <col min="6490" max="6491" width="13.625" style="3" customWidth="1"/>
    <col min="6492" max="6492" width="14" style="3" customWidth="1"/>
    <col min="6493" max="6493" width="10.875" style="3" customWidth="1"/>
    <col min="6494" max="6494" width="7.25" style="3" customWidth="1"/>
    <col min="6495" max="6496" width="13.5" style="3" customWidth="1"/>
    <col min="6497" max="6498" width="13.625" style="3" customWidth="1"/>
    <col min="6499" max="6499" width="14" style="3" customWidth="1"/>
    <col min="6500" max="6500" width="10.875" style="3" customWidth="1"/>
    <col min="6501" max="6501" width="7.25" style="3" customWidth="1"/>
    <col min="6502" max="6502" width="13.5" style="3" customWidth="1"/>
    <col min="6503" max="6503" width="13.625" style="3" customWidth="1"/>
    <col min="6504" max="6504" width="14" style="3" customWidth="1"/>
    <col min="6505" max="6505" width="6.625" style="3" customWidth="1"/>
    <col min="6506" max="6506" width="8" style="3" customWidth="1"/>
    <col min="6507" max="6508" width="13.5" style="3" customWidth="1"/>
    <col min="6509" max="6510" width="13.625" style="3" customWidth="1"/>
    <col min="6511" max="6511" width="13.875" style="3" customWidth="1"/>
    <col min="6512" max="6512" width="7.25" style="3" customWidth="1"/>
    <col min="6513" max="6513" width="8" style="3" customWidth="1"/>
    <col min="6514" max="6514" width="14.75" style="3" customWidth="1"/>
    <col min="6515" max="6515" width="13.625" style="3" customWidth="1"/>
    <col min="6516" max="6516" width="14.875" style="3" customWidth="1"/>
    <col min="6517" max="6517" width="13.75" style="3" customWidth="1"/>
    <col min="6518" max="6518" width="14" style="3" customWidth="1"/>
    <col min="6519" max="6519" width="6.625" style="3" customWidth="1"/>
    <col min="6520" max="6520" width="8" style="3" customWidth="1"/>
    <col min="6521" max="6521" width="14.75" style="3" customWidth="1"/>
    <col min="6522" max="6522" width="13.625" style="3" customWidth="1"/>
    <col min="6523" max="6524" width="14.875" style="3" customWidth="1"/>
    <col min="6525" max="6525" width="14" style="3" customWidth="1"/>
    <col min="6526" max="6526" width="6.625" style="3" customWidth="1"/>
    <col min="6527" max="6527" width="8" style="3" customWidth="1"/>
    <col min="6528" max="6528" width="14.75" style="3" customWidth="1"/>
    <col min="6529" max="6529" width="13.625" style="3" customWidth="1"/>
    <col min="6530" max="6530" width="14.875" style="3" customWidth="1"/>
    <col min="6531" max="6531" width="13.75" style="3" customWidth="1"/>
    <col min="6532" max="6532" width="14" style="3" customWidth="1"/>
    <col min="6533" max="6533" width="25" style="3" customWidth="1"/>
    <col min="6534" max="6538" width="28.5" style="3" customWidth="1"/>
    <col min="6539" max="6716" width="9" style="3"/>
    <col min="6717" max="6717" width="11.25" style="3" customWidth="1"/>
    <col min="6718" max="6718" width="5" style="3" customWidth="1"/>
    <col min="6719" max="6719" width="6.625" style="3" customWidth="1"/>
    <col min="6720" max="6720" width="7.625" style="3" customWidth="1"/>
    <col min="6721" max="6721" width="5.5" style="3" customWidth="1"/>
    <col min="6722" max="6722" width="14" style="3" customWidth="1"/>
    <col min="6723" max="6723" width="12.5" style="3" customWidth="1"/>
    <col min="6724" max="6725" width="6" style="3" customWidth="1"/>
    <col min="6726" max="6726" width="7.25" style="3" customWidth="1"/>
    <col min="6727" max="6727" width="13.625" style="3" customWidth="1"/>
    <col min="6728" max="6728" width="9.75" style="3" customWidth="1"/>
    <col min="6729" max="6729" width="7.75" style="3" customWidth="1"/>
    <col min="6730" max="6730" width="14" style="3" customWidth="1"/>
    <col min="6731" max="6731" width="6" style="3" customWidth="1"/>
    <col min="6732" max="6732" width="7.25" style="3" customWidth="1"/>
    <col min="6733" max="6733" width="13.625" style="3" customWidth="1"/>
    <col min="6734" max="6734" width="9.75" style="3" customWidth="1"/>
    <col min="6735" max="6735" width="14" style="3" customWidth="1"/>
    <col min="6736" max="6736" width="5.875" style="3" customWidth="1"/>
    <col min="6737" max="6737" width="7.25" style="3" customWidth="1"/>
    <col min="6738" max="6738" width="13.5" style="3" customWidth="1"/>
    <col min="6739" max="6739" width="9.75" style="3" customWidth="1"/>
    <col min="6740" max="6740" width="14" style="3" customWidth="1"/>
    <col min="6741" max="6741" width="5.875" style="3" customWidth="1"/>
    <col min="6742" max="6742" width="7.25" style="3" customWidth="1"/>
    <col min="6743" max="6743" width="13.625" style="3" customWidth="1"/>
    <col min="6744" max="6745" width="13.5" style="3" customWidth="1"/>
    <col min="6746" max="6747" width="13.625" style="3" customWidth="1"/>
    <col min="6748" max="6748" width="14" style="3" customWidth="1"/>
    <col min="6749" max="6749" width="10.875" style="3" customWidth="1"/>
    <col min="6750" max="6750" width="7.25" style="3" customWidth="1"/>
    <col min="6751" max="6752" width="13.5" style="3" customWidth="1"/>
    <col min="6753" max="6754" width="13.625" style="3" customWidth="1"/>
    <col min="6755" max="6755" width="14" style="3" customWidth="1"/>
    <col min="6756" max="6756" width="10.875" style="3" customWidth="1"/>
    <col min="6757" max="6757" width="7.25" style="3" customWidth="1"/>
    <col min="6758" max="6758" width="13.5" style="3" customWidth="1"/>
    <col min="6759" max="6759" width="13.625" style="3" customWidth="1"/>
    <col min="6760" max="6760" width="14" style="3" customWidth="1"/>
    <col min="6761" max="6761" width="6.625" style="3" customWidth="1"/>
    <col min="6762" max="6762" width="8" style="3" customWidth="1"/>
    <col min="6763" max="6764" width="13.5" style="3" customWidth="1"/>
    <col min="6765" max="6766" width="13.625" style="3" customWidth="1"/>
    <col min="6767" max="6767" width="13.875" style="3" customWidth="1"/>
    <col min="6768" max="6768" width="7.25" style="3" customWidth="1"/>
    <col min="6769" max="6769" width="8" style="3" customWidth="1"/>
    <col min="6770" max="6770" width="14.75" style="3" customWidth="1"/>
    <col min="6771" max="6771" width="13.625" style="3" customWidth="1"/>
    <col min="6772" max="6772" width="14.875" style="3" customWidth="1"/>
    <col min="6773" max="6773" width="13.75" style="3" customWidth="1"/>
    <col min="6774" max="6774" width="14" style="3" customWidth="1"/>
    <col min="6775" max="6775" width="6.625" style="3" customWidth="1"/>
    <col min="6776" max="6776" width="8" style="3" customWidth="1"/>
    <col min="6777" max="6777" width="14.75" style="3" customWidth="1"/>
    <col min="6778" max="6778" width="13.625" style="3" customWidth="1"/>
    <col min="6779" max="6780" width="14.875" style="3" customWidth="1"/>
    <col min="6781" max="6781" width="14" style="3" customWidth="1"/>
    <col min="6782" max="6782" width="6.625" style="3" customWidth="1"/>
    <col min="6783" max="6783" width="8" style="3" customWidth="1"/>
    <col min="6784" max="6784" width="14.75" style="3" customWidth="1"/>
    <col min="6785" max="6785" width="13.625" style="3" customWidth="1"/>
    <col min="6786" max="6786" width="14.875" style="3" customWidth="1"/>
    <col min="6787" max="6787" width="13.75" style="3" customWidth="1"/>
    <col min="6788" max="6788" width="14" style="3" customWidth="1"/>
    <col min="6789" max="6789" width="25" style="3" customWidth="1"/>
    <col min="6790" max="6794" width="28.5" style="3" customWidth="1"/>
    <col min="6795" max="6972" width="9" style="3"/>
    <col min="6973" max="6973" width="11.25" style="3" customWidth="1"/>
    <col min="6974" max="6974" width="5" style="3" customWidth="1"/>
    <col min="6975" max="6975" width="6.625" style="3" customWidth="1"/>
    <col min="6976" max="6976" width="7.625" style="3" customWidth="1"/>
    <col min="6977" max="6977" width="5.5" style="3" customWidth="1"/>
    <col min="6978" max="6978" width="14" style="3" customWidth="1"/>
    <col min="6979" max="6979" width="12.5" style="3" customWidth="1"/>
    <col min="6980" max="6981" width="6" style="3" customWidth="1"/>
    <col min="6982" max="6982" width="7.25" style="3" customWidth="1"/>
    <col min="6983" max="6983" width="13.625" style="3" customWidth="1"/>
    <col min="6984" max="6984" width="9.75" style="3" customWidth="1"/>
    <col min="6985" max="6985" width="7.75" style="3" customWidth="1"/>
    <col min="6986" max="6986" width="14" style="3" customWidth="1"/>
    <col min="6987" max="6987" width="6" style="3" customWidth="1"/>
    <col min="6988" max="6988" width="7.25" style="3" customWidth="1"/>
    <col min="6989" max="6989" width="13.625" style="3" customWidth="1"/>
    <col min="6990" max="6990" width="9.75" style="3" customWidth="1"/>
    <col min="6991" max="6991" width="14" style="3" customWidth="1"/>
    <col min="6992" max="6992" width="5.875" style="3" customWidth="1"/>
    <col min="6993" max="6993" width="7.25" style="3" customWidth="1"/>
    <col min="6994" max="6994" width="13.5" style="3" customWidth="1"/>
    <col min="6995" max="6995" width="9.75" style="3" customWidth="1"/>
    <col min="6996" max="6996" width="14" style="3" customWidth="1"/>
    <col min="6997" max="6997" width="5.875" style="3" customWidth="1"/>
    <col min="6998" max="6998" width="7.25" style="3" customWidth="1"/>
    <col min="6999" max="6999" width="13.625" style="3" customWidth="1"/>
    <col min="7000" max="7001" width="13.5" style="3" customWidth="1"/>
    <col min="7002" max="7003" width="13.625" style="3" customWidth="1"/>
    <col min="7004" max="7004" width="14" style="3" customWidth="1"/>
    <col min="7005" max="7005" width="10.875" style="3" customWidth="1"/>
    <col min="7006" max="7006" width="7.25" style="3" customWidth="1"/>
    <col min="7007" max="7008" width="13.5" style="3" customWidth="1"/>
    <col min="7009" max="7010" width="13.625" style="3" customWidth="1"/>
    <col min="7011" max="7011" width="14" style="3" customWidth="1"/>
    <col min="7012" max="7012" width="10.875" style="3" customWidth="1"/>
    <col min="7013" max="7013" width="7.25" style="3" customWidth="1"/>
    <col min="7014" max="7014" width="13.5" style="3" customWidth="1"/>
    <col min="7015" max="7015" width="13.625" style="3" customWidth="1"/>
    <col min="7016" max="7016" width="14" style="3" customWidth="1"/>
    <col min="7017" max="7017" width="6.625" style="3" customWidth="1"/>
    <col min="7018" max="7018" width="8" style="3" customWidth="1"/>
    <col min="7019" max="7020" width="13.5" style="3" customWidth="1"/>
    <col min="7021" max="7022" width="13.625" style="3" customWidth="1"/>
    <col min="7023" max="7023" width="13.875" style="3" customWidth="1"/>
    <col min="7024" max="7024" width="7.25" style="3" customWidth="1"/>
    <col min="7025" max="7025" width="8" style="3" customWidth="1"/>
    <col min="7026" max="7026" width="14.75" style="3" customWidth="1"/>
    <col min="7027" max="7027" width="13.625" style="3" customWidth="1"/>
    <col min="7028" max="7028" width="14.875" style="3" customWidth="1"/>
    <col min="7029" max="7029" width="13.75" style="3" customWidth="1"/>
    <col min="7030" max="7030" width="14" style="3" customWidth="1"/>
    <col min="7031" max="7031" width="6.625" style="3" customWidth="1"/>
    <col min="7032" max="7032" width="8" style="3" customWidth="1"/>
    <col min="7033" max="7033" width="14.75" style="3" customWidth="1"/>
    <col min="7034" max="7034" width="13.625" style="3" customWidth="1"/>
    <col min="7035" max="7036" width="14.875" style="3" customWidth="1"/>
    <col min="7037" max="7037" width="14" style="3" customWidth="1"/>
    <col min="7038" max="7038" width="6.625" style="3" customWidth="1"/>
    <col min="7039" max="7039" width="8" style="3" customWidth="1"/>
    <col min="7040" max="7040" width="14.75" style="3" customWidth="1"/>
    <col min="7041" max="7041" width="13.625" style="3" customWidth="1"/>
    <col min="7042" max="7042" width="14.875" style="3" customWidth="1"/>
    <col min="7043" max="7043" width="13.75" style="3" customWidth="1"/>
    <col min="7044" max="7044" width="14" style="3" customWidth="1"/>
    <col min="7045" max="7045" width="25" style="3" customWidth="1"/>
    <col min="7046" max="7050" width="28.5" style="3" customWidth="1"/>
    <col min="7051" max="7228" width="9" style="3"/>
    <col min="7229" max="7229" width="11.25" style="3" customWidth="1"/>
    <col min="7230" max="7230" width="5" style="3" customWidth="1"/>
    <col min="7231" max="7231" width="6.625" style="3" customWidth="1"/>
    <col min="7232" max="7232" width="7.625" style="3" customWidth="1"/>
    <col min="7233" max="7233" width="5.5" style="3" customWidth="1"/>
    <col min="7234" max="7234" width="14" style="3" customWidth="1"/>
    <col min="7235" max="7235" width="12.5" style="3" customWidth="1"/>
    <col min="7236" max="7237" width="6" style="3" customWidth="1"/>
    <col min="7238" max="7238" width="7.25" style="3" customWidth="1"/>
    <col min="7239" max="7239" width="13.625" style="3" customWidth="1"/>
    <col min="7240" max="7240" width="9.75" style="3" customWidth="1"/>
    <col min="7241" max="7241" width="7.75" style="3" customWidth="1"/>
    <col min="7242" max="7242" width="14" style="3" customWidth="1"/>
    <col min="7243" max="7243" width="6" style="3" customWidth="1"/>
    <col min="7244" max="7244" width="7.25" style="3" customWidth="1"/>
    <col min="7245" max="7245" width="13.625" style="3" customWidth="1"/>
    <col min="7246" max="7246" width="9.75" style="3" customWidth="1"/>
    <col min="7247" max="7247" width="14" style="3" customWidth="1"/>
    <col min="7248" max="7248" width="5.875" style="3" customWidth="1"/>
    <col min="7249" max="7249" width="7.25" style="3" customWidth="1"/>
    <col min="7250" max="7250" width="13.5" style="3" customWidth="1"/>
    <col min="7251" max="7251" width="9.75" style="3" customWidth="1"/>
    <col min="7252" max="7252" width="14" style="3" customWidth="1"/>
    <col min="7253" max="7253" width="5.875" style="3" customWidth="1"/>
    <col min="7254" max="7254" width="7.25" style="3" customWidth="1"/>
    <col min="7255" max="7255" width="13.625" style="3" customWidth="1"/>
    <col min="7256" max="7257" width="13.5" style="3" customWidth="1"/>
    <col min="7258" max="7259" width="13.625" style="3" customWidth="1"/>
    <col min="7260" max="7260" width="14" style="3" customWidth="1"/>
    <col min="7261" max="7261" width="10.875" style="3" customWidth="1"/>
    <col min="7262" max="7262" width="7.25" style="3" customWidth="1"/>
    <col min="7263" max="7264" width="13.5" style="3" customWidth="1"/>
    <col min="7265" max="7266" width="13.625" style="3" customWidth="1"/>
    <col min="7267" max="7267" width="14" style="3" customWidth="1"/>
    <col min="7268" max="7268" width="10.875" style="3" customWidth="1"/>
    <col min="7269" max="7269" width="7.25" style="3" customWidth="1"/>
    <col min="7270" max="7270" width="13.5" style="3" customWidth="1"/>
    <col min="7271" max="7271" width="13.625" style="3" customWidth="1"/>
    <col min="7272" max="7272" width="14" style="3" customWidth="1"/>
    <col min="7273" max="7273" width="6.625" style="3" customWidth="1"/>
    <col min="7274" max="7274" width="8" style="3" customWidth="1"/>
    <col min="7275" max="7276" width="13.5" style="3" customWidth="1"/>
    <col min="7277" max="7278" width="13.625" style="3" customWidth="1"/>
    <col min="7279" max="7279" width="13.875" style="3" customWidth="1"/>
    <col min="7280" max="7280" width="7.25" style="3" customWidth="1"/>
    <col min="7281" max="7281" width="8" style="3" customWidth="1"/>
    <col min="7282" max="7282" width="14.75" style="3" customWidth="1"/>
    <col min="7283" max="7283" width="13.625" style="3" customWidth="1"/>
    <col min="7284" max="7284" width="14.875" style="3" customWidth="1"/>
    <col min="7285" max="7285" width="13.75" style="3" customWidth="1"/>
    <col min="7286" max="7286" width="14" style="3" customWidth="1"/>
    <col min="7287" max="7287" width="6.625" style="3" customWidth="1"/>
    <col min="7288" max="7288" width="8" style="3" customWidth="1"/>
    <col min="7289" max="7289" width="14.75" style="3" customWidth="1"/>
    <col min="7290" max="7290" width="13.625" style="3" customWidth="1"/>
    <col min="7291" max="7292" width="14.875" style="3" customWidth="1"/>
    <col min="7293" max="7293" width="14" style="3" customWidth="1"/>
    <col min="7294" max="7294" width="6.625" style="3" customWidth="1"/>
    <col min="7295" max="7295" width="8" style="3" customWidth="1"/>
    <col min="7296" max="7296" width="14.75" style="3" customWidth="1"/>
    <col min="7297" max="7297" width="13.625" style="3" customWidth="1"/>
    <col min="7298" max="7298" width="14.875" style="3" customWidth="1"/>
    <col min="7299" max="7299" width="13.75" style="3" customWidth="1"/>
    <col min="7300" max="7300" width="14" style="3" customWidth="1"/>
    <col min="7301" max="7301" width="25" style="3" customWidth="1"/>
    <col min="7302" max="7306" width="28.5" style="3" customWidth="1"/>
    <col min="7307" max="7484" width="9" style="3"/>
    <col min="7485" max="7485" width="11.25" style="3" customWidth="1"/>
    <col min="7486" max="7486" width="5" style="3" customWidth="1"/>
    <col min="7487" max="7487" width="6.625" style="3" customWidth="1"/>
    <col min="7488" max="7488" width="7.625" style="3" customWidth="1"/>
    <col min="7489" max="7489" width="5.5" style="3" customWidth="1"/>
    <col min="7490" max="7490" width="14" style="3" customWidth="1"/>
    <col min="7491" max="7491" width="12.5" style="3" customWidth="1"/>
    <col min="7492" max="7493" width="6" style="3" customWidth="1"/>
    <col min="7494" max="7494" width="7.25" style="3" customWidth="1"/>
    <col min="7495" max="7495" width="13.625" style="3" customWidth="1"/>
    <col min="7496" max="7496" width="9.75" style="3" customWidth="1"/>
    <col min="7497" max="7497" width="7.75" style="3" customWidth="1"/>
    <col min="7498" max="7498" width="14" style="3" customWidth="1"/>
    <col min="7499" max="7499" width="6" style="3" customWidth="1"/>
    <col min="7500" max="7500" width="7.25" style="3" customWidth="1"/>
    <col min="7501" max="7501" width="13.625" style="3" customWidth="1"/>
    <col min="7502" max="7502" width="9.75" style="3" customWidth="1"/>
    <col min="7503" max="7503" width="14" style="3" customWidth="1"/>
    <col min="7504" max="7504" width="5.875" style="3" customWidth="1"/>
    <col min="7505" max="7505" width="7.25" style="3" customWidth="1"/>
    <col min="7506" max="7506" width="13.5" style="3" customWidth="1"/>
    <col min="7507" max="7507" width="9.75" style="3" customWidth="1"/>
    <col min="7508" max="7508" width="14" style="3" customWidth="1"/>
    <col min="7509" max="7509" width="5.875" style="3" customWidth="1"/>
    <col min="7510" max="7510" width="7.25" style="3" customWidth="1"/>
    <col min="7511" max="7511" width="13.625" style="3" customWidth="1"/>
    <col min="7512" max="7513" width="13.5" style="3" customWidth="1"/>
    <col min="7514" max="7515" width="13.625" style="3" customWidth="1"/>
    <col min="7516" max="7516" width="14" style="3" customWidth="1"/>
    <col min="7517" max="7517" width="10.875" style="3" customWidth="1"/>
    <col min="7518" max="7518" width="7.25" style="3" customWidth="1"/>
    <col min="7519" max="7520" width="13.5" style="3" customWidth="1"/>
    <col min="7521" max="7522" width="13.625" style="3" customWidth="1"/>
    <col min="7523" max="7523" width="14" style="3" customWidth="1"/>
    <col min="7524" max="7524" width="10.875" style="3" customWidth="1"/>
    <col min="7525" max="7525" width="7.25" style="3" customWidth="1"/>
    <col min="7526" max="7526" width="13.5" style="3" customWidth="1"/>
    <col min="7527" max="7527" width="13.625" style="3" customWidth="1"/>
    <col min="7528" max="7528" width="14" style="3" customWidth="1"/>
    <col min="7529" max="7529" width="6.625" style="3" customWidth="1"/>
    <col min="7530" max="7530" width="8" style="3" customWidth="1"/>
    <col min="7531" max="7532" width="13.5" style="3" customWidth="1"/>
    <col min="7533" max="7534" width="13.625" style="3" customWidth="1"/>
    <col min="7535" max="7535" width="13.875" style="3" customWidth="1"/>
    <col min="7536" max="7536" width="7.25" style="3" customWidth="1"/>
    <col min="7537" max="7537" width="8" style="3" customWidth="1"/>
    <col min="7538" max="7538" width="14.75" style="3" customWidth="1"/>
    <col min="7539" max="7539" width="13.625" style="3" customWidth="1"/>
    <col min="7540" max="7540" width="14.875" style="3" customWidth="1"/>
    <col min="7541" max="7541" width="13.75" style="3" customWidth="1"/>
    <col min="7542" max="7542" width="14" style="3" customWidth="1"/>
    <col min="7543" max="7543" width="6.625" style="3" customWidth="1"/>
    <col min="7544" max="7544" width="8" style="3" customWidth="1"/>
    <col min="7545" max="7545" width="14.75" style="3" customWidth="1"/>
    <col min="7546" max="7546" width="13.625" style="3" customWidth="1"/>
    <col min="7547" max="7548" width="14.875" style="3" customWidth="1"/>
    <col min="7549" max="7549" width="14" style="3" customWidth="1"/>
    <col min="7550" max="7550" width="6.625" style="3" customWidth="1"/>
    <col min="7551" max="7551" width="8" style="3" customWidth="1"/>
    <col min="7552" max="7552" width="14.75" style="3" customWidth="1"/>
    <col min="7553" max="7553" width="13.625" style="3" customWidth="1"/>
    <col min="7554" max="7554" width="14.875" style="3" customWidth="1"/>
    <col min="7555" max="7555" width="13.75" style="3" customWidth="1"/>
    <col min="7556" max="7556" width="14" style="3" customWidth="1"/>
    <col min="7557" max="7557" width="25" style="3" customWidth="1"/>
    <col min="7558" max="7562" width="28.5" style="3" customWidth="1"/>
    <col min="7563" max="7740" width="9" style="3"/>
    <col min="7741" max="7741" width="11.25" style="3" customWidth="1"/>
    <col min="7742" max="7742" width="5" style="3" customWidth="1"/>
    <col min="7743" max="7743" width="6.625" style="3" customWidth="1"/>
    <col min="7744" max="7744" width="7.625" style="3" customWidth="1"/>
    <col min="7745" max="7745" width="5.5" style="3" customWidth="1"/>
    <col min="7746" max="7746" width="14" style="3" customWidth="1"/>
    <col min="7747" max="7747" width="12.5" style="3" customWidth="1"/>
    <col min="7748" max="7749" width="6" style="3" customWidth="1"/>
    <col min="7750" max="7750" width="7.25" style="3" customWidth="1"/>
    <col min="7751" max="7751" width="13.625" style="3" customWidth="1"/>
    <col min="7752" max="7752" width="9.75" style="3" customWidth="1"/>
    <col min="7753" max="7753" width="7.75" style="3" customWidth="1"/>
    <col min="7754" max="7754" width="14" style="3" customWidth="1"/>
    <col min="7755" max="7755" width="6" style="3" customWidth="1"/>
    <col min="7756" max="7756" width="7.25" style="3" customWidth="1"/>
    <col min="7757" max="7757" width="13.625" style="3" customWidth="1"/>
    <col min="7758" max="7758" width="9.75" style="3" customWidth="1"/>
    <col min="7759" max="7759" width="14" style="3" customWidth="1"/>
    <col min="7760" max="7760" width="5.875" style="3" customWidth="1"/>
    <col min="7761" max="7761" width="7.25" style="3" customWidth="1"/>
    <col min="7762" max="7762" width="13.5" style="3" customWidth="1"/>
    <col min="7763" max="7763" width="9.75" style="3" customWidth="1"/>
    <col min="7764" max="7764" width="14" style="3" customWidth="1"/>
    <col min="7765" max="7765" width="5.875" style="3" customWidth="1"/>
    <col min="7766" max="7766" width="7.25" style="3" customWidth="1"/>
    <col min="7767" max="7767" width="13.625" style="3" customWidth="1"/>
    <col min="7768" max="7769" width="13.5" style="3" customWidth="1"/>
    <col min="7770" max="7771" width="13.625" style="3" customWidth="1"/>
    <col min="7772" max="7772" width="14" style="3" customWidth="1"/>
    <col min="7773" max="7773" width="10.875" style="3" customWidth="1"/>
    <col min="7774" max="7774" width="7.25" style="3" customWidth="1"/>
    <col min="7775" max="7776" width="13.5" style="3" customWidth="1"/>
    <col min="7777" max="7778" width="13.625" style="3" customWidth="1"/>
    <col min="7779" max="7779" width="14" style="3" customWidth="1"/>
    <col min="7780" max="7780" width="10.875" style="3" customWidth="1"/>
    <col min="7781" max="7781" width="7.25" style="3" customWidth="1"/>
    <col min="7782" max="7782" width="13.5" style="3" customWidth="1"/>
    <col min="7783" max="7783" width="13.625" style="3" customWidth="1"/>
    <col min="7784" max="7784" width="14" style="3" customWidth="1"/>
    <col min="7785" max="7785" width="6.625" style="3" customWidth="1"/>
    <col min="7786" max="7786" width="8" style="3" customWidth="1"/>
    <col min="7787" max="7788" width="13.5" style="3" customWidth="1"/>
    <col min="7789" max="7790" width="13.625" style="3" customWidth="1"/>
    <col min="7791" max="7791" width="13.875" style="3" customWidth="1"/>
    <col min="7792" max="7792" width="7.25" style="3" customWidth="1"/>
    <col min="7793" max="7793" width="8" style="3" customWidth="1"/>
    <col min="7794" max="7794" width="14.75" style="3" customWidth="1"/>
    <col min="7795" max="7795" width="13.625" style="3" customWidth="1"/>
    <col min="7796" max="7796" width="14.875" style="3" customWidth="1"/>
    <col min="7797" max="7797" width="13.75" style="3" customWidth="1"/>
    <col min="7798" max="7798" width="14" style="3" customWidth="1"/>
    <col min="7799" max="7799" width="6.625" style="3" customWidth="1"/>
    <col min="7800" max="7800" width="8" style="3" customWidth="1"/>
    <col min="7801" max="7801" width="14.75" style="3" customWidth="1"/>
    <col min="7802" max="7802" width="13.625" style="3" customWidth="1"/>
    <col min="7803" max="7804" width="14.875" style="3" customWidth="1"/>
    <col min="7805" max="7805" width="14" style="3" customWidth="1"/>
    <col min="7806" max="7806" width="6.625" style="3" customWidth="1"/>
    <col min="7807" max="7807" width="8" style="3" customWidth="1"/>
    <col min="7808" max="7808" width="14.75" style="3" customWidth="1"/>
    <col min="7809" max="7809" width="13.625" style="3" customWidth="1"/>
    <col min="7810" max="7810" width="14.875" style="3" customWidth="1"/>
    <col min="7811" max="7811" width="13.75" style="3" customWidth="1"/>
    <col min="7812" max="7812" width="14" style="3" customWidth="1"/>
    <col min="7813" max="7813" width="25" style="3" customWidth="1"/>
    <col min="7814" max="7818" width="28.5" style="3" customWidth="1"/>
    <col min="7819" max="7996" width="9" style="3"/>
    <col min="7997" max="7997" width="11.25" style="3" customWidth="1"/>
    <col min="7998" max="7998" width="5" style="3" customWidth="1"/>
    <col min="7999" max="7999" width="6.625" style="3" customWidth="1"/>
    <col min="8000" max="8000" width="7.625" style="3" customWidth="1"/>
    <col min="8001" max="8001" width="5.5" style="3" customWidth="1"/>
    <col min="8002" max="8002" width="14" style="3" customWidth="1"/>
    <col min="8003" max="8003" width="12.5" style="3" customWidth="1"/>
    <col min="8004" max="8005" width="6" style="3" customWidth="1"/>
    <col min="8006" max="8006" width="7.25" style="3" customWidth="1"/>
    <col min="8007" max="8007" width="13.625" style="3" customWidth="1"/>
    <col min="8008" max="8008" width="9.75" style="3" customWidth="1"/>
    <col min="8009" max="8009" width="7.75" style="3" customWidth="1"/>
    <col min="8010" max="8010" width="14" style="3" customWidth="1"/>
    <col min="8011" max="8011" width="6" style="3" customWidth="1"/>
    <col min="8012" max="8012" width="7.25" style="3" customWidth="1"/>
    <col min="8013" max="8013" width="13.625" style="3" customWidth="1"/>
    <col min="8014" max="8014" width="9.75" style="3" customWidth="1"/>
    <col min="8015" max="8015" width="14" style="3" customWidth="1"/>
    <col min="8016" max="8016" width="5.875" style="3" customWidth="1"/>
    <col min="8017" max="8017" width="7.25" style="3" customWidth="1"/>
    <col min="8018" max="8018" width="13.5" style="3" customWidth="1"/>
    <col min="8019" max="8019" width="9.75" style="3" customWidth="1"/>
    <col min="8020" max="8020" width="14" style="3" customWidth="1"/>
    <col min="8021" max="8021" width="5.875" style="3" customWidth="1"/>
    <col min="8022" max="8022" width="7.25" style="3" customWidth="1"/>
    <col min="8023" max="8023" width="13.625" style="3" customWidth="1"/>
    <col min="8024" max="8025" width="13.5" style="3" customWidth="1"/>
    <col min="8026" max="8027" width="13.625" style="3" customWidth="1"/>
    <col min="8028" max="8028" width="14" style="3" customWidth="1"/>
    <col min="8029" max="8029" width="10.875" style="3" customWidth="1"/>
    <col min="8030" max="8030" width="7.25" style="3" customWidth="1"/>
    <col min="8031" max="8032" width="13.5" style="3" customWidth="1"/>
    <col min="8033" max="8034" width="13.625" style="3" customWidth="1"/>
    <col min="8035" max="8035" width="14" style="3" customWidth="1"/>
    <col min="8036" max="8036" width="10.875" style="3" customWidth="1"/>
    <col min="8037" max="8037" width="7.25" style="3" customWidth="1"/>
    <col min="8038" max="8038" width="13.5" style="3" customWidth="1"/>
    <col min="8039" max="8039" width="13.625" style="3" customWidth="1"/>
    <col min="8040" max="8040" width="14" style="3" customWidth="1"/>
    <col min="8041" max="8041" width="6.625" style="3" customWidth="1"/>
    <col min="8042" max="8042" width="8" style="3" customWidth="1"/>
    <col min="8043" max="8044" width="13.5" style="3" customWidth="1"/>
    <col min="8045" max="8046" width="13.625" style="3" customWidth="1"/>
    <col min="8047" max="8047" width="13.875" style="3" customWidth="1"/>
    <col min="8048" max="8048" width="7.25" style="3" customWidth="1"/>
    <col min="8049" max="8049" width="8" style="3" customWidth="1"/>
    <col min="8050" max="8050" width="14.75" style="3" customWidth="1"/>
    <col min="8051" max="8051" width="13.625" style="3" customWidth="1"/>
    <col min="8052" max="8052" width="14.875" style="3" customWidth="1"/>
    <col min="8053" max="8053" width="13.75" style="3" customWidth="1"/>
    <col min="8054" max="8054" width="14" style="3" customWidth="1"/>
    <col min="8055" max="8055" width="6.625" style="3" customWidth="1"/>
    <col min="8056" max="8056" width="8" style="3" customWidth="1"/>
    <col min="8057" max="8057" width="14.75" style="3" customWidth="1"/>
    <col min="8058" max="8058" width="13.625" style="3" customWidth="1"/>
    <col min="8059" max="8060" width="14.875" style="3" customWidth="1"/>
    <col min="8061" max="8061" width="14" style="3" customWidth="1"/>
    <col min="8062" max="8062" width="6.625" style="3" customWidth="1"/>
    <col min="8063" max="8063" width="8" style="3" customWidth="1"/>
    <col min="8064" max="8064" width="14.75" style="3" customWidth="1"/>
    <col min="8065" max="8065" width="13.625" style="3" customWidth="1"/>
    <col min="8066" max="8066" width="14.875" style="3" customWidth="1"/>
    <col min="8067" max="8067" width="13.75" style="3" customWidth="1"/>
    <col min="8068" max="8068" width="14" style="3" customWidth="1"/>
    <col min="8069" max="8069" width="25" style="3" customWidth="1"/>
    <col min="8070" max="8074" width="28.5" style="3" customWidth="1"/>
    <col min="8075" max="8252" width="9" style="3"/>
    <col min="8253" max="8253" width="11.25" style="3" customWidth="1"/>
    <col min="8254" max="8254" width="5" style="3" customWidth="1"/>
    <col min="8255" max="8255" width="6.625" style="3" customWidth="1"/>
    <col min="8256" max="8256" width="7.625" style="3" customWidth="1"/>
    <col min="8257" max="8257" width="5.5" style="3" customWidth="1"/>
    <col min="8258" max="8258" width="14" style="3" customWidth="1"/>
    <col min="8259" max="8259" width="12.5" style="3" customWidth="1"/>
    <col min="8260" max="8261" width="6" style="3" customWidth="1"/>
    <col min="8262" max="8262" width="7.25" style="3" customWidth="1"/>
    <col min="8263" max="8263" width="13.625" style="3" customWidth="1"/>
    <col min="8264" max="8264" width="9.75" style="3" customWidth="1"/>
    <col min="8265" max="8265" width="7.75" style="3" customWidth="1"/>
    <col min="8266" max="8266" width="14" style="3" customWidth="1"/>
    <col min="8267" max="8267" width="6" style="3" customWidth="1"/>
    <col min="8268" max="8268" width="7.25" style="3" customWidth="1"/>
    <col min="8269" max="8269" width="13.625" style="3" customWidth="1"/>
    <col min="8270" max="8270" width="9.75" style="3" customWidth="1"/>
    <col min="8271" max="8271" width="14" style="3" customWidth="1"/>
    <col min="8272" max="8272" width="5.875" style="3" customWidth="1"/>
    <col min="8273" max="8273" width="7.25" style="3" customWidth="1"/>
    <col min="8274" max="8274" width="13.5" style="3" customWidth="1"/>
    <col min="8275" max="8275" width="9.75" style="3" customWidth="1"/>
    <col min="8276" max="8276" width="14" style="3" customWidth="1"/>
    <col min="8277" max="8277" width="5.875" style="3" customWidth="1"/>
    <col min="8278" max="8278" width="7.25" style="3" customWidth="1"/>
    <col min="8279" max="8279" width="13.625" style="3" customWidth="1"/>
    <col min="8280" max="8281" width="13.5" style="3" customWidth="1"/>
    <col min="8282" max="8283" width="13.625" style="3" customWidth="1"/>
    <col min="8284" max="8284" width="14" style="3" customWidth="1"/>
    <col min="8285" max="8285" width="10.875" style="3" customWidth="1"/>
    <col min="8286" max="8286" width="7.25" style="3" customWidth="1"/>
    <col min="8287" max="8288" width="13.5" style="3" customWidth="1"/>
    <col min="8289" max="8290" width="13.625" style="3" customWidth="1"/>
    <col min="8291" max="8291" width="14" style="3" customWidth="1"/>
    <col min="8292" max="8292" width="10.875" style="3" customWidth="1"/>
    <col min="8293" max="8293" width="7.25" style="3" customWidth="1"/>
    <col min="8294" max="8294" width="13.5" style="3" customWidth="1"/>
    <col min="8295" max="8295" width="13.625" style="3" customWidth="1"/>
    <col min="8296" max="8296" width="14" style="3" customWidth="1"/>
    <col min="8297" max="8297" width="6.625" style="3" customWidth="1"/>
    <col min="8298" max="8298" width="8" style="3" customWidth="1"/>
    <col min="8299" max="8300" width="13.5" style="3" customWidth="1"/>
    <col min="8301" max="8302" width="13.625" style="3" customWidth="1"/>
    <col min="8303" max="8303" width="13.875" style="3" customWidth="1"/>
    <col min="8304" max="8304" width="7.25" style="3" customWidth="1"/>
    <col min="8305" max="8305" width="8" style="3" customWidth="1"/>
    <col min="8306" max="8306" width="14.75" style="3" customWidth="1"/>
    <col min="8307" max="8307" width="13.625" style="3" customWidth="1"/>
    <col min="8308" max="8308" width="14.875" style="3" customWidth="1"/>
    <col min="8309" max="8309" width="13.75" style="3" customWidth="1"/>
    <col min="8310" max="8310" width="14" style="3" customWidth="1"/>
    <col min="8311" max="8311" width="6.625" style="3" customWidth="1"/>
    <col min="8312" max="8312" width="8" style="3" customWidth="1"/>
    <col min="8313" max="8313" width="14.75" style="3" customWidth="1"/>
    <col min="8314" max="8314" width="13.625" style="3" customWidth="1"/>
    <col min="8315" max="8316" width="14.875" style="3" customWidth="1"/>
    <col min="8317" max="8317" width="14" style="3" customWidth="1"/>
    <col min="8318" max="8318" width="6.625" style="3" customWidth="1"/>
    <col min="8319" max="8319" width="8" style="3" customWidth="1"/>
    <col min="8320" max="8320" width="14.75" style="3" customWidth="1"/>
    <col min="8321" max="8321" width="13.625" style="3" customWidth="1"/>
    <col min="8322" max="8322" width="14.875" style="3" customWidth="1"/>
    <col min="8323" max="8323" width="13.75" style="3" customWidth="1"/>
    <col min="8324" max="8324" width="14" style="3" customWidth="1"/>
    <col min="8325" max="8325" width="25" style="3" customWidth="1"/>
    <col min="8326" max="8330" width="28.5" style="3" customWidth="1"/>
    <col min="8331" max="8508" width="9" style="3"/>
    <col min="8509" max="8509" width="11.25" style="3" customWidth="1"/>
    <col min="8510" max="8510" width="5" style="3" customWidth="1"/>
    <col min="8511" max="8511" width="6.625" style="3" customWidth="1"/>
    <col min="8512" max="8512" width="7.625" style="3" customWidth="1"/>
    <col min="8513" max="8513" width="5.5" style="3" customWidth="1"/>
    <col min="8514" max="8514" width="14" style="3" customWidth="1"/>
    <col min="8515" max="8515" width="12.5" style="3" customWidth="1"/>
    <col min="8516" max="8517" width="6" style="3" customWidth="1"/>
    <col min="8518" max="8518" width="7.25" style="3" customWidth="1"/>
    <col min="8519" max="8519" width="13.625" style="3" customWidth="1"/>
    <col min="8520" max="8520" width="9.75" style="3" customWidth="1"/>
    <col min="8521" max="8521" width="7.75" style="3" customWidth="1"/>
    <col min="8522" max="8522" width="14" style="3" customWidth="1"/>
    <col min="8523" max="8523" width="6" style="3" customWidth="1"/>
    <col min="8524" max="8524" width="7.25" style="3" customWidth="1"/>
    <col min="8525" max="8525" width="13.625" style="3" customWidth="1"/>
    <col min="8526" max="8526" width="9.75" style="3" customWidth="1"/>
    <col min="8527" max="8527" width="14" style="3" customWidth="1"/>
    <col min="8528" max="8528" width="5.875" style="3" customWidth="1"/>
    <col min="8529" max="8529" width="7.25" style="3" customWidth="1"/>
    <col min="8530" max="8530" width="13.5" style="3" customWidth="1"/>
    <col min="8531" max="8531" width="9.75" style="3" customWidth="1"/>
    <col min="8532" max="8532" width="14" style="3" customWidth="1"/>
    <col min="8533" max="8533" width="5.875" style="3" customWidth="1"/>
    <col min="8534" max="8534" width="7.25" style="3" customWidth="1"/>
    <col min="8535" max="8535" width="13.625" style="3" customWidth="1"/>
    <col min="8536" max="8537" width="13.5" style="3" customWidth="1"/>
    <col min="8538" max="8539" width="13.625" style="3" customWidth="1"/>
    <col min="8540" max="8540" width="14" style="3" customWidth="1"/>
    <col min="8541" max="8541" width="10.875" style="3" customWidth="1"/>
    <col min="8542" max="8542" width="7.25" style="3" customWidth="1"/>
    <col min="8543" max="8544" width="13.5" style="3" customWidth="1"/>
    <col min="8545" max="8546" width="13.625" style="3" customWidth="1"/>
    <col min="8547" max="8547" width="14" style="3" customWidth="1"/>
    <col min="8548" max="8548" width="10.875" style="3" customWidth="1"/>
    <col min="8549" max="8549" width="7.25" style="3" customWidth="1"/>
    <col min="8550" max="8550" width="13.5" style="3" customWidth="1"/>
    <col min="8551" max="8551" width="13.625" style="3" customWidth="1"/>
    <col min="8552" max="8552" width="14" style="3" customWidth="1"/>
    <col min="8553" max="8553" width="6.625" style="3" customWidth="1"/>
    <col min="8554" max="8554" width="8" style="3" customWidth="1"/>
    <col min="8555" max="8556" width="13.5" style="3" customWidth="1"/>
    <col min="8557" max="8558" width="13.625" style="3" customWidth="1"/>
    <col min="8559" max="8559" width="13.875" style="3" customWidth="1"/>
    <col min="8560" max="8560" width="7.25" style="3" customWidth="1"/>
    <col min="8561" max="8561" width="8" style="3" customWidth="1"/>
    <col min="8562" max="8562" width="14.75" style="3" customWidth="1"/>
    <col min="8563" max="8563" width="13.625" style="3" customWidth="1"/>
    <col min="8564" max="8564" width="14.875" style="3" customWidth="1"/>
    <col min="8565" max="8565" width="13.75" style="3" customWidth="1"/>
    <col min="8566" max="8566" width="14" style="3" customWidth="1"/>
    <col min="8567" max="8567" width="6.625" style="3" customWidth="1"/>
    <col min="8568" max="8568" width="8" style="3" customWidth="1"/>
    <col min="8569" max="8569" width="14.75" style="3" customWidth="1"/>
    <col min="8570" max="8570" width="13.625" style="3" customWidth="1"/>
    <col min="8571" max="8572" width="14.875" style="3" customWidth="1"/>
    <col min="8573" max="8573" width="14" style="3" customWidth="1"/>
    <col min="8574" max="8574" width="6.625" style="3" customWidth="1"/>
    <col min="8575" max="8575" width="8" style="3" customWidth="1"/>
    <col min="8576" max="8576" width="14.75" style="3" customWidth="1"/>
    <col min="8577" max="8577" width="13.625" style="3" customWidth="1"/>
    <col min="8578" max="8578" width="14.875" style="3" customWidth="1"/>
    <col min="8579" max="8579" width="13.75" style="3" customWidth="1"/>
    <col min="8580" max="8580" width="14" style="3" customWidth="1"/>
    <col min="8581" max="8581" width="25" style="3" customWidth="1"/>
    <col min="8582" max="8586" width="28.5" style="3" customWidth="1"/>
    <col min="8587" max="8764" width="9" style="3"/>
    <col min="8765" max="8765" width="11.25" style="3" customWidth="1"/>
    <col min="8766" max="8766" width="5" style="3" customWidth="1"/>
    <col min="8767" max="8767" width="6.625" style="3" customWidth="1"/>
    <col min="8768" max="8768" width="7.625" style="3" customWidth="1"/>
    <col min="8769" max="8769" width="5.5" style="3" customWidth="1"/>
    <col min="8770" max="8770" width="14" style="3" customWidth="1"/>
    <col min="8771" max="8771" width="12.5" style="3" customWidth="1"/>
    <col min="8772" max="8773" width="6" style="3" customWidth="1"/>
    <col min="8774" max="8774" width="7.25" style="3" customWidth="1"/>
    <col min="8775" max="8775" width="13.625" style="3" customWidth="1"/>
    <col min="8776" max="8776" width="9.75" style="3" customWidth="1"/>
    <col min="8777" max="8777" width="7.75" style="3" customWidth="1"/>
    <col min="8778" max="8778" width="14" style="3" customWidth="1"/>
    <col min="8779" max="8779" width="6" style="3" customWidth="1"/>
    <col min="8780" max="8780" width="7.25" style="3" customWidth="1"/>
    <col min="8781" max="8781" width="13.625" style="3" customWidth="1"/>
    <col min="8782" max="8782" width="9.75" style="3" customWidth="1"/>
    <col min="8783" max="8783" width="14" style="3" customWidth="1"/>
    <col min="8784" max="8784" width="5.875" style="3" customWidth="1"/>
    <col min="8785" max="8785" width="7.25" style="3" customWidth="1"/>
    <col min="8786" max="8786" width="13.5" style="3" customWidth="1"/>
    <col min="8787" max="8787" width="9.75" style="3" customWidth="1"/>
    <col min="8788" max="8788" width="14" style="3" customWidth="1"/>
    <col min="8789" max="8789" width="5.875" style="3" customWidth="1"/>
    <col min="8790" max="8790" width="7.25" style="3" customWidth="1"/>
    <col min="8791" max="8791" width="13.625" style="3" customWidth="1"/>
    <col min="8792" max="8793" width="13.5" style="3" customWidth="1"/>
    <col min="8794" max="8795" width="13.625" style="3" customWidth="1"/>
    <col min="8796" max="8796" width="14" style="3" customWidth="1"/>
    <col min="8797" max="8797" width="10.875" style="3" customWidth="1"/>
    <col min="8798" max="8798" width="7.25" style="3" customWidth="1"/>
    <col min="8799" max="8800" width="13.5" style="3" customWidth="1"/>
    <col min="8801" max="8802" width="13.625" style="3" customWidth="1"/>
    <col min="8803" max="8803" width="14" style="3" customWidth="1"/>
    <col min="8804" max="8804" width="10.875" style="3" customWidth="1"/>
    <col min="8805" max="8805" width="7.25" style="3" customWidth="1"/>
    <col min="8806" max="8806" width="13.5" style="3" customWidth="1"/>
    <col min="8807" max="8807" width="13.625" style="3" customWidth="1"/>
    <col min="8808" max="8808" width="14" style="3" customWidth="1"/>
    <col min="8809" max="8809" width="6.625" style="3" customWidth="1"/>
    <col min="8810" max="8810" width="8" style="3" customWidth="1"/>
    <col min="8811" max="8812" width="13.5" style="3" customWidth="1"/>
    <col min="8813" max="8814" width="13.625" style="3" customWidth="1"/>
    <col min="8815" max="8815" width="13.875" style="3" customWidth="1"/>
    <col min="8816" max="8816" width="7.25" style="3" customWidth="1"/>
    <col min="8817" max="8817" width="8" style="3" customWidth="1"/>
    <col min="8818" max="8818" width="14.75" style="3" customWidth="1"/>
    <col min="8819" max="8819" width="13.625" style="3" customWidth="1"/>
    <col min="8820" max="8820" width="14.875" style="3" customWidth="1"/>
    <col min="8821" max="8821" width="13.75" style="3" customWidth="1"/>
    <col min="8822" max="8822" width="14" style="3" customWidth="1"/>
    <col min="8823" max="8823" width="6.625" style="3" customWidth="1"/>
    <col min="8824" max="8824" width="8" style="3" customWidth="1"/>
    <col min="8825" max="8825" width="14.75" style="3" customWidth="1"/>
    <col min="8826" max="8826" width="13.625" style="3" customWidth="1"/>
    <col min="8827" max="8828" width="14.875" style="3" customWidth="1"/>
    <col min="8829" max="8829" width="14" style="3" customWidth="1"/>
    <col min="8830" max="8830" width="6.625" style="3" customWidth="1"/>
    <col min="8831" max="8831" width="8" style="3" customWidth="1"/>
    <col min="8832" max="8832" width="14.75" style="3" customWidth="1"/>
    <col min="8833" max="8833" width="13.625" style="3" customWidth="1"/>
    <col min="8834" max="8834" width="14.875" style="3" customWidth="1"/>
    <col min="8835" max="8835" width="13.75" style="3" customWidth="1"/>
    <col min="8836" max="8836" width="14" style="3" customWidth="1"/>
    <col min="8837" max="8837" width="25" style="3" customWidth="1"/>
    <col min="8838" max="8842" width="28.5" style="3" customWidth="1"/>
    <col min="8843" max="9020" width="9" style="3"/>
    <col min="9021" max="9021" width="11.25" style="3" customWidth="1"/>
    <col min="9022" max="9022" width="5" style="3" customWidth="1"/>
    <col min="9023" max="9023" width="6.625" style="3" customWidth="1"/>
    <col min="9024" max="9024" width="7.625" style="3" customWidth="1"/>
    <col min="9025" max="9025" width="5.5" style="3" customWidth="1"/>
    <col min="9026" max="9026" width="14" style="3" customWidth="1"/>
    <col min="9027" max="9027" width="12.5" style="3" customWidth="1"/>
    <col min="9028" max="9029" width="6" style="3" customWidth="1"/>
    <col min="9030" max="9030" width="7.25" style="3" customWidth="1"/>
    <col min="9031" max="9031" width="13.625" style="3" customWidth="1"/>
    <col min="9032" max="9032" width="9.75" style="3" customWidth="1"/>
    <col min="9033" max="9033" width="7.75" style="3" customWidth="1"/>
    <col min="9034" max="9034" width="14" style="3" customWidth="1"/>
    <col min="9035" max="9035" width="6" style="3" customWidth="1"/>
    <col min="9036" max="9036" width="7.25" style="3" customWidth="1"/>
    <col min="9037" max="9037" width="13.625" style="3" customWidth="1"/>
    <col min="9038" max="9038" width="9.75" style="3" customWidth="1"/>
    <col min="9039" max="9039" width="14" style="3" customWidth="1"/>
    <col min="9040" max="9040" width="5.875" style="3" customWidth="1"/>
    <col min="9041" max="9041" width="7.25" style="3" customWidth="1"/>
    <col min="9042" max="9042" width="13.5" style="3" customWidth="1"/>
    <col min="9043" max="9043" width="9.75" style="3" customWidth="1"/>
    <col min="9044" max="9044" width="14" style="3" customWidth="1"/>
    <col min="9045" max="9045" width="5.875" style="3" customWidth="1"/>
    <col min="9046" max="9046" width="7.25" style="3" customWidth="1"/>
    <col min="9047" max="9047" width="13.625" style="3" customWidth="1"/>
    <col min="9048" max="9049" width="13.5" style="3" customWidth="1"/>
    <col min="9050" max="9051" width="13.625" style="3" customWidth="1"/>
    <col min="9052" max="9052" width="14" style="3" customWidth="1"/>
    <col min="9053" max="9053" width="10.875" style="3" customWidth="1"/>
    <col min="9054" max="9054" width="7.25" style="3" customWidth="1"/>
    <col min="9055" max="9056" width="13.5" style="3" customWidth="1"/>
    <col min="9057" max="9058" width="13.625" style="3" customWidth="1"/>
    <col min="9059" max="9059" width="14" style="3" customWidth="1"/>
    <col min="9060" max="9060" width="10.875" style="3" customWidth="1"/>
    <col min="9061" max="9061" width="7.25" style="3" customWidth="1"/>
    <col min="9062" max="9062" width="13.5" style="3" customWidth="1"/>
    <col min="9063" max="9063" width="13.625" style="3" customWidth="1"/>
    <col min="9064" max="9064" width="14" style="3" customWidth="1"/>
    <col min="9065" max="9065" width="6.625" style="3" customWidth="1"/>
    <col min="9066" max="9066" width="8" style="3" customWidth="1"/>
    <col min="9067" max="9068" width="13.5" style="3" customWidth="1"/>
    <col min="9069" max="9070" width="13.625" style="3" customWidth="1"/>
    <col min="9071" max="9071" width="13.875" style="3" customWidth="1"/>
    <col min="9072" max="9072" width="7.25" style="3" customWidth="1"/>
    <col min="9073" max="9073" width="8" style="3" customWidth="1"/>
    <col min="9074" max="9074" width="14.75" style="3" customWidth="1"/>
    <col min="9075" max="9075" width="13.625" style="3" customWidth="1"/>
    <col min="9076" max="9076" width="14.875" style="3" customWidth="1"/>
    <col min="9077" max="9077" width="13.75" style="3" customWidth="1"/>
    <col min="9078" max="9078" width="14" style="3" customWidth="1"/>
    <col min="9079" max="9079" width="6.625" style="3" customWidth="1"/>
    <col min="9080" max="9080" width="8" style="3" customWidth="1"/>
    <col min="9081" max="9081" width="14.75" style="3" customWidth="1"/>
    <col min="9082" max="9082" width="13.625" style="3" customWidth="1"/>
    <col min="9083" max="9084" width="14.875" style="3" customWidth="1"/>
    <col min="9085" max="9085" width="14" style="3" customWidth="1"/>
    <col min="9086" max="9086" width="6.625" style="3" customWidth="1"/>
    <col min="9087" max="9087" width="8" style="3" customWidth="1"/>
    <col min="9088" max="9088" width="14.75" style="3" customWidth="1"/>
    <col min="9089" max="9089" width="13.625" style="3" customWidth="1"/>
    <col min="9090" max="9090" width="14.875" style="3" customWidth="1"/>
    <col min="9091" max="9091" width="13.75" style="3" customWidth="1"/>
    <col min="9092" max="9092" width="14" style="3" customWidth="1"/>
    <col min="9093" max="9093" width="25" style="3" customWidth="1"/>
    <col min="9094" max="9098" width="28.5" style="3" customWidth="1"/>
    <col min="9099" max="9276" width="9" style="3"/>
    <col min="9277" max="9277" width="11.25" style="3" customWidth="1"/>
    <col min="9278" max="9278" width="5" style="3" customWidth="1"/>
    <col min="9279" max="9279" width="6.625" style="3" customWidth="1"/>
    <col min="9280" max="9280" width="7.625" style="3" customWidth="1"/>
    <col min="9281" max="9281" width="5.5" style="3" customWidth="1"/>
    <col min="9282" max="9282" width="14" style="3" customWidth="1"/>
    <col min="9283" max="9283" width="12.5" style="3" customWidth="1"/>
    <col min="9284" max="9285" width="6" style="3" customWidth="1"/>
    <col min="9286" max="9286" width="7.25" style="3" customWidth="1"/>
    <col min="9287" max="9287" width="13.625" style="3" customWidth="1"/>
    <col min="9288" max="9288" width="9.75" style="3" customWidth="1"/>
    <col min="9289" max="9289" width="7.75" style="3" customWidth="1"/>
    <col min="9290" max="9290" width="14" style="3" customWidth="1"/>
    <col min="9291" max="9291" width="6" style="3" customWidth="1"/>
    <col min="9292" max="9292" width="7.25" style="3" customWidth="1"/>
    <col min="9293" max="9293" width="13.625" style="3" customWidth="1"/>
    <col min="9294" max="9294" width="9.75" style="3" customWidth="1"/>
    <col min="9295" max="9295" width="14" style="3" customWidth="1"/>
    <col min="9296" max="9296" width="5.875" style="3" customWidth="1"/>
    <col min="9297" max="9297" width="7.25" style="3" customWidth="1"/>
    <col min="9298" max="9298" width="13.5" style="3" customWidth="1"/>
    <col min="9299" max="9299" width="9.75" style="3" customWidth="1"/>
    <col min="9300" max="9300" width="14" style="3" customWidth="1"/>
    <col min="9301" max="9301" width="5.875" style="3" customWidth="1"/>
    <col min="9302" max="9302" width="7.25" style="3" customWidth="1"/>
    <col min="9303" max="9303" width="13.625" style="3" customWidth="1"/>
    <col min="9304" max="9305" width="13.5" style="3" customWidth="1"/>
    <col min="9306" max="9307" width="13.625" style="3" customWidth="1"/>
    <col min="9308" max="9308" width="14" style="3" customWidth="1"/>
    <col min="9309" max="9309" width="10.875" style="3" customWidth="1"/>
    <col min="9310" max="9310" width="7.25" style="3" customWidth="1"/>
    <col min="9311" max="9312" width="13.5" style="3" customWidth="1"/>
    <col min="9313" max="9314" width="13.625" style="3" customWidth="1"/>
    <col min="9315" max="9315" width="14" style="3" customWidth="1"/>
    <col min="9316" max="9316" width="10.875" style="3" customWidth="1"/>
    <col min="9317" max="9317" width="7.25" style="3" customWidth="1"/>
    <col min="9318" max="9318" width="13.5" style="3" customWidth="1"/>
    <col min="9319" max="9319" width="13.625" style="3" customWidth="1"/>
    <col min="9320" max="9320" width="14" style="3" customWidth="1"/>
    <col min="9321" max="9321" width="6.625" style="3" customWidth="1"/>
    <col min="9322" max="9322" width="8" style="3" customWidth="1"/>
    <col min="9323" max="9324" width="13.5" style="3" customWidth="1"/>
    <col min="9325" max="9326" width="13.625" style="3" customWidth="1"/>
    <col min="9327" max="9327" width="13.875" style="3" customWidth="1"/>
    <col min="9328" max="9328" width="7.25" style="3" customWidth="1"/>
    <col min="9329" max="9329" width="8" style="3" customWidth="1"/>
    <col min="9330" max="9330" width="14.75" style="3" customWidth="1"/>
    <col min="9331" max="9331" width="13.625" style="3" customWidth="1"/>
    <col min="9332" max="9332" width="14.875" style="3" customWidth="1"/>
    <col min="9333" max="9333" width="13.75" style="3" customWidth="1"/>
    <col min="9334" max="9334" width="14" style="3" customWidth="1"/>
    <col min="9335" max="9335" width="6.625" style="3" customWidth="1"/>
    <col min="9336" max="9336" width="8" style="3" customWidth="1"/>
    <col min="9337" max="9337" width="14.75" style="3" customWidth="1"/>
    <col min="9338" max="9338" width="13.625" style="3" customWidth="1"/>
    <col min="9339" max="9340" width="14.875" style="3" customWidth="1"/>
    <col min="9341" max="9341" width="14" style="3" customWidth="1"/>
    <col min="9342" max="9342" width="6.625" style="3" customWidth="1"/>
    <col min="9343" max="9343" width="8" style="3" customWidth="1"/>
    <col min="9344" max="9344" width="14.75" style="3" customWidth="1"/>
    <col min="9345" max="9345" width="13.625" style="3" customWidth="1"/>
    <col min="9346" max="9346" width="14.875" style="3" customWidth="1"/>
    <col min="9347" max="9347" width="13.75" style="3" customWidth="1"/>
    <col min="9348" max="9348" width="14" style="3" customWidth="1"/>
    <col min="9349" max="9349" width="25" style="3" customWidth="1"/>
    <col min="9350" max="9354" width="28.5" style="3" customWidth="1"/>
    <col min="9355" max="9532" width="9" style="3"/>
    <col min="9533" max="9533" width="11.25" style="3" customWidth="1"/>
    <col min="9534" max="9534" width="5" style="3" customWidth="1"/>
    <col min="9535" max="9535" width="6.625" style="3" customWidth="1"/>
    <col min="9536" max="9536" width="7.625" style="3" customWidth="1"/>
    <col min="9537" max="9537" width="5.5" style="3" customWidth="1"/>
    <col min="9538" max="9538" width="14" style="3" customWidth="1"/>
    <col min="9539" max="9539" width="12.5" style="3" customWidth="1"/>
    <col min="9540" max="9541" width="6" style="3" customWidth="1"/>
    <col min="9542" max="9542" width="7.25" style="3" customWidth="1"/>
    <col min="9543" max="9543" width="13.625" style="3" customWidth="1"/>
    <col min="9544" max="9544" width="9.75" style="3" customWidth="1"/>
    <col min="9545" max="9545" width="7.75" style="3" customWidth="1"/>
    <col min="9546" max="9546" width="14" style="3" customWidth="1"/>
    <col min="9547" max="9547" width="6" style="3" customWidth="1"/>
    <col min="9548" max="9548" width="7.25" style="3" customWidth="1"/>
    <col min="9549" max="9549" width="13.625" style="3" customWidth="1"/>
    <col min="9550" max="9550" width="9.75" style="3" customWidth="1"/>
    <col min="9551" max="9551" width="14" style="3" customWidth="1"/>
    <col min="9552" max="9552" width="5.875" style="3" customWidth="1"/>
    <col min="9553" max="9553" width="7.25" style="3" customWidth="1"/>
    <col min="9554" max="9554" width="13.5" style="3" customWidth="1"/>
    <col min="9555" max="9555" width="9.75" style="3" customWidth="1"/>
    <col min="9556" max="9556" width="14" style="3" customWidth="1"/>
    <col min="9557" max="9557" width="5.875" style="3" customWidth="1"/>
    <col min="9558" max="9558" width="7.25" style="3" customWidth="1"/>
    <col min="9559" max="9559" width="13.625" style="3" customWidth="1"/>
    <col min="9560" max="9561" width="13.5" style="3" customWidth="1"/>
    <col min="9562" max="9563" width="13.625" style="3" customWidth="1"/>
    <col min="9564" max="9564" width="14" style="3" customWidth="1"/>
    <col min="9565" max="9565" width="10.875" style="3" customWidth="1"/>
    <col min="9566" max="9566" width="7.25" style="3" customWidth="1"/>
    <col min="9567" max="9568" width="13.5" style="3" customWidth="1"/>
    <col min="9569" max="9570" width="13.625" style="3" customWidth="1"/>
    <col min="9571" max="9571" width="14" style="3" customWidth="1"/>
    <col min="9572" max="9572" width="10.875" style="3" customWidth="1"/>
    <col min="9573" max="9573" width="7.25" style="3" customWidth="1"/>
    <col min="9574" max="9574" width="13.5" style="3" customWidth="1"/>
    <col min="9575" max="9575" width="13.625" style="3" customWidth="1"/>
    <col min="9576" max="9576" width="14" style="3" customWidth="1"/>
    <col min="9577" max="9577" width="6.625" style="3" customWidth="1"/>
    <col min="9578" max="9578" width="8" style="3" customWidth="1"/>
    <col min="9579" max="9580" width="13.5" style="3" customWidth="1"/>
    <col min="9581" max="9582" width="13.625" style="3" customWidth="1"/>
    <col min="9583" max="9583" width="13.875" style="3" customWidth="1"/>
    <col min="9584" max="9584" width="7.25" style="3" customWidth="1"/>
    <col min="9585" max="9585" width="8" style="3" customWidth="1"/>
    <col min="9586" max="9586" width="14.75" style="3" customWidth="1"/>
    <col min="9587" max="9587" width="13.625" style="3" customWidth="1"/>
    <col min="9588" max="9588" width="14.875" style="3" customWidth="1"/>
    <col min="9589" max="9589" width="13.75" style="3" customWidth="1"/>
    <col min="9590" max="9590" width="14" style="3" customWidth="1"/>
    <col min="9591" max="9591" width="6.625" style="3" customWidth="1"/>
    <col min="9592" max="9592" width="8" style="3" customWidth="1"/>
    <col min="9593" max="9593" width="14.75" style="3" customWidth="1"/>
    <col min="9594" max="9594" width="13.625" style="3" customWidth="1"/>
    <col min="9595" max="9596" width="14.875" style="3" customWidth="1"/>
    <col min="9597" max="9597" width="14" style="3" customWidth="1"/>
    <col min="9598" max="9598" width="6.625" style="3" customWidth="1"/>
    <col min="9599" max="9599" width="8" style="3" customWidth="1"/>
    <col min="9600" max="9600" width="14.75" style="3" customWidth="1"/>
    <col min="9601" max="9601" width="13.625" style="3" customWidth="1"/>
    <col min="9602" max="9602" width="14.875" style="3" customWidth="1"/>
    <col min="9603" max="9603" width="13.75" style="3" customWidth="1"/>
    <col min="9604" max="9604" width="14" style="3" customWidth="1"/>
    <col min="9605" max="9605" width="25" style="3" customWidth="1"/>
    <col min="9606" max="9610" width="28.5" style="3" customWidth="1"/>
    <col min="9611" max="9788" width="9" style="3"/>
    <col min="9789" max="9789" width="11.25" style="3" customWidth="1"/>
    <col min="9790" max="9790" width="5" style="3" customWidth="1"/>
    <col min="9791" max="9791" width="6.625" style="3" customWidth="1"/>
    <col min="9792" max="9792" width="7.625" style="3" customWidth="1"/>
    <col min="9793" max="9793" width="5.5" style="3" customWidth="1"/>
    <col min="9794" max="9794" width="14" style="3" customWidth="1"/>
    <col min="9795" max="9795" width="12.5" style="3" customWidth="1"/>
    <col min="9796" max="9797" width="6" style="3" customWidth="1"/>
    <col min="9798" max="9798" width="7.25" style="3" customWidth="1"/>
    <col min="9799" max="9799" width="13.625" style="3" customWidth="1"/>
    <col min="9800" max="9800" width="9.75" style="3" customWidth="1"/>
    <col min="9801" max="9801" width="7.75" style="3" customWidth="1"/>
    <col min="9802" max="9802" width="14" style="3" customWidth="1"/>
    <col min="9803" max="9803" width="6" style="3" customWidth="1"/>
    <col min="9804" max="9804" width="7.25" style="3" customWidth="1"/>
    <col min="9805" max="9805" width="13.625" style="3" customWidth="1"/>
    <col min="9806" max="9806" width="9.75" style="3" customWidth="1"/>
    <col min="9807" max="9807" width="14" style="3" customWidth="1"/>
    <col min="9808" max="9808" width="5.875" style="3" customWidth="1"/>
    <col min="9809" max="9809" width="7.25" style="3" customWidth="1"/>
    <col min="9810" max="9810" width="13.5" style="3" customWidth="1"/>
    <col min="9811" max="9811" width="9.75" style="3" customWidth="1"/>
    <col min="9812" max="9812" width="14" style="3" customWidth="1"/>
    <col min="9813" max="9813" width="5.875" style="3" customWidth="1"/>
    <col min="9814" max="9814" width="7.25" style="3" customWidth="1"/>
    <col min="9815" max="9815" width="13.625" style="3" customWidth="1"/>
    <col min="9816" max="9817" width="13.5" style="3" customWidth="1"/>
    <col min="9818" max="9819" width="13.625" style="3" customWidth="1"/>
    <col min="9820" max="9820" width="14" style="3" customWidth="1"/>
    <col min="9821" max="9821" width="10.875" style="3" customWidth="1"/>
    <col min="9822" max="9822" width="7.25" style="3" customWidth="1"/>
    <col min="9823" max="9824" width="13.5" style="3" customWidth="1"/>
    <col min="9825" max="9826" width="13.625" style="3" customWidth="1"/>
    <col min="9827" max="9827" width="14" style="3" customWidth="1"/>
    <col min="9828" max="9828" width="10.875" style="3" customWidth="1"/>
    <col min="9829" max="9829" width="7.25" style="3" customWidth="1"/>
    <col min="9830" max="9830" width="13.5" style="3" customWidth="1"/>
    <col min="9831" max="9831" width="13.625" style="3" customWidth="1"/>
    <col min="9832" max="9832" width="14" style="3" customWidth="1"/>
    <col min="9833" max="9833" width="6.625" style="3" customWidth="1"/>
    <col min="9834" max="9834" width="8" style="3" customWidth="1"/>
    <col min="9835" max="9836" width="13.5" style="3" customWidth="1"/>
    <col min="9837" max="9838" width="13.625" style="3" customWidth="1"/>
    <col min="9839" max="9839" width="13.875" style="3" customWidth="1"/>
    <col min="9840" max="9840" width="7.25" style="3" customWidth="1"/>
    <col min="9841" max="9841" width="8" style="3" customWidth="1"/>
    <col min="9842" max="9842" width="14.75" style="3" customWidth="1"/>
    <col min="9843" max="9843" width="13.625" style="3" customWidth="1"/>
    <col min="9844" max="9844" width="14.875" style="3" customWidth="1"/>
    <col min="9845" max="9845" width="13.75" style="3" customWidth="1"/>
    <col min="9846" max="9846" width="14" style="3" customWidth="1"/>
    <col min="9847" max="9847" width="6.625" style="3" customWidth="1"/>
    <col min="9848" max="9848" width="8" style="3" customWidth="1"/>
    <col min="9849" max="9849" width="14.75" style="3" customWidth="1"/>
    <col min="9850" max="9850" width="13.625" style="3" customWidth="1"/>
    <col min="9851" max="9852" width="14.875" style="3" customWidth="1"/>
    <col min="9853" max="9853" width="14" style="3" customWidth="1"/>
    <col min="9854" max="9854" width="6.625" style="3" customWidth="1"/>
    <col min="9855" max="9855" width="8" style="3" customWidth="1"/>
    <col min="9856" max="9856" width="14.75" style="3" customWidth="1"/>
    <col min="9857" max="9857" width="13.625" style="3" customWidth="1"/>
    <col min="9858" max="9858" width="14.875" style="3" customWidth="1"/>
    <col min="9859" max="9859" width="13.75" style="3" customWidth="1"/>
    <col min="9860" max="9860" width="14" style="3" customWidth="1"/>
    <col min="9861" max="9861" width="25" style="3" customWidth="1"/>
    <col min="9862" max="9866" width="28.5" style="3" customWidth="1"/>
    <col min="9867" max="10044" width="9" style="3"/>
    <col min="10045" max="10045" width="11.25" style="3" customWidth="1"/>
    <col min="10046" max="10046" width="5" style="3" customWidth="1"/>
    <col min="10047" max="10047" width="6.625" style="3" customWidth="1"/>
    <col min="10048" max="10048" width="7.625" style="3" customWidth="1"/>
    <col min="10049" max="10049" width="5.5" style="3" customWidth="1"/>
    <col min="10050" max="10050" width="14" style="3" customWidth="1"/>
    <col min="10051" max="10051" width="12.5" style="3" customWidth="1"/>
    <col min="10052" max="10053" width="6" style="3" customWidth="1"/>
    <col min="10054" max="10054" width="7.25" style="3" customWidth="1"/>
    <col min="10055" max="10055" width="13.625" style="3" customWidth="1"/>
    <col min="10056" max="10056" width="9.75" style="3" customWidth="1"/>
    <col min="10057" max="10057" width="7.75" style="3" customWidth="1"/>
    <col min="10058" max="10058" width="14" style="3" customWidth="1"/>
    <col min="10059" max="10059" width="6" style="3" customWidth="1"/>
    <col min="10060" max="10060" width="7.25" style="3" customWidth="1"/>
    <col min="10061" max="10061" width="13.625" style="3" customWidth="1"/>
    <col min="10062" max="10062" width="9.75" style="3" customWidth="1"/>
    <col min="10063" max="10063" width="14" style="3" customWidth="1"/>
    <col min="10064" max="10064" width="5.875" style="3" customWidth="1"/>
    <col min="10065" max="10065" width="7.25" style="3" customWidth="1"/>
    <col min="10066" max="10066" width="13.5" style="3" customWidth="1"/>
    <col min="10067" max="10067" width="9.75" style="3" customWidth="1"/>
    <col min="10068" max="10068" width="14" style="3" customWidth="1"/>
    <col min="10069" max="10069" width="5.875" style="3" customWidth="1"/>
    <col min="10070" max="10070" width="7.25" style="3" customWidth="1"/>
    <col min="10071" max="10071" width="13.625" style="3" customWidth="1"/>
    <col min="10072" max="10073" width="13.5" style="3" customWidth="1"/>
    <col min="10074" max="10075" width="13.625" style="3" customWidth="1"/>
    <col min="10076" max="10076" width="14" style="3" customWidth="1"/>
    <col min="10077" max="10077" width="10.875" style="3" customWidth="1"/>
    <col min="10078" max="10078" width="7.25" style="3" customWidth="1"/>
    <col min="10079" max="10080" width="13.5" style="3" customWidth="1"/>
    <col min="10081" max="10082" width="13.625" style="3" customWidth="1"/>
    <col min="10083" max="10083" width="14" style="3" customWidth="1"/>
    <col min="10084" max="10084" width="10.875" style="3" customWidth="1"/>
    <col min="10085" max="10085" width="7.25" style="3" customWidth="1"/>
    <col min="10086" max="10086" width="13.5" style="3" customWidth="1"/>
    <col min="10087" max="10087" width="13.625" style="3" customWidth="1"/>
    <col min="10088" max="10088" width="14" style="3" customWidth="1"/>
    <col min="10089" max="10089" width="6.625" style="3" customWidth="1"/>
    <col min="10090" max="10090" width="8" style="3" customWidth="1"/>
    <col min="10091" max="10092" width="13.5" style="3" customWidth="1"/>
    <col min="10093" max="10094" width="13.625" style="3" customWidth="1"/>
    <col min="10095" max="10095" width="13.875" style="3" customWidth="1"/>
    <col min="10096" max="10096" width="7.25" style="3" customWidth="1"/>
    <col min="10097" max="10097" width="8" style="3" customWidth="1"/>
    <col min="10098" max="10098" width="14.75" style="3" customWidth="1"/>
    <col min="10099" max="10099" width="13.625" style="3" customWidth="1"/>
    <col min="10100" max="10100" width="14.875" style="3" customWidth="1"/>
    <col min="10101" max="10101" width="13.75" style="3" customWidth="1"/>
    <col min="10102" max="10102" width="14" style="3" customWidth="1"/>
    <col min="10103" max="10103" width="6.625" style="3" customWidth="1"/>
    <col min="10104" max="10104" width="8" style="3" customWidth="1"/>
    <col min="10105" max="10105" width="14.75" style="3" customWidth="1"/>
    <col min="10106" max="10106" width="13.625" style="3" customWidth="1"/>
    <col min="10107" max="10108" width="14.875" style="3" customWidth="1"/>
    <col min="10109" max="10109" width="14" style="3" customWidth="1"/>
    <col min="10110" max="10110" width="6.625" style="3" customWidth="1"/>
    <col min="10111" max="10111" width="8" style="3" customWidth="1"/>
    <col min="10112" max="10112" width="14.75" style="3" customWidth="1"/>
    <col min="10113" max="10113" width="13.625" style="3" customWidth="1"/>
    <col min="10114" max="10114" width="14.875" style="3" customWidth="1"/>
    <col min="10115" max="10115" width="13.75" style="3" customWidth="1"/>
    <col min="10116" max="10116" width="14" style="3" customWidth="1"/>
    <col min="10117" max="10117" width="25" style="3" customWidth="1"/>
    <col min="10118" max="10122" width="28.5" style="3" customWidth="1"/>
    <col min="10123" max="10300" width="9" style="3"/>
    <col min="10301" max="10301" width="11.25" style="3" customWidth="1"/>
    <col min="10302" max="10302" width="5" style="3" customWidth="1"/>
    <col min="10303" max="10303" width="6.625" style="3" customWidth="1"/>
    <col min="10304" max="10304" width="7.625" style="3" customWidth="1"/>
    <col min="10305" max="10305" width="5.5" style="3" customWidth="1"/>
    <col min="10306" max="10306" width="14" style="3" customWidth="1"/>
    <col min="10307" max="10307" width="12.5" style="3" customWidth="1"/>
    <col min="10308" max="10309" width="6" style="3" customWidth="1"/>
    <col min="10310" max="10310" width="7.25" style="3" customWidth="1"/>
    <col min="10311" max="10311" width="13.625" style="3" customWidth="1"/>
    <col min="10312" max="10312" width="9.75" style="3" customWidth="1"/>
    <col min="10313" max="10313" width="7.75" style="3" customWidth="1"/>
    <col min="10314" max="10314" width="14" style="3" customWidth="1"/>
    <col min="10315" max="10315" width="6" style="3" customWidth="1"/>
    <col min="10316" max="10316" width="7.25" style="3" customWidth="1"/>
    <col min="10317" max="10317" width="13.625" style="3" customWidth="1"/>
    <col min="10318" max="10318" width="9.75" style="3" customWidth="1"/>
    <col min="10319" max="10319" width="14" style="3" customWidth="1"/>
    <col min="10320" max="10320" width="5.875" style="3" customWidth="1"/>
    <col min="10321" max="10321" width="7.25" style="3" customWidth="1"/>
    <col min="10322" max="10322" width="13.5" style="3" customWidth="1"/>
    <col min="10323" max="10323" width="9.75" style="3" customWidth="1"/>
    <col min="10324" max="10324" width="14" style="3" customWidth="1"/>
    <col min="10325" max="10325" width="5.875" style="3" customWidth="1"/>
    <col min="10326" max="10326" width="7.25" style="3" customWidth="1"/>
    <col min="10327" max="10327" width="13.625" style="3" customWidth="1"/>
    <col min="10328" max="10329" width="13.5" style="3" customWidth="1"/>
    <col min="10330" max="10331" width="13.625" style="3" customWidth="1"/>
    <col min="10332" max="10332" width="14" style="3" customWidth="1"/>
    <col min="10333" max="10333" width="10.875" style="3" customWidth="1"/>
    <col min="10334" max="10334" width="7.25" style="3" customWidth="1"/>
    <col min="10335" max="10336" width="13.5" style="3" customWidth="1"/>
    <col min="10337" max="10338" width="13.625" style="3" customWidth="1"/>
    <col min="10339" max="10339" width="14" style="3" customWidth="1"/>
    <col min="10340" max="10340" width="10.875" style="3" customWidth="1"/>
    <col min="10341" max="10341" width="7.25" style="3" customWidth="1"/>
    <col min="10342" max="10342" width="13.5" style="3" customWidth="1"/>
    <col min="10343" max="10343" width="13.625" style="3" customWidth="1"/>
    <col min="10344" max="10344" width="14" style="3" customWidth="1"/>
    <col min="10345" max="10345" width="6.625" style="3" customWidth="1"/>
    <col min="10346" max="10346" width="8" style="3" customWidth="1"/>
    <col min="10347" max="10348" width="13.5" style="3" customWidth="1"/>
    <col min="10349" max="10350" width="13.625" style="3" customWidth="1"/>
    <col min="10351" max="10351" width="13.875" style="3" customWidth="1"/>
    <col min="10352" max="10352" width="7.25" style="3" customWidth="1"/>
    <col min="10353" max="10353" width="8" style="3" customWidth="1"/>
    <col min="10354" max="10354" width="14.75" style="3" customWidth="1"/>
    <col min="10355" max="10355" width="13.625" style="3" customWidth="1"/>
    <col min="10356" max="10356" width="14.875" style="3" customWidth="1"/>
    <col min="10357" max="10357" width="13.75" style="3" customWidth="1"/>
    <col min="10358" max="10358" width="14" style="3" customWidth="1"/>
    <col min="10359" max="10359" width="6.625" style="3" customWidth="1"/>
    <col min="10360" max="10360" width="8" style="3" customWidth="1"/>
    <col min="10361" max="10361" width="14.75" style="3" customWidth="1"/>
    <col min="10362" max="10362" width="13.625" style="3" customWidth="1"/>
    <col min="10363" max="10364" width="14.875" style="3" customWidth="1"/>
    <col min="10365" max="10365" width="14" style="3" customWidth="1"/>
    <col min="10366" max="10366" width="6.625" style="3" customWidth="1"/>
    <col min="10367" max="10367" width="8" style="3" customWidth="1"/>
    <col min="10368" max="10368" width="14.75" style="3" customWidth="1"/>
    <col min="10369" max="10369" width="13.625" style="3" customWidth="1"/>
    <col min="10370" max="10370" width="14.875" style="3" customWidth="1"/>
    <col min="10371" max="10371" width="13.75" style="3" customWidth="1"/>
    <col min="10372" max="10372" width="14" style="3" customWidth="1"/>
    <col min="10373" max="10373" width="25" style="3" customWidth="1"/>
    <col min="10374" max="10378" width="28.5" style="3" customWidth="1"/>
    <col min="10379" max="10556" width="9" style="3"/>
    <col min="10557" max="10557" width="11.25" style="3" customWidth="1"/>
    <col min="10558" max="10558" width="5" style="3" customWidth="1"/>
    <col min="10559" max="10559" width="6.625" style="3" customWidth="1"/>
    <col min="10560" max="10560" width="7.625" style="3" customWidth="1"/>
    <col min="10561" max="10561" width="5.5" style="3" customWidth="1"/>
    <col min="10562" max="10562" width="14" style="3" customWidth="1"/>
    <col min="10563" max="10563" width="12.5" style="3" customWidth="1"/>
    <col min="10564" max="10565" width="6" style="3" customWidth="1"/>
    <col min="10566" max="10566" width="7.25" style="3" customWidth="1"/>
    <col min="10567" max="10567" width="13.625" style="3" customWidth="1"/>
    <col min="10568" max="10568" width="9.75" style="3" customWidth="1"/>
    <col min="10569" max="10569" width="7.75" style="3" customWidth="1"/>
    <col min="10570" max="10570" width="14" style="3" customWidth="1"/>
    <col min="10571" max="10571" width="6" style="3" customWidth="1"/>
    <col min="10572" max="10572" width="7.25" style="3" customWidth="1"/>
    <col min="10573" max="10573" width="13.625" style="3" customWidth="1"/>
    <col min="10574" max="10574" width="9.75" style="3" customWidth="1"/>
    <col min="10575" max="10575" width="14" style="3" customWidth="1"/>
    <col min="10576" max="10576" width="5.875" style="3" customWidth="1"/>
    <col min="10577" max="10577" width="7.25" style="3" customWidth="1"/>
    <col min="10578" max="10578" width="13.5" style="3" customWidth="1"/>
    <col min="10579" max="10579" width="9.75" style="3" customWidth="1"/>
    <col min="10580" max="10580" width="14" style="3" customWidth="1"/>
    <col min="10581" max="10581" width="5.875" style="3" customWidth="1"/>
    <col min="10582" max="10582" width="7.25" style="3" customWidth="1"/>
    <col min="10583" max="10583" width="13.625" style="3" customWidth="1"/>
    <col min="10584" max="10585" width="13.5" style="3" customWidth="1"/>
    <col min="10586" max="10587" width="13.625" style="3" customWidth="1"/>
    <col min="10588" max="10588" width="14" style="3" customWidth="1"/>
    <col min="10589" max="10589" width="10.875" style="3" customWidth="1"/>
    <col min="10590" max="10590" width="7.25" style="3" customWidth="1"/>
    <col min="10591" max="10592" width="13.5" style="3" customWidth="1"/>
    <col min="10593" max="10594" width="13.625" style="3" customWidth="1"/>
    <col min="10595" max="10595" width="14" style="3" customWidth="1"/>
    <col min="10596" max="10596" width="10.875" style="3" customWidth="1"/>
    <col min="10597" max="10597" width="7.25" style="3" customWidth="1"/>
    <col min="10598" max="10598" width="13.5" style="3" customWidth="1"/>
    <col min="10599" max="10599" width="13.625" style="3" customWidth="1"/>
    <col min="10600" max="10600" width="14" style="3" customWidth="1"/>
    <col min="10601" max="10601" width="6.625" style="3" customWidth="1"/>
    <col min="10602" max="10602" width="8" style="3" customWidth="1"/>
    <col min="10603" max="10604" width="13.5" style="3" customWidth="1"/>
    <col min="10605" max="10606" width="13.625" style="3" customWidth="1"/>
    <col min="10607" max="10607" width="13.875" style="3" customWidth="1"/>
    <col min="10608" max="10608" width="7.25" style="3" customWidth="1"/>
    <col min="10609" max="10609" width="8" style="3" customWidth="1"/>
    <col min="10610" max="10610" width="14.75" style="3" customWidth="1"/>
    <col min="10611" max="10611" width="13.625" style="3" customWidth="1"/>
    <col min="10612" max="10612" width="14.875" style="3" customWidth="1"/>
    <col min="10613" max="10613" width="13.75" style="3" customWidth="1"/>
    <col min="10614" max="10614" width="14" style="3" customWidth="1"/>
    <col min="10615" max="10615" width="6.625" style="3" customWidth="1"/>
    <col min="10616" max="10616" width="8" style="3" customWidth="1"/>
    <col min="10617" max="10617" width="14.75" style="3" customWidth="1"/>
    <col min="10618" max="10618" width="13.625" style="3" customWidth="1"/>
    <col min="10619" max="10620" width="14.875" style="3" customWidth="1"/>
    <col min="10621" max="10621" width="14" style="3" customWidth="1"/>
    <col min="10622" max="10622" width="6.625" style="3" customWidth="1"/>
    <col min="10623" max="10623" width="8" style="3" customWidth="1"/>
    <col min="10624" max="10624" width="14.75" style="3" customWidth="1"/>
    <col min="10625" max="10625" width="13.625" style="3" customWidth="1"/>
    <col min="10626" max="10626" width="14.875" style="3" customWidth="1"/>
    <col min="10627" max="10627" width="13.75" style="3" customWidth="1"/>
    <col min="10628" max="10628" width="14" style="3" customWidth="1"/>
    <col min="10629" max="10629" width="25" style="3" customWidth="1"/>
    <col min="10630" max="10634" width="28.5" style="3" customWidth="1"/>
    <col min="10635" max="10812" width="9" style="3"/>
    <col min="10813" max="10813" width="11.25" style="3" customWidth="1"/>
    <col min="10814" max="10814" width="5" style="3" customWidth="1"/>
    <col min="10815" max="10815" width="6.625" style="3" customWidth="1"/>
    <col min="10816" max="10816" width="7.625" style="3" customWidth="1"/>
    <col min="10817" max="10817" width="5.5" style="3" customWidth="1"/>
    <col min="10818" max="10818" width="14" style="3" customWidth="1"/>
    <col min="10819" max="10819" width="12.5" style="3" customWidth="1"/>
    <col min="10820" max="10821" width="6" style="3" customWidth="1"/>
    <col min="10822" max="10822" width="7.25" style="3" customWidth="1"/>
    <col min="10823" max="10823" width="13.625" style="3" customWidth="1"/>
    <col min="10824" max="10824" width="9.75" style="3" customWidth="1"/>
    <col min="10825" max="10825" width="7.75" style="3" customWidth="1"/>
    <col min="10826" max="10826" width="14" style="3" customWidth="1"/>
    <col min="10827" max="10827" width="6" style="3" customWidth="1"/>
    <col min="10828" max="10828" width="7.25" style="3" customWidth="1"/>
    <col min="10829" max="10829" width="13.625" style="3" customWidth="1"/>
    <col min="10830" max="10830" width="9.75" style="3" customWidth="1"/>
    <col min="10831" max="10831" width="14" style="3" customWidth="1"/>
    <col min="10832" max="10832" width="5.875" style="3" customWidth="1"/>
    <col min="10833" max="10833" width="7.25" style="3" customWidth="1"/>
    <col min="10834" max="10834" width="13.5" style="3" customWidth="1"/>
    <col min="10835" max="10835" width="9.75" style="3" customWidth="1"/>
    <col min="10836" max="10836" width="14" style="3" customWidth="1"/>
    <col min="10837" max="10837" width="5.875" style="3" customWidth="1"/>
    <col min="10838" max="10838" width="7.25" style="3" customWidth="1"/>
    <col min="10839" max="10839" width="13.625" style="3" customWidth="1"/>
    <col min="10840" max="10841" width="13.5" style="3" customWidth="1"/>
    <col min="10842" max="10843" width="13.625" style="3" customWidth="1"/>
    <col min="10844" max="10844" width="14" style="3" customWidth="1"/>
    <col min="10845" max="10845" width="10.875" style="3" customWidth="1"/>
    <col min="10846" max="10846" width="7.25" style="3" customWidth="1"/>
    <col min="10847" max="10848" width="13.5" style="3" customWidth="1"/>
    <col min="10849" max="10850" width="13.625" style="3" customWidth="1"/>
    <col min="10851" max="10851" width="14" style="3" customWidth="1"/>
    <col min="10852" max="10852" width="10.875" style="3" customWidth="1"/>
    <col min="10853" max="10853" width="7.25" style="3" customWidth="1"/>
    <col min="10854" max="10854" width="13.5" style="3" customWidth="1"/>
    <col min="10855" max="10855" width="13.625" style="3" customWidth="1"/>
    <col min="10856" max="10856" width="14" style="3" customWidth="1"/>
    <col min="10857" max="10857" width="6.625" style="3" customWidth="1"/>
    <col min="10858" max="10858" width="8" style="3" customWidth="1"/>
    <col min="10859" max="10860" width="13.5" style="3" customWidth="1"/>
    <col min="10861" max="10862" width="13.625" style="3" customWidth="1"/>
    <col min="10863" max="10863" width="13.875" style="3" customWidth="1"/>
    <col min="10864" max="10864" width="7.25" style="3" customWidth="1"/>
    <col min="10865" max="10865" width="8" style="3" customWidth="1"/>
    <col min="10866" max="10866" width="14.75" style="3" customWidth="1"/>
    <col min="10867" max="10867" width="13.625" style="3" customWidth="1"/>
    <col min="10868" max="10868" width="14.875" style="3" customWidth="1"/>
    <col min="10869" max="10869" width="13.75" style="3" customWidth="1"/>
    <col min="10870" max="10870" width="14" style="3" customWidth="1"/>
    <col min="10871" max="10871" width="6.625" style="3" customWidth="1"/>
    <col min="10872" max="10872" width="8" style="3" customWidth="1"/>
    <col min="10873" max="10873" width="14.75" style="3" customWidth="1"/>
    <col min="10874" max="10874" width="13.625" style="3" customWidth="1"/>
    <col min="10875" max="10876" width="14.875" style="3" customWidth="1"/>
    <col min="10877" max="10877" width="14" style="3" customWidth="1"/>
    <col min="10878" max="10878" width="6.625" style="3" customWidth="1"/>
    <col min="10879" max="10879" width="8" style="3" customWidth="1"/>
    <col min="10880" max="10880" width="14.75" style="3" customWidth="1"/>
    <col min="10881" max="10881" width="13.625" style="3" customWidth="1"/>
    <col min="10882" max="10882" width="14.875" style="3" customWidth="1"/>
    <col min="10883" max="10883" width="13.75" style="3" customWidth="1"/>
    <col min="10884" max="10884" width="14" style="3" customWidth="1"/>
    <col min="10885" max="10885" width="25" style="3" customWidth="1"/>
    <col min="10886" max="10890" width="28.5" style="3" customWidth="1"/>
    <col min="10891" max="11068" width="9" style="3"/>
    <col min="11069" max="11069" width="11.25" style="3" customWidth="1"/>
    <col min="11070" max="11070" width="5" style="3" customWidth="1"/>
    <col min="11071" max="11071" width="6.625" style="3" customWidth="1"/>
    <col min="11072" max="11072" width="7.625" style="3" customWidth="1"/>
    <col min="11073" max="11073" width="5.5" style="3" customWidth="1"/>
    <col min="11074" max="11074" width="14" style="3" customWidth="1"/>
    <col min="11075" max="11075" width="12.5" style="3" customWidth="1"/>
    <col min="11076" max="11077" width="6" style="3" customWidth="1"/>
    <col min="11078" max="11078" width="7.25" style="3" customWidth="1"/>
    <col min="11079" max="11079" width="13.625" style="3" customWidth="1"/>
    <col min="11080" max="11080" width="9.75" style="3" customWidth="1"/>
    <col min="11081" max="11081" width="7.75" style="3" customWidth="1"/>
    <col min="11082" max="11082" width="14" style="3" customWidth="1"/>
    <col min="11083" max="11083" width="6" style="3" customWidth="1"/>
    <col min="11084" max="11084" width="7.25" style="3" customWidth="1"/>
    <col min="11085" max="11085" width="13.625" style="3" customWidth="1"/>
    <col min="11086" max="11086" width="9.75" style="3" customWidth="1"/>
    <col min="11087" max="11087" width="14" style="3" customWidth="1"/>
    <col min="11088" max="11088" width="5.875" style="3" customWidth="1"/>
    <col min="11089" max="11089" width="7.25" style="3" customWidth="1"/>
    <col min="11090" max="11090" width="13.5" style="3" customWidth="1"/>
    <col min="11091" max="11091" width="9.75" style="3" customWidth="1"/>
    <col min="11092" max="11092" width="14" style="3" customWidth="1"/>
    <col min="11093" max="11093" width="5.875" style="3" customWidth="1"/>
    <col min="11094" max="11094" width="7.25" style="3" customWidth="1"/>
    <col min="11095" max="11095" width="13.625" style="3" customWidth="1"/>
    <col min="11096" max="11097" width="13.5" style="3" customWidth="1"/>
    <col min="11098" max="11099" width="13.625" style="3" customWidth="1"/>
    <col min="11100" max="11100" width="14" style="3" customWidth="1"/>
    <col min="11101" max="11101" width="10.875" style="3" customWidth="1"/>
    <col min="11102" max="11102" width="7.25" style="3" customWidth="1"/>
    <col min="11103" max="11104" width="13.5" style="3" customWidth="1"/>
    <col min="11105" max="11106" width="13.625" style="3" customWidth="1"/>
    <col min="11107" max="11107" width="14" style="3" customWidth="1"/>
    <col min="11108" max="11108" width="10.875" style="3" customWidth="1"/>
    <col min="11109" max="11109" width="7.25" style="3" customWidth="1"/>
    <col min="11110" max="11110" width="13.5" style="3" customWidth="1"/>
    <col min="11111" max="11111" width="13.625" style="3" customWidth="1"/>
    <col min="11112" max="11112" width="14" style="3" customWidth="1"/>
    <col min="11113" max="11113" width="6.625" style="3" customWidth="1"/>
    <col min="11114" max="11114" width="8" style="3" customWidth="1"/>
    <col min="11115" max="11116" width="13.5" style="3" customWidth="1"/>
    <col min="11117" max="11118" width="13.625" style="3" customWidth="1"/>
    <col min="11119" max="11119" width="13.875" style="3" customWidth="1"/>
    <col min="11120" max="11120" width="7.25" style="3" customWidth="1"/>
    <col min="11121" max="11121" width="8" style="3" customWidth="1"/>
    <col min="11122" max="11122" width="14.75" style="3" customWidth="1"/>
    <col min="11123" max="11123" width="13.625" style="3" customWidth="1"/>
    <col min="11124" max="11124" width="14.875" style="3" customWidth="1"/>
    <col min="11125" max="11125" width="13.75" style="3" customWidth="1"/>
    <col min="11126" max="11126" width="14" style="3" customWidth="1"/>
    <col min="11127" max="11127" width="6.625" style="3" customWidth="1"/>
    <col min="11128" max="11128" width="8" style="3" customWidth="1"/>
    <col min="11129" max="11129" width="14.75" style="3" customWidth="1"/>
    <col min="11130" max="11130" width="13.625" style="3" customWidth="1"/>
    <col min="11131" max="11132" width="14.875" style="3" customWidth="1"/>
    <col min="11133" max="11133" width="14" style="3" customWidth="1"/>
    <col min="11134" max="11134" width="6.625" style="3" customWidth="1"/>
    <col min="11135" max="11135" width="8" style="3" customWidth="1"/>
    <col min="11136" max="11136" width="14.75" style="3" customWidth="1"/>
    <col min="11137" max="11137" width="13.625" style="3" customWidth="1"/>
    <col min="11138" max="11138" width="14.875" style="3" customWidth="1"/>
    <col min="11139" max="11139" width="13.75" style="3" customWidth="1"/>
    <col min="11140" max="11140" width="14" style="3" customWidth="1"/>
    <col min="11141" max="11141" width="25" style="3" customWidth="1"/>
    <col min="11142" max="11146" width="28.5" style="3" customWidth="1"/>
    <col min="11147" max="11324" width="9" style="3"/>
    <col min="11325" max="11325" width="11.25" style="3" customWidth="1"/>
    <col min="11326" max="11326" width="5" style="3" customWidth="1"/>
    <col min="11327" max="11327" width="6.625" style="3" customWidth="1"/>
    <col min="11328" max="11328" width="7.625" style="3" customWidth="1"/>
    <col min="11329" max="11329" width="5.5" style="3" customWidth="1"/>
    <col min="11330" max="11330" width="14" style="3" customWidth="1"/>
    <col min="11331" max="11331" width="12.5" style="3" customWidth="1"/>
    <col min="11332" max="11333" width="6" style="3" customWidth="1"/>
    <col min="11334" max="11334" width="7.25" style="3" customWidth="1"/>
    <col min="11335" max="11335" width="13.625" style="3" customWidth="1"/>
    <col min="11336" max="11336" width="9.75" style="3" customWidth="1"/>
    <col min="11337" max="11337" width="7.75" style="3" customWidth="1"/>
    <col min="11338" max="11338" width="14" style="3" customWidth="1"/>
    <col min="11339" max="11339" width="6" style="3" customWidth="1"/>
    <col min="11340" max="11340" width="7.25" style="3" customWidth="1"/>
    <col min="11341" max="11341" width="13.625" style="3" customWidth="1"/>
    <col min="11342" max="11342" width="9.75" style="3" customWidth="1"/>
    <col min="11343" max="11343" width="14" style="3" customWidth="1"/>
    <col min="11344" max="11344" width="5.875" style="3" customWidth="1"/>
    <col min="11345" max="11345" width="7.25" style="3" customWidth="1"/>
    <col min="11346" max="11346" width="13.5" style="3" customWidth="1"/>
    <col min="11347" max="11347" width="9.75" style="3" customWidth="1"/>
    <col min="11348" max="11348" width="14" style="3" customWidth="1"/>
    <col min="11349" max="11349" width="5.875" style="3" customWidth="1"/>
    <col min="11350" max="11350" width="7.25" style="3" customWidth="1"/>
    <col min="11351" max="11351" width="13.625" style="3" customWidth="1"/>
    <col min="11352" max="11353" width="13.5" style="3" customWidth="1"/>
    <col min="11354" max="11355" width="13.625" style="3" customWidth="1"/>
    <col min="11356" max="11356" width="14" style="3" customWidth="1"/>
    <col min="11357" max="11357" width="10.875" style="3" customWidth="1"/>
    <col min="11358" max="11358" width="7.25" style="3" customWidth="1"/>
    <col min="11359" max="11360" width="13.5" style="3" customWidth="1"/>
    <col min="11361" max="11362" width="13.625" style="3" customWidth="1"/>
    <col min="11363" max="11363" width="14" style="3" customWidth="1"/>
    <col min="11364" max="11364" width="10.875" style="3" customWidth="1"/>
    <col min="11365" max="11365" width="7.25" style="3" customWidth="1"/>
    <col min="11366" max="11366" width="13.5" style="3" customWidth="1"/>
    <col min="11367" max="11367" width="13.625" style="3" customWidth="1"/>
    <col min="11368" max="11368" width="14" style="3" customWidth="1"/>
    <col min="11369" max="11369" width="6.625" style="3" customWidth="1"/>
    <col min="11370" max="11370" width="8" style="3" customWidth="1"/>
    <col min="11371" max="11372" width="13.5" style="3" customWidth="1"/>
    <col min="11373" max="11374" width="13.625" style="3" customWidth="1"/>
    <col min="11375" max="11375" width="13.875" style="3" customWidth="1"/>
    <col min="11376" max="11376" width="7.25" style="3" customWidth="1"/>
    <col min="11377" max="11377" width="8" style="3" customWidth="1"/>
    <col min="11378" max="11378" width="14.75" style="3" customWidth="1"/>
    <col min="11379" max="11379" width="13.625" style="3" customWidth="1"/>
    <col min="11380" max="11380" width="14.875" style="3" customWidth="1"/>
    <col min="11381" max="11381" width="13.75" style="3" customWidth="1"/>
    <col min="11382" max="11382" width="14" style="3" customWidth="1"/>
    <col min="11383" max="11383" width="6.625" style="3" customWidth="1"/>
    <col min="11384" max="11384" width="8" style="3" customWidth="1"/>
    <col min="11385" max="11385" width="14.75" style="3" customWidth="1"/>
    <col min="11386" max="11386" width="13.625" style="3" customWidth="1"/>
    <col min="11387" max="11388" width="14.875" style="3" customWidth="1"/>
    <col min="11389" max="11389" width="14" style="3" customWidth="1"/>
    <col min="11390" max="11390" width="6.625" style="3" customWidth="1"/>
    <col min="11391" max="11391" width="8" style="3" customWidth="1"/>
    <col min="11392" max="11392" width="14.75" style="3" customWidth="1"/>
    <col min="11393" max="11393" width="13.625" style="3" customWidth="1"/>
    <col min="11394" max="11394" width="14.875" style="3" customWidth="1"/>
    <col min="11395" max="11395" width="13.75" style="3" customWidth="1"/>
    <col min="11396" max="11396" width="14" style="3" customWidth="1"/>
    <col min="11397" max="11397" width="25" style="3" customWidth="1"/>
    <col min="11398" max="11402" width="28.5" style="3" customWidth="1"/>
    <col min="11403" max="11580" width="9" style="3"/>
    <col min="11581" max="11581" width="11.25" style="3" customWidth="1"/>
    <col min="11582" max="11582" width="5" style="3" customWidth="1"/>
    <col min="11583" max="11583" width="6.625" style="3" customWidth="1"/>
    <col min="11584" max="11584" width="7.625" style="3" customWidth="1"/>
    <col min="11585" max="11585" width="5.5" style="3" customWidth="1"/>
    <col min="11586" max="11586" width="14" style="3" customWidth="1"/>
    <col min="11587" max="11587" width="12.5" style="3" customWidth="1"/>
    <col min="11588" max="11589" width="6" style="3" customWidth="1"/>
    <col min="11590" max="11590" width="7.25" style="3" customWidth="1"/>
    <col min="11591" max="11591" width="13.625" style="3" customWidth="1"/>
    <col min="11592" max="11592" width="9.75" style="3" customWidth="1"/>
    <col min="11593" max="11593" width="7.75" style="3" customWidth="1"/>
    <col min="11594" max="11594" width="14" style="3" customWidth="1"/>
    <col min="11595" max="11595" width="6" style="3" customWidth="1"/>
    <col min="11596" max="11596" width="7.25" style="3" customWidth="1"/>
    <col min="11597" max="11597" width="13.625" style="3" customWidth="1"/>
    <col min="11598" max="11598" width="9.75" style="3" customWidth="1"/>
    <col min="11599" max="11599" width="14" style="3" customWidth="1"/>
    <col min="11600" max="11600" width="5.875" style="3" customWidth="1"/>
    <col min="11601" max="11601" width="7.25" style="3" customWidth="1"/>
    <col min="11602" max="11602" width="13.5" style="3" customWidth="1"/>
    <col min="11603" max="11603" width="9.75" style="3" customWidth="1"/>
    <col min="11604" max="11604" width="14" style="3" customWidth="1"/>
    <col min="11605" max="11605" width="5.875" style="3" customWidth="1"/>
    <col min="11606" max="11606" width="7.25" style="3" customWidth="1"/>
    <col min="11607" max="11607" width="13.625" style="3" customWidth="1"/>
    <col min="11608" max="11609" width="13.5" style="3" customWidth="1"/>
    <col min="11610" max="11611" width="13.625" style="3" customWidth="1"/>
    <col min="11612" max="11612" width="14" style="3" customWidth="1"/>
    <col min="11613" max="11613" width="10.875" style="3" customWidth="1"/>
    <col min="11614" max="11614" width="7.25" style="3" customWidth="1"/>
    <col min="11615" max="11616" width="13.5" style="3" customWidth="1"/>
    <col min="11617" max="11618" width="13.625" style="3" customWidth="1"/>
    <col min="11619" max="11619" width="14" style="3" customWidth="1"/>
    <col min="11620" max="11620" width="10.875" style="3" customWidth="1"/>
    <col min="11621" max="11621" width="7.25" style="3" customWidth="1"/>
    <col min="11622" max="11622" width="13.5" style="3" customWidth="1"/>
    <col min="11623" max="11623" width="13.625" style="3" customWidth="1"/>
    <col min="11624" max="11624" width="14" style="3" customWidth="1"/>
    <col min="11625" max="11625" width="6.625" style="3" customWidth="1"/>
    <col min="11626" max="11626" width="8" style="3" customWidth="1"/>
    <col min="11627" max="11628" width="13.5" style="3" customWidth="1"/>
    <col min="11629" max="11630" width="13.625" style="3" customWidth="1"/>
    <col min="11631" max="11631" width="13.875" style="3" customWidth="1"/>
    <col min="11632" max="11632" width="7.25" style="3" customWidth="1"/>
    <col min="11633" max="11633" width="8" style="3" customWidth="1"/>
    <col min="11634" max="11634" width="14.75" style="3" customWidth="1"/>
    <col min="11635" max="11635" width="13.625" style="3" customWidth="1"/>
    <col min="11636" max="11636" width="14.875" style="3" customWidth="1"/>
    <col min="11637" max="11637" width="13.75" style="3" customWidth="1"/>
    <col min="11638" max="11638" width="14" style="3" customWidth="1"/>
    <col min="11639" max="11639" width="6.625" style="3" customWidth="1"/>
    <col min="11640" max="11640" width="8" style="3" customWidth="1"/>
    <col min="11641" max="11641" width="14.75" style="3" customWidth="1"/>
    <col min="11642" max="11642" width="13.625" style="3" customWidth="1"/>
    <col min="11643" max="11644" width="14.875" style="3" customWidth="1"/>
    <col min="11645" max="11645" width="14" style="3" customWidth="1"/>
    <col min="11646" max="11646" width="6.625" style="3" customWidth="1"/>
    <col min="11647" max="11647" width="8" style="3" customWidth="1"/>
    <col min="11648" max="11648" width="14.75" style="3" customWidth="1"/>
    <col min="11649" max="11649" width="13.625" style="3" customWidth="1"/>
    <col min="11650" max="11650" width="14.875" style="3" customWidth="1"/>
    <col min="11651" max="11651" width="13.75" style="3" customWidth="1"/>
    <col min="11652" max="11652" width="14" style="3" customWidth="1"/>
    <col min="11653" max="11653" width="25" style="3" customWidth="1"/>
    <col min="11654" max="11658" width="28.5" style="3" customWidth="1"/>
    <col min="11659" max="11836" width="9" style="3"/>
    <col min="11837" max="11837" width="11.25" style="3" customWidth="1"/>
    <col min="11838" max="11838" width="5" style="3" customWidth="1"/>
    <col min="11839" max="11839" width="6.625" style="3" customWidth="1"/>
    <col min="11840" max="11840" width="7.625" style="3" customWidth="1"/>
    <col min="11841" max="11841" width="5.5" style="3" customWidth="1"/>
    <col min="11842" max="11842" width="14" style="3" customWidth="1"/>
    <col min="11843" max="11843" width="12.5" style="3" customWidth="1"/>
    <col min="11844" max="11845" width="6" style="3" customWidth="1"/>
    <col min="11846" max="11846" width="7.25" style="3" customWidth="1"/>
    <col min="11847" max="11847" width="13.625" style="3" customWidth="1"/>
    <col min="11848" max="11848" width="9.75" style="3" customWidth="1"/>
    <col min="11849" max="11849" width="7.75" style="3" customWidth="1"/>
    <col min="11850" max="11850" width="14" style="3" customWidth="1"/>
    <col min="11851" max="11851" width="6" style="3" customWidth="1"/>
    <col min="11852" max="11852" width="7.25" style="3" customWidth="1"/>
    <col min="11853" max="11853" width="13.625" style="3" customWidth="1"/>
    <col min="11854" max="11854" width="9.75" style="3" customWidth="1"/>
    <col min="11855" max="11855" width="14" style="3" customWidth="1"/>
    <col min="11856" max="11856" width="5.875" style="3" customWidth="1"/>
    <col min="11857" max="11857" width="7.25" style="3" customWidth="1"/>
    <col min="11858" max="11858" width="13.5" style="3" customWidth="1"/>
    <col min="11859" max="11859" width="9.75" style="3" customWidth="1"/>
    <col min="11860" max="11860" width="14" style="3" customWidth="1"/>
    <col min="11861" max="11861" width="5.875" style="3" customWidth="1"/>
    <col min="11862" max="11862" width="7.25" style="3" customWidth="1"/>
    <col min="11863" max="11863" width="13.625" style="3" customWidth="1"/>
    <col min="11864" max="11865" width="13.5" style="3" customWidth="1"/>
    <col min="11866" max="11867" width="13.625" style="3" customWidth="1"/>
    <col min="11868" max="11868" width="14" style="3" customWidth="1"/>
    <col min="11869" max="11869" width="10.875" style="3" customWidth="1"/>
    <col min="11870" max="11870" width="7.25" style="3" customWidth="1"/>
    <col min="11871" max="11872" width="13.5" style="3" customWidth="1"/>
    <col min="11873" max="11874" width="13.625" style="3" customWidth="1"/>
    <col min="11875" max="11875" width="14" style="3" customWidth="1"/>
    <col min="11876" max="11876" width="10.875" style="3" customWidth="1"/>
    <col min="11877" max="11877" width="7.25" style="3" customWidth="1"/>
    <col min="11878" max="11878" width="13.5" style="3" customWidth="1"/>
    <col min="11879" max="11879" width="13.625" style="3" customWidth="1"/>
    <col min="11880" max="11880" width="14" style="3" customWidth="1"/>
    <col min="11881" max="11881" width="6.625" style="3" customWidth="1"/>
    <col min="11882" max="11882" width="8" style="3" customWidth="1"/>
    <col min="11883" max="11884" width="13.5" style="3" customWidth="1"/>
    <col min="11885" max="11886" width="13.625" style="3" customWidth="1"/>
    <col min="11887" max="11887" width="13.875" style="3" customWidth="1"/>
    <col min="11888" max="11888" width="7.25" style="3" customWidth="1"/>
    <col min="11889" max="11889" width="8" style="3" customWidth="1"/>
    <col min="11890" max="11890" width="14.75" style="3" customWidth="1"/>
    <col min="11891" max="11891" width="13.625" style="3" customWidth="1"/>
    <col min="11892" max="11892" width="14.875" style="3" customWidth="1"/>
    <col min="11893" max="11893" width="13.75" style="3" customWidth="1"/>
    <col min="11894" max="11894" width="14" style="3" customWidth="1"/>
    <col min="11895" max="11895" width="6.625" style="3" customWidth="1"/>
    <col min="11896" max="11896" width="8" style="3" customWidth="1"/>
    <col min="11897" max="11897" width="14.75" style="3" customWidth="1"/>
    <col min="11898" max="11898" width="13.625" style="3" customWidth="1"/>
    <col min="11899" max="11900" width="14.875" style="3" customWidth="1"/>
    <col min="11901" max="11901" width="14" style="3" customWidth="1"/>
    <col min="11902" max="11902" width="6.625" style="3" customWidth="1"/>
    <col min="11903" max="11903" width="8" style="3" customWidth="1"/>
    <col min="11904" max="11904" width="14.75" style="3" customWidth="1"/>
    <col min="11905" max="11905" width="13.625" style="3" customWidth="1"/>
    <col min="11906" max="11906" width="14.875" style="3" customWidth="1"/>
    <col min="11907" max="11907" width="13.75" style="3" customWidth="1"/>
    <col min="11908" max="11908" width="14" style="3" customWidth="1"/>
    <col min="11909" max="11909" width="25" style="3" customWidth="1"/>
    <col min="11910" max="11914" width="28.5" style="3" customWidth="1"/>
    <col min="11915" max="12092" width="9" style="3"/>
    <col min="12093" max="12093" width="11.25" style="3" customWidth="1"/>
    <col min="12094" max="12094" width="5" style="3" customWidth="1"/>
    <col min="12095" max="12095" width="6.625" style="3" customWidth="1"/>
    <col min="12096" max="12096" width="7.625" style="3" customWidth="1"/>
    <col min="12097" max="12097" width="5.5" style="3" customWidth="1"/>
    <col min="12098" max="12098" width="14" style="3" customWidth="1"/>
    <col min="12099" max="12099" width="12.5" style="3" customWidth="1"/>
    <col min="12100" max="12101" width="6" style="3" customWidth="1"/>
    <col min="12102" max="12102" width="7.25" style="3" customWidth="1"/>
    <col min="12103" max="12103" width="13.625" style="3" customWidth="1"/>
    <col min="12104" max="12104" width="9.75" style="3" customWidth="1"/>
    <col min="12105" max="12105" width="7.75" style="3" customWidth="1"/>
    <col min="12106" max="12106" width="14" style="3" customWidth="1"/>
    <col min="12107" max="12107" width="6" style="3" customWidth="1"/>
    <col min="12108" max="12108" width="7.25" style="3" customWidth="1"/>
    <col min="12109" max="12109" width="13.625" style="3" customWidth="1"/>
    <col min="12110" max="12110" width="9.75" style="3" customWidth="1"/>
    <col min="12111" max="12111" width="14" style="3" customWidth="1"/>
    <col min="12112" max="12112" width="5.875" style="3" customWidth="1"/>
    <col min="12113" max="12113" width="7.25" style="3" customWidth="1"/>
    <col min="12114" max="12114" width="13.5" style="3" customWidth="1"/>
    <col min="12115" max="12115" width="9.75" style="3" customWidth="1"/>
    <col min="12116" max="12116" width="14" style="3" customWidth="1"/>
    <col min="12117" max="12117" width="5.875" style="3" customWidth="1"/>
    <col min="12118" max="12118" width="7.25" style="3" customWidth="1"/>
    <col min="12119" max="12119" width="13.625" style="3" customWidth="1"/>
    <col min="12120" max="12121" width="13.5" style="3" customWidth="1"/>
    <col min="12122" max="12123" width="13.625" style="3" customWidth="1"/>
    <col min="12124" max="12124" width="14" style="3" customWidth="1"/>
    <col min="12125" max="12125" width="10.875" style="3" customWidth="1"/>
    <col min="12126" max="12126" width="7.25" style="3" customWidth="1"/>
    <col min="12127" max="12128" width="13.5" style="3" customWidth="1"/>
    <col min="12129" max="12130" width="13.625" style="3" customWidth="1"/>
    <col min="12131" max="12131" width="14" style="3" customWidth="1"/>
    <col min="12132" max="12132" width="10.875" style="3" customWidth="1"/>
    <col min="12133" max="12133" width="7.25" style="3" customWidth="1"/>
    <col min="12134" max="12134" width="13.5" style="3" customWidth="1"/>
    <col min="12135" max="12135" width="13.625" style="3" customWidth="1"/>
    <col min="12136" max="12136" width="14" style="3" customWidth="1"/>
    <col min="12137" max="12137" width="6.625" style="3" customWidth="1"/>
    <col min="12138" max="12138" width="8" style="3" customWidth="1"/>
    <col min="12139" max="12140" width="13.5" style="3" customWidth="1"/>
    <col min="12141" max="12142" width="13.625" style="3" customWidth="1"/>
    <col min="12143" max="12143" width="13.875" style="3" customWidth="1"/>
    <col min="12144" max="12144" width="7.25" style="3" customWidth="1"/>
    <col min="12145" max="12145" width="8" style="3" customWidth="1"/>
    <col min="12146" max="12146" width="14.75" style="3" customWidth="1"/>
    <col min="12147" max="12147" width="13.625" style="3" customWidth="1"/>
    <col min="12148" max="12148" width="14.875" style="3" customWidth="1"/>
    <col min="12149" max="12149" width="13.75" style="3" customWidth="1"/>
    <col min="12150" max="12150" width="14" style="3" customWidth="1"/>
    <col min="12151" max="12151" width="6.625" style="3" customWidth="1"/>
    <col min="12152" max="12152" width="8" style="3" customWidth="1"/>
    <col min="12153" max="12153" width="14.75" style="3" customWidth="1"/>
    <col min="12154" max="12154" width="13.625" style="3" customWidth="1"/>
    <col min="12155" max="12156" width="14.875" style="3" customWidth="1"/>
    <col min="12157" max="12157" width="14" style="3" customWidth="1"/>
    <col min="12158" max="12158" width="6.625" style="3" customWidth="1"/>
    <col min="12159" max="12159" width="8" style="3" customWidth="1"/>
    <col min="12160" max="12160" width="14.75" style="3" customWidth="1"/>
    <col min="12161" max="12161" width="13.625" style="3" customWidth="1"/>
    <col min="12162" max="12162" width="14.875" style="3" customWidth="1"/>
    <col min="12163" max="12163" width="13.75" style="3" customWidth="1"/>
    <col min="12164" max="12164" width="14" style="3" customWidth="1"/>
    <col min="12165" max="12165" width="25" style="3" customWidth="1"/>
    <col min="12166" max="12170" width="28.5" style="3" customWidth="1"/>
    <col min="12171" max="12348" width="9" style="3"/>
    <col min="12349" max="12349" width="11.25" style="3" customWidth="1"/>
    <col min="12350" max="12350" width="5" style="3" customWidth="1"/>
    <col min="12351" max="12351" width="6.625" style="3" customWidth="1"/>
    <col min="12352" max="12352" width="7.625" style="3" customWidth="1"/>
    <col min="12353" max="12353" width="5.5" style="3" customWidth="1"/>
    <col min="12354" max="12354" width="14" style="3" customWidth="1"/>
    <col min="12355" max="12355" width="12.5" style="3" customWidth="1"/>
    <col min="12356" max="12357" width="6" style="3" customWidth="1"/>
    <col min="12358" max="12358" width="7.25" style="3" customWidth="1"/>
    <col min="12359" max="12359" width="13.625" style="3" customWidth="1"/>
    <col min="12360" max="12360" width="9.75" style="3" customWidth="1"/>
    <col min="12361" max="12361" width="7.75" style="3" customWidth="1"/>
    <col min="12362" max="12362" width="14" style="3" customWidth="1"/>
    <col min="12363" max="12363" width="6" style="3" customWidth="1"/>
    <col min="12364" max="12364" width="7.25" style="3" customWidth="1"/>
    <col min="12365" max="12365" width="13.625" style="3" customWidth="1"/>
    <col min="12366" max="12366" width="9.75" style="3" customWidth="1"/>
    <col min="12367" max="12367" width="14" style="3" customWidth="1"/>
    <col min="12368" max="12368" width="5.875" style="3" customWidth="1"/>
    <col min="12369" max="12369" width="7.25" style="3" customWidth="1"/>
    <col min="12370" max="12370" width="13.5" style="3" customWidth="1"/>
    <col min="12371" max="12371" width="9.75" style="3" customWidth="1"/>
    <col min="12372" max="12372" width="14" style="3" customWidth="1"/>
    <col min="12373" max="12373" width="5.875" style="3" customWidth="1"/>
    <col min="12374" max="12374" width="7.25" style="3" customWidth="1"/>
    <col min="12375" max="12375" width="13.625" style="3" customWidth="1"/>
    <col min="12376" max="12377" width="13.5" style="3" customWidth="1"/>
    <col min="12378" max="12379" width="13.625" style="3" customWidth="1"/>
    <col min="12380" max="12380" width="14" style="3" customWidth="1"/>
    <col min="12381" max="12381" width="10.875" style="3" customWidth="1"/>
    <col min="12382" max="12382" width="7.25" style="3" customWidth="1"/>
    <col min="12383" max="12384" width="13.5" style="3" customWidth="1"/>
    <col min="12385" max="12386" width="13.625" style="3" customWidth="1"/>
    <col min="12387" max="12387" width="14" style="3" customWidth="1"/>
    <col min="12388" max="12388" width="10.875" style="3" customWidth="1"/>
    <col min="12389" max="12389" width="7.25" style="3" customWidth="1"/>
    <col min="12390" max="12390" width="13.5" style="3" customWidth="1"/>
    <col min="12391" max="12391" width="13.625" style="3" customWidth="1"/>
    <col min="12392" max="12392" width="14" style="3" customWidth="1"/>
    <col min="12393" max="12393" width="6.625" style="3" customWidth="1"/>
    <col min="12394" max="12394" width="8" style="3" customWidth="1"/>
    <col min="12395" max="12396" width="13.5" style="3" customWidth="1"/>
    <col min="12397" max="12398" width="13.625" style="3" customWidth="1"/>
    <col min="12399" max="12399" width="13.875" style="3" customWidth="1"/>
    <col min="12400" max="12400" width="7.25" style="3" customWidth="1"/>
    <col min="12401" max="12401" width="8" style="3" customWidth="1"/>
    <col min="12402" max="12402" width="14.75" style="3" customWidth="1"/>
    <col min="12403" max="12403" width="13.625" style="3" customWidth="1"/>
    <col min="12404" max="12404" width="14.875" style="3" customWidth="1"/>
    <col min="12405" max="12405" width="13.75" style="3" customWidth="1"/>
    <col min="12406" max="12406" width="14" style="3" customWidth="1"/>
    <col min="12407" max="12407" width="6.625" style="3" customWidth="1"/>
    <col min="12408" max="12408" width="8" style="3" customWidth="1"/>
    <col min="12409" max="12409" width="14.75" style="3" customWidth="1"/>
    <col min="12410" max="12410" width="13.625" style="3" customWidth="1"/>
    <col min="12411" max="12412" width="14.875" style="3" customWidth="1"/>
    <col min="12413" max="12413" width="14" style="3" customWidth="1"/>
    <col min="12414" max="12414" width="6.625" style="3" customWidth="1"/>
    <col min="12415" max="12415" width="8" style="3" customWidth="1"/>
    <col min="12416" max="12416" width="14.75" style="3" customWidth="1"/>
    <col min="12417" max="12417" width="13.625" style="3" customWidth="1"/>
    <col min="12418" max="12418" width="14.875" style="3" customWidth="1"/>
    <col min="12419" max="12419" width="13.75" style="3" customWidth="1"/>
    <col min="12420" max="12420" width="14" style="3" customWidth="1"/>
    <col min="12421" max="12421" width="25" style="3" customWidth="1"/>
    <col min="12422" max="12426" width="28.5" style="3" customWidth="1"/>
    <col min="12427" max="12604" width="9" style="3"/>
    <col min="12605" max="12605" width="11.25" style="3" customWidth="1"/>
    <col min="12606" max="12606" width="5" style="3" customWidth="1"/>
    <col min="12607" max="12607" width="6.625" style="3" customWidth="1"/>
    <col min="12608" max="12608" width="7.625" style="3" customWidth="1"/>
    <col min="12609" max="12609" width="5.5" style="3" customWidth="1"/>
    <col min="12610" max="12610" width="14" style="3" customWidth="1"/>
    <col min="12611" max="12611" width="12.5" style="3" customWidth="1"/>
    <col min="12612" max="12613" width="6" style="3" customWidth="1"/>
    <col min="12614" max="12614" width="7.25" style="3" customWidth="1"/>
    <col min="12615" max="12615" width="13.625" style="3" customWidth="1"/>
    <col min="12616" max="12616" width="9.75" style="3" customWidth="1"/>
    <col min="12617" max="12617" width="7.75" style="3" customWidth="1"/>
    <col min="12618" max="12618" width="14" style="3" customWidth="1"/>
    <col min="12619" max="12619" width="6" style="3" customWidth="1"/>
    <col min="12620" max="12620" width="7.25" style="3" customWidth="1"/>
    <col min="12621" max="12621" width="13.625" style="3" customWidth="1"/>
    <col min="12622" max="12622" width="9.75" style="3" customWidth="1"/>
    <col min="12623" max="12623" width="14" style="3" customWidth="1"/>
    <col min="12624" max="12624" width="5.875" style="3" customWidth="1"/>
    <col min="12625" max="12625" width="7.25" style="3" customWidth="1"/>
    <col min="12626" max="12626" width="13.5" style="3" customWidth="1"/>
    <col min="12627" max="12627" width="9.75" style="3" customWidth="1"/>
    <col min="12628" max="12628" width="14" style="3" customWidth="1"/>
    <col min="12629" max="12629" width="5.875" style="3" customWidth="1"/>
    <col min="12630" max="12630" width="7.25" style="3" customWidth="1"/>
    <col min="12631" max="12631" width="13.625" style="3" customWidth="1"/>
    <col min="12632" max="12633" width="13.5" style="3" customWidth="1"/>
    <col min="12634" max="12635" width="13.625" style="3" customWidth="1"/>
    <col min="12636" max="12636" width="14" style="3" customWidth="1"/>
    <col min="12637" max="12637" width="10.875" style="3" customWidth="1"/>
    <col min="12638" max="12638" width="7.25" style="3" customWidth="1"/>
    <col min="12639" max="12640" width="13.5" style="3" customWidth="1"/>
    <col min="12641" max="12642" width="13.625" style="3" customWidth="1"/>
    <col min="12643" max="12643" width="14" style="3" customWidth="1"/>
    <col min="12644" max="12644" width="10.875" style="3" customWidth="1"/>
    <col min="12645" max="12645" width="7.25" style="3" customWidth="1"/>
    <col min="12646" max="12646" width="13.5" style="3" customWidth="1"/>
    <col min="12647" max="12647" width="13.625" style="3" customWidth="1"/>
    <col min="12648" max="12648" width="14" style="3" customWidth="1"/>
    <col min="12649" max="12649" width="6.625" style="3" customWidth="1"/>
    <col min="12650" max="12650" width="8" style="3" customWidth="1"/>
    <col min="12651" max="12652" width="13.5" style="3" customWidth="1"/>
    <col min="12653" max="12654" width="13.625" style="3" customWidth="1"/>
    <col min="12655" max="12655" width="13.875" style="3" customWidth="1"/>
    <col min="12656" max="12656" width="7.25" style="3" customWidth="1"/>
    <col min="12657" max="12657" width="8" style="3" customWidth="1"/>
    <col min="12658" max="12658" width="14.75" style="3" customWidth="1"/>
    <col min="12659" max="12659" width="13.625" style="3" customWidth="1"/>
    <col min="12660" max="12660" width="14.875" style="3" customWidth="1"/>
    <col min="12661" max="12661" width="13.75" style="3" customWidth="1"/>
    <col min="12662" max="12662" width="14" style="3" customWidth="1"/>
    <col min="12663" max="12663" width="6.625" style="3" customWidth="1"/>
    <col min="12664" max="12664" width="8" style="3" customWidth="1"/>
    <col min="12665" max="12665" width="14.75" style="3" customWidth="1"/>
    <col min="12666" max="12666" width="13.625" style="3" customWidth="1"/>
    <col min="12667" max="12668" width="14.875" style="3" customWidth="1"/>
    <col min="12669" max="12669" width="14" style="3" customWidth="1"/>
    <col min="12670" max="12670" width="6.625" style="3" customWidth="1"/>
    <col min="12671" max="12671" width="8" style="3" customWidth="1"/>
    <col min="12672" max="12672" width="14.75" style="3" customWidth="1"/>
    <col min="12673" max="12673" width="13.625" style="3" customWidth="1"/>
    <col min="12674" max="12674" width="14.875" style="3" customWidth="1"/>
    <col min="12675" max="12675" width="13.75" style="3" customWidth="1"/>
    <col min="12676" max="12676" width="14" style="3" customWidth="1"/>
    <col min="12677" max="12677" width="25" style="3" customWidth="1"/>
    <col min="12678" max="12682" width="28.5" style="3" customWidth="1"/>
    <col min="12683" max="12860" width="9" style="3"/>
    <col min="12861" max="12861" width="11.25" style="3" customWidth="1"/>
    <col min="12862" max="12862" width="5" style="3" customWidth="1"/>
    <col min="12863" max="12863" width="6.625" style="3" customWidth="1"/>
    <col min="12864" max="12864" width="7.625" style="3" customWidth="1"/>
    <col min="12865" max="12865" width="5.5" style="3" customWidth="1"/>
    <col min="12866" max="12866" width="14" style="3" customWidth="1"/>
    <col min="12867" max="12867" width="12.5" style="3" customWidth="1"/>
    <col min="12868" max="12869" width="6" style="3" customWidth="1"/>
    <col min="12870" max="12870" width="7.25" style="3" customWidth="1"/>
    <col min="12871" max="12871" width="13.625" style="3" customWidth="1"/>
    <col min="12872" max="12872" width="9.75" style="3" customWidth="1"/>
    <col min="12873" max="12873" width="7.75" style="3" customWidth="1"/>
    <col min="12874" max="12874" width="14" style="3" customWidth="1"/>
    <col min="12875" max="12875" width="6" style="3" customWidth="1"/>
    <col min="12876" max="12876" width="7.25" style="3" customWidth="1"/>
    <col min="12877" max="12877" width="13.625" style="3" customWidth="1"/>
    <col min="12878" max="12878" width="9.75" style="3" customWidth="1"/>
    <col min="12879" max="12879" width="14" style="3" customWidth="1"/>
    <col min="12880" max="12880" width="5.875" style="3" customWidth="1"/>
    <col min="12881" max="12881" width="7.25" style="3" customWidth="1"/>
    <col min="12882" max="12882" width="13.5" style="3" customWidth="1"/>
    <col min="12883" max="12883" width="9.75" style="3" customWidth="1"/>
    <col min="12884" max="12884" width="14" style="3" customWidth="1"/>
    <col min="12885" max="12885" width="5.875" style="3" customWidth="1"/>
    <col min="12886" max="12886" width="7.25" style="3" customWidth="1"/>
    <col min="12887" max="12887" width="13.625" style="3" customWidth="1"/>
    <col min="12888" max="12889" width="13.5" style="3" customWidth="1"/>
    <col min="12890" max="12891" width="13.625" style="3" customWidth="1"/>
    <col min="12892" max="12892" width="14" style="3" customWidth="1"/>
    <col min="12893" max="12893" width="10.875" style="3" customWidth="1"/>
    <col min="12894" max="12894" width="7.25" style="3" customWidth="1"/>
    <col min="12895" max="12896" width="13.5" style="3" customWidth="1"/>
    <col min="12897" max="12898" width="13.625" style="3" customWidth="1"/>
    <col min="12899" max="12899" width="14" style="3" customWidth="1"/>
    <col min="12900" max="12900" width="10.875" style="3" customWidth="1"/>
    <col min="12901" max="12901" width="7.25" style="3" customWidth="1"/>
    <col min="12902" max="12902" width="13.5" style="3" customWidth="1"/>
    <col min="12903" max="12903" width="13.625" style="3" customWidth="1"/>
    <col min="12904" max="12904" width="14" style="3" customWidth="1"/>
    <col min="12905" max="12905" width="6.625" style="3" customWidth="1"/>
    <col min="12906" max="12906" width="8" style="3" customWidth="1"/>
    <col min="12907" max="12908" width="13.5" style="3" customWidth="1"/>
    <col min="12909" max="12910" width="13.625" style="3" customWidth="1"/>
    <col min="12911" max="12911" width="13.875" style="3" customWidth="1"/>
    <col min="12912" max="12912" width="7.25" style="3" customWidth="1"/>
    <col min="12913" max="12913" width="8" style="3" customWidth="1"/>
    <col min="12914" max="12914" width="14.75" style="3" customWidth="1"/>
    <col min="12915" max="12915" width="13.625" style="3" customWidth="1"/>
    <col min="12916" max="12916" width="14.875" style="3" customWidth="1"/>
    <col min="12917" max="12917" width="13.75" style="3" customWidth="1"/>
    <col min="12918" max="12918" width="14" style="3" customWidth="1"/>
    <col min="12919" max="12919" width="6.625" style="3" customWidth="1"/>
    <col min="12920" max="12920" width="8" style="3" customWidth="1"/>
    <col min="12921" max="12921" width="14.75" style="3" customWidth="1"/>
    <col min="12922" max="12922" width="13.625" style="3" customWidth="1"/>
    <col min="12923" max="12924" width="14.875" style="3" customWidth="1"/>
    <col min="12925" max="12925" width="14" style="3" customWidth="1"/>
    <col min="12926" max="12926" width="6.625" style="3" customWidth="1"/>
    <col min="12927" max="12927" width="8" style="3" customWidth="1"/>
    <col min="12928" max="12928" width="14.75" style="3" customWidth="1"/>
    <col min="12929" max="12929" width="13.625" style="3" customWidth="1"/>
    <col min="12930" max="12930" width="14.875" style="3" customWidth="1"/>
    <col min="12931" max="12931" width="13.75" style="3" customWidth="1"/>
    <col min="12932" max="12932" width="14" style="3" customWidth="1"/>
    <col min="12933" max="12933" width="25" style="3" customWidth="1"/>
    <col min="12934" max="12938" width="28.5" style="3" customWidth="1"/>
    <col min="12939" max="13116" width="9" style="3"/>
    <col min="13117" max="13117" width="11.25" style="3" customWidth="1"/>
    <col min="13118" max="13118" width="5" style="3" customWidth="1"/>
    <col min="13119" max="13119" width="6.625" style="3" customWidth="1"/>
    <col min="13120" max="13120" width="7.625" style="3" customWidth="1"/>
    <col min="13121" max="13121" width="5.5" style="3" customWidth="1"/>
    <col min="13122" max="13122" width="14" style="3" customWidth="1"/>
    <col min="13123" max="13123" width="12.5" style="3" customWidth="1"/>
    <col min="13124" max="13125" width="6" style="3" customWidth="1"/>
    <col min="13126" max="13126" width="7.25" style="3" customWidth="1"/>
    <col min="13127" max="13127" width="13.625" style="3" customWidth="1"/>
    <col min="13128" max="13128" width="9.75" style="3" customWidth="1"/>
    <col min="13129" max="13129" width="7.75" style="3" customWidth="1"/>
    <col min="13130" max="13130" width="14" style="3" customWidth="1"/>
    <col min="13131" max="13131" width="6" style="3" customWidth="1"/>
    <col min="13132" max="13132" width="7.25" style="3" customWidth="1"/>
    <col min="13133" max="13133" width="13.625" style="3" customWidth="1"/>
    <col min="13134" max="13134" width="9.75" style="3" customWidth="1"/>
    <col min="13135" max="13135" width="14" style="3" customWidth="1"/>
    <col min="13136" max="13136" width="5.875" style="3" customWidth="1"/>
    <col min="13137" max="13137" width="7.25" style="3" customWidth="1"/>
    <col min="13138" max="13138" width="13.5" style="3" customWidth="1"/>
    <col min="13139" max="13139" width="9.75" style="3" customWidth="1"/>
    <col min="13140" max="13140" width="14" style="3" customWidth="1"/>
    <col min="13141" max="13141" width="5.875" style="3" customWidth="1"/>
    <col min="13142" max="13142" width="7.25" style="3" customWidth="1"/>
    <col min="13143" max="13143" width="13.625" style="3" customWidth="1"/>
    <col min="13144" max="13145" width="13.5" style="3" customWidth="1"/>
    <col min="13146" max="13147" width="13.625" style="3" customWidth="1"/>
    <col min="13148" max="13148" width="14" style="3" customWidth="1"/>
    <col min="13149" max="13149" width="10.875" style="3" customWidth="1"/>
    <col min="13150" max="13150" width="7.25" style="3" customWidth="1"/>
    <col min="13151" max="13152" width="13.5" style="3" customWidth="1"/>
    <col min="13153" max="13154" width="13.625" style="3" customWidth="1"/>
    <col min="13155" max="13155" width="14" style="3" customWidth="1"/>
    <col min="13156" max="13156" width="10.875" style="3" customWidth="1"/>
    <col min="13157" max="13157" width="7.25" style="3" customWidth="1"/>
    <col min="13158" max="13158" width="13.5" style="3" customWidth="1"/>
    <col min="13159" max="13159" width="13.625" style="3" customWidth="1"/>
    <col min="13160" max="13160" width="14" style="3" customWidth="1"/>
    <col min="13161" max="13161" width="6.625" style="3" customWidth="1"/>
    <col min="13162" max="13162" width="8" style="3" customWidth="1"/>
    <col min="13163" max="13164" width="13.5" style="3" customWidth="1"/>
    <col min="13165" max="13166" width="13.625" style="3" customWidth="1"/>
    <col min="13167" max="13167" width="13.875" style="3" customWidth="1"/>
    <col min="13168" max="13168" width="7.25" style="3" customWidth="1"/>
    <col min="13169" max="13169" width="8" style="3" customWidth="1"/>
    <col min="13170" max="13170" width="14.75" style="3" customWidth="1"/>
    <col min="13171" max="13171" width="13.625" style="3" customWidth="1"/>
    <col min="13172" max="13172" width="14.875" style="3" customWidth="1"/>
    <col min="13173" max="13173" width="13.75" style="3" customWidth="1"/>
    <col min="13174" max="13174" width="14" style="3" customWidth="1"/>
    <col min="13175" max="13175" width="6.625" style="3" customWidth="1"/>
    <col min="13176" max="13176" width="8" style="3" customWidth="1"/>
    <col min="13177" max="13177" width="14.75" style="3" customWidth="1"/>
    <col min="13178" max="13178" width="13.625" style="3" customWidth="1"/>
    <col min="13179" max="13180" width="14.875" style="3" customWidth="1"/>
    <col min="13181" max="13181" width="14" style="3" customWidth="1"/>
    <col min="13182" max="13182" width="6.625" style="3" customWidth="1"/>
    <col min="13183" max="13183" width="8" style="3" customWidth="1"/>
    <col min="13184" max="13184" width="14.75" style="3" customWidth="1"/>
    <col min="13185" max="13185" width="13.625" style="3" customWidth="1"/>
    <col min="13186" max="13186" width="14.875" style="3" customWidth="1"/>
    <col min="13187" max="13187" width="13.75" style="3" customWidth="1"/>
    <col min="13188" max="13188" width="14" style="3" customWidth="1"/>
    <col min="13189" max="13189" width="25" style="3" customWidth="1"/>
    <col min="13190" max="13194" width="28.5" style="3" customWidth="1"/>
    <col min="13195" max="13372" width="9" style="3"/>
    <col min="13373" max="13373" width="11.25" style="3" customWidth="1"/>
    <col min="13374" max="13374" width="5" style="3" customWidth="1"/>
    <col min="13375" max="13375" width="6.625" style="3" customWidth="1"/>
    <col min="13376" max="13376" width="7.625" style="3" customWidth="1"/>
    <col min="13377" max="13377" width="5.5" style="3" customWidth="1"/>
    <col min="13378" max="13378" width="14" style="3" customWidth="1"/>
    <col min="13379" max="13379" width="12.5" style="3" customWidth="1"/>
    <col min="13380" max="13381" width="6" style="3" customWidth="1"/>
    <col min="13382" max="13382" width="7.25" style="3" customWidth="1"/>
    <col min="13383" max="13383" width="13.625" style="3" customWidth="1"/>
    <col min="13384" max="13384" width="9.75" style="3" customWidth="1"/>
    <col min="13385" max="13385" width="7.75" style="3" customWidth="1"/>
    <col min="13386" max="13386" width="14" style="3" customWidth="1"/>
    <col min="13387" max="13387" width="6" style="3" customWidth="1"/>
    <col min="13388" max="13388" width="7.25" style="3" customWidth="1"/>
    <col min="13389" max="13389" width="13.625" style="3" customWidth="1"/>
    <col min="13390" max="13390" width="9.75" style="3" customWidth="1"/>
    <col min="13391" max="13391" width="14" style="3" customWidth="1"/>
    <col min="13392" max="13392" width="5.875" style="3" customWidth="1"/>
    <col min="13393" max="13393" width="7.25" style="3" customWidth="1"/>
    <col min="13394" max="13394" width="13.5" style="3" customWidth="1"/>
    <col min="13395" max="13395" width="9.75" style="3" customWidth="1"/>
    <col min="13396" max="13396" width="14" style="3" customWidth="1"/>
    <col min="13397" max="13397" width="5.875" style="3" customWidth="1"/>
    <col min="13398" max="13398" width="7.25" style="3" customWidth="1"/>
    <col min="13399" max="13399" width="13.625" style="3" customWidth="1"/>
    <col min="13400" max="13401" width="13.5" style="3" customWidth="1"/>
    <col min="13402" max="13403" width="13.625" style="3" customWidth="1"/>
    <col min="13404" max="13404" width="14" style="3" customWidth="1"/>
    <col min="13405" max="13405" width="10.875" style="3" customWidth="1"/>
    <col min="13406" max="13406" width="7.25" style="3" customWidth="1"/>
    <col min="13407" max="13408" width="13.5" style="3" customWidth="1"/>
    <col min="13409" max="13410" width="13.625" style="3" customWidth="1"/>
    <col min="13411" max="13411" width="14" style="3" customWidth="1"/>
    <col min="13412" max="13412" width="10.875" style="3" customWidth="1"/>
    <col min="13413" max="13413" width="7.25" style="3" customWidth="1"/>
    <col min="13414" max="13414" width="13.5" style="3" customWidth="1"/>
    <col min="13415" max="13415" width="13.625" style="3" customWidth="1"/>
    <col min="13416" max="13416" width="14" style="3" customWidth="1"/>
    <col min="13417" max="13417" width="6.625" style="3" customWidth="1"/>
    <col min="13418" max="13418" width="8" style="3" customWidth="1"/>
    <col min="13419" max="13420" width="13.5" style="3" customWidth="1"/>
    <col min="13421" max="13422" width="13.625" style="3" customWidth="1"/>
    <col min="13423" max="13423" width="13.875" style="3" customWidth="1"/>
    <col min="13424" max="13424" width="7.25" style="3" customWidth="1"/>
    <col min="13425" max="13425" width="8" style="3" customWidth="1"/>
    <col min="13426" max="13426" width="14.75" style="3" customWidth="1"/>
    <col min="13427" max="13427" width="13.625" style="3" customWidth="1"/>
    <col min="13428" max="13428" width="14.875" style="3" customWidth="1"/>
    <col min="13429" max="13429" width="13.75" style="3" customWidth="1"/>
    <col min="13430" max="13430" width="14" style="3" customWidth="1"/>
    <col min="13431" max="13431" width="6.625" style="3" customWidth="1"/>
    <col min="13432" max="13432" width="8" style="3" customWidth="1"/>
    <col min="13433" max="13433" width="14.75" style="3" customWidth="1"/>
    <col min="13434" max="13434" width="13.625" style="3" customWidth="1"/>
    <col min="13435" max="13436" width="14.875" style="3" customWidth="1"/>
    <col min="13437" max="13437" width="14" style="3" customWidth="1"/>
    <col min="13438" max="13438" width="6.625" style="3" customWidth="1"/>
    <col min="13439" max="13439" width="8" style="3" customWidth="1"/>
    <col min="13440" max="13440" width="14.75" style="3" customWidth="1"/>
    <col min="13441" max="13441" width="13.625" style="3" customWidth="1"/>
    <col min="13442" max="13442" width="14.875" style="3" customWidth="1"/>
    <col min="13443" max="13443" width="13.75" style="3" customWidth="1"/>
    <col min="13444" max="13444" width="14" style="3" customWidth="1"/>
    <col min="13445" max="13445" width="25" style="3" customWidth="1"/>
    <col min="13446" max="13450" width="28.5" style="3" customWidth="1"/>
    <col min="13451" max="13628" width="9" style="3"/>
    <col min="13629" max="13629" width="11.25" style="3" customWidth="1"/>
    <col min="13630" max="13630" width="5" style="3" customWidth="1"/>
    <col min="13631" max="13631" width="6.625" style="3" customWidth="1"/>
    <col min="13632" max="13632" width="7.625" style="3" customWidth="1"/>
    <col min="13633" max="13633" width="5.5" style="3" customWidth="1"/>
    <col min="13634" max="13634" width="14" style="3" customWidth="1"/>
    <col min="13635" max="13635" width="12.5" style="3" customWidth="1"/>
    <col min="13636" max="13637" width="6" style="3" customWidth="1"/>
    <col min="13638" max="13638" width="7.25" style="3" customWidth="1"/>
    <col min="13639" max="13639" width="13.625" style="3" customWidth="1"/>
    <col min="13640" max="13640" width="9.75" style="3" customWidth="1"/>
    <col min="13641" max="13641" width="7.75" style="3" customWidth="1"/>
    <col min="13642" max="13642" width="14" style="3" customWidth="1"/>
    <col min="13643" max="13643" width="6" style="3" customWidth="1"/>
    <col min="13644" max="13644" width="7.25" style="3" customWidth="1"/>
    <col min="13645" max="13645" width="13.625" style="3" customWidth="1"/>
    <col min="13646" max="13646" width="9.75" style="3" customWidth="1"/>
    <col min="13647" max="13647" width="14" style="3" customWidth="1"/>
    <col min="13648" max="13648" width="5.875" style="3" customWidth="1"/>
    <col min="13649" max="13649" width="7.25" style="3" customWidth="1"/>
    <col min="13650" max="13650" width="13.5" style="3" customWidth="1"/>
    <col min="13651" max="13651" width="9.75" style="3" customWidth="1"/>
    <col min="13652" max="13652" width="14" style="3" customWidth="1"/>
    <col min="13653" max="13653" width="5.875" style="3" customWidth="1"/>
    <col min="13654" max="13654" width="7.25" style="3" customWidth="1"/>
    <col min="13655" max="13655" width="13.625" style="3" customWidth="1"/>
    <col min="13656" max="13657" width="13.5" style="3" customWidth="1"/>
    <col min="13658" max="13659" width="13.625" style="3" customWidth="1"/>
    <col min="13660" max="13660" width="14" style="3" customWidth="1"/>
    <col min="13661" max="13661" width="10.875" style="3" customWidth="1"/>
    <col min="13662" max="13662" width="7.25" style="3" customWidth="1"/>
    <col min="13663" max="13664" width="13.5" style="3" customWidth="1"/>
    <col min="13665" max="13666" width="13.625" style="3" customWidth="1"/>
    <col min="13667" max="13667" width="14" style="3" customWidth="1"/>
    <col min="13668" max="13668" width="10.875" style="3" customWidth="1"/>
    <col min="13669" max="13669" width="7.25" style="3" customWidth="1"/>
    <col min="13670" max="13670" width="13.5" style="3" customWidth="1"/>
    <col min="13671" max="13671" width="13.625" style="3" customWidth="1"/>
    <col min="13672" max="13672" width="14" style="3" customWidth="1"/>
    <col min="13673" max="13673" width="6.625" style="3" customWidth="1"/>
    <col min="13674" max="13674" width="8" style="3" customWidth="1"/>
    <col min="13675" max="13676" width="13.5" style="3" customWidth="1"/>
    <col min="13677" max="13678" width="13.625" style="3" customWidth="1"/>
    <col min="13679" max="13679" width="13.875" style="3" customWidth="1"/>
    <col min="13680" max="13680" width="7.25" style="3" customWidth="1"/>
    <col min="13681" max="13681" width="8" style="3" customWidth="1"/>
    <col min="13682" max="13682" width="14.75" style="3" customWidth="1"/>
    <col min="13683" max="13683" width="13.625" style="3" customWidth="1"/>
    <col min="13684" max="13684" width="14.875" style="3" customWidth="1"/>
    <col min="13685" max="13685" width="13.75" style="3" customWidth="1"/>
    <col min="13686" max="13686" width="14" style="3" customWidth="1"/>
    <col min="13687" max="13687" width="6.625" style="3" customWidth="1"/>
    <col min="13688" max="13688" width="8" style="3" customWidth="1"/>
    <col min="13689" max="13689" width="14.75" style="3" customWidth="1"/>
    <col min="13690" max="13690" width="13.625" style="3" customWidth="1"/>
    <col min="13691" max="13692" width="14.875" style="3" customWidth="1"/>
    <col min="13693" max="13693" width="14" style="3" customWidth="1"/>
    <col min="13694" max="13694" width="6.625" style="3" customWidth="1"/>
    <col min="13695" max="13695" width="8" style="3" customWidth="1"/>
    <col min="13696" max="13696" width="14.75" style="3" customWidth="1"/>
    <col min="13697" max="13697" width="13.625" style="3" customWidth="1"/>
    <col min="13698" max="13698" width="14.875" style="3" customWidth="1"/>
    <col min="13699" max="13699" width="13.75" style="3" customWidth="1"/>
    <col min="13700" max="13700" width="14" style="3" customWidth="1"/>
    <col min="13701" max="13701" width="25" style="3" customWidth="1"/>
    <col min="13702" max="13706" width="28.5" style="3" customWidth="1"/>
    <col min="13707" max="13884" width="9" style="3"/>
    <col min="13885" max="13885" width="11.25" style="3" customWidth="1"/>
    <col min="13886" max="13886" width="5" style="3" customWidth="1"/>
    <col min="13887" max="13887" width="6.625" style="3" customWidth="1"/>
    <col min="13888" max="13888" width="7.625" style="3" customWidth="1"/>
    <col min="13889" max="13889" width="5.5" style="3" customWidth="1"/>
    <col min="13890" max="13890" width="14" style="3" customWidth="1"/>
    <col min="13891" max="13891" width="12.5" style="3" customWidth="1"/>
    <col min="13892" max="13893" width="6" style="3" customWidth="1"/>
    <col min="13894" max="13894" width="7.25" style="3" customWidth="1"/>
    <col min="13895" max="13895" width="13.625" style="3" customWidth="1"/>
    <col min="13896" max="13896" width="9.75" style="3" customWidth="1"/>
    <col min="13897" max="13897" width="7.75" style="3" customWidth="1"/>
    <col min="13898" max="13898" width="14" style="3" customWidth="1"/>
    <col min="13899" max="13899" width="6" style="3" customWidth="1"/>
    <col min="13900" max="13900" width="7.25" style="3" customWidth="1"/>
    <col min="13901" max="13901" width="13.625" style="3" customWidth="1"/>
    <col min="13902" max="13902" width="9.75" style="3" customWidth="1"/>
    <col min="13903" max="13903" width="14" style="3" customWidth="1"/>
    <col min="13904" max="13904" width="5.875" style="3" customWidth="1"/>
    <col min="13905" max="13905" width="7.25" style="3" customWidth="1"/>
    <col min="13906" max="13906" width="13.5" style="3" customWidth="1"/>
    <col min="13907" max="13907" width="9.75" style="3" customWidth="1"/>
    <col min="13908" max="13908" width="14" style="3" customWidth="1"/>
    <col min="13909" max="13909" width="5.875" style="3" customWidth="1"/>
    <col min="13910" max="13910" width="7.25" style="3" customWidth="1"/>
    <col min="13911" max="13911" width="13.625" style="3" customWidth="1"/>
    <col min="13912" max="13913" width="13.5" style="3" customWidth="1"/>
    <col min="13914" max="13915" width="13.625" style="3" customWidth="1"/>
    <col min="13916" max="13916" width="14" style="3" customWidth="1"/>
    <col min="13917" max="13917" width="10.875" style="3" customWidth="1"/>
    <col min="13918" max="13918" width="7.25" style="3" customWidth="1"/>
    <col min="13919" max="13920" width="13.5" style="3" customWidth="1"/>
    <col min="13921" max="13922" width="13.625" style="3" customWidth="1"/>
    <col min="13923" max="13923" width="14" style="3" customWidth="1"/>
    <col min="13924" max="13924" width="10.875" style="3" customWidth="1"/>
    <col min="13925" max="13925" width="7.25" style="3" customWidth="1"/>
    <col min="13926" max="13926" width="13.5" style="3" customWidth="1"/>
    <col min="13927" max="13927" width="13.625" style="3" customWidth="1"/>
    <col min="13928" max="13928" width="14" style="3" customWidth="1"/>
    <col min="13929" max="13929" width="6.625" style="3" customWidth="1"/>
    <col min="13930" max="13930" width="8" style="3" customWidth="1"/>
    <col min="13931" max="13932" width="13.5" style="3" customWidth="1"/>
    <col min="13933" max="13934" width="13.625" style="3" customWidth="1"/>
    <col min="13935" max="13935" width="13.875" style="3" customWidth="1"/>
    <col min="13936" max="13936" width="7.25" style="3" customWidth="1"/>
    <col min="13937" max="13937" width="8" style="3" customWidth="1"/>
    <col min="13938" max="13938" width="14.75" style="3" customWidth="1"/>
    <col min="13939" max="13939" width="13.625" style="3" customWidth="1"/>
    <col min="13940" max="13940" width="14.875" style="3" customWidth="1"/>
    <col min="13941" max="13941" width="13.75" style="3" customWidth="1"/>
    <col min="13942" max="13942" width="14" style="3" customWidth="1"/>
    <col min="13943" max="13943" width="6.625" style="3" customWidth="1"/>
    <col min="13944" max="13944" width="8" style="3" customWidth="1"/>
    <col min="13945" max="13945" width="14.75" style="3" customWidth="1"/>
    <col min="13946" max="13946" width="13.625" style="3" customWidth="1"/>
    <col min="13947" max="13948" width="14.875" style="3" customWidth="1"/>
    <col min="13949" max="13949" width="14" style="3" customWidth="1"/>
    <col min="13950" max="13950" width="6.625" style="3" customWidth="1"/>
    <col min="13951" max="13951" width="8" style="3" customWidth="1"/>
    <col min="13952" max="13952" width="14.75" style="3" customWidth="1"/>
    <col min="13953" max="13953" width="13.625" style="3" customWidth="1"/>
    <col min="13954" max="13954" width="14.875" style="3" customWidth="1"/>
    <col min="13955" max="13955" width="13.75" style="3" customWidth="1"/>
    <col min="13956" max="13956" width="14" style="3" customWidth="1"/>
    <col min="13957" max="13957" width="25" style="3" customWidth="1"/>
    <col min="13958" max="13962" width="28.5" style="3" customWidth="1"/>
    <col min="13963" max="14140" width="9" style="3"/>
    <col min="14141" max="14141" width="11.25" style="3" customWidth="1"/>
    <col min="14142" max="14142" width="5" style="3" customWidth="1"/>
    <col min="14143" max="14143" width="6.625" style="3" customWidth="1"/>
    <col min="14144" max="14144" width="7.625" style="3" customWidth="1"/>
    <col min="14145" max="14145" width="5.5" style="3" customWidth="1"/>
    <col min="14146" max="14146" width="14" style="3" customWidth="1"/>
    <col min="14147" max="14147" width="12.5" style="3" customWidth="1"/>
    <col min="14148" max="14149" width="6" style="3" customWidth="1"/>
    <col min="14150" max="14150" width="7.25" style="3" customWidth="1"/>
    <col min="14151" max="14151" width="13.625" style="3" customWidth="1"/>
    <col min="14152" max="14152" width="9.75" style="3" customWidth="1"/>
    <col min="14153" max="14153" width="7.75" style="3" customWidth="1"/>
    <col min="14154" max="14154" width="14" style="3" customWidth="1"/>
    <col min="14155" max="14155" width="6" style="3" customWidth="1"/>
    <col min="14156" max="14156" width="7.25" style="3" customWidth="1"/>
    <col min="14157" max="14157" width="13.625" style="3" customWidth="1"/>
    <col min="14158" max="14158" width="9.75" style="3" customWidth="1"/>
    <col min="14159" max="14159" width="14" style="3" customWidth="1"/>
    <col min="14160" max="14160" width="5.875" style="3" customWidth="1"/>
    <col min="14161" max="14161" width="7.25" style="3" customWidth="1"/>
    <col min="14162" max="14162" width="13.5" style="3" customWidth="1"/>
    <col min="14163" max="14163" width="9.75" style="3" customWidth="1"/>
    <col min="14164" max="14164" width="14" style="3" customWidth="1"/>
    <col min="14165" max="14165" width="5.875" style="3" customWidth="1"/>
    <col min="14166" max="14166" width="7.25" style="3" customWidth="1"/>
    <col min="14167" max="14167" width="13.625" style="3" customWidth="1"/>
    <col min="14168" max="14169" width="13.5" style="3" customWidth="1"/>
    <col min="14170" max="14171" width="13.625" style="3" customWidth="1"/>
    <col min="14172" max="14172" width="14" style="3" customWidth="1"/>
    <col min="14173" max="14173" width="10.875" style="3" customWidth="1"/>
    <col min="14174" max="14174" width="7.25" style="3" customWidth="1"/>
    <col min="14175" max="14176" width="13.5" style="3" customWidth="1"/>
    <col min="14177" max="14178" width="13.625" style="3" customWidth="1"/>
    <col min="14179" max="14179" width="14" style="3" customWidth="1"/>
    <col min="14180" max="14180" width="10.875" style="3" customWidth="1"/>
    <col min="14181" max="14181" width="7.25" style="3" customWidth="1"/>
    <col min="14182" max="14182" width="13.5" style="3" customWidth="1"/>
    <col min="14183" max="14183" width="13.625" style="3" customWidth="1"/>
    <col min="14184" max="14184" width="14" style="3" customWidth="1"/>
    <col min="14185" max="14185" width="6.625" style="3" customWidth="1"/>
    <col min="14186" max="14186" width="8" style="3" customWidth="1"/>
    <col min="14187" max="14188" width="13.5" style="3" customWidth="1"/>
    <col min="14189" max="14190" width="13.625" style="3" customWidth="1"/>
    <col min="14191" max="14191" width="13.875" style="3" customWidth="1"/>
    <col min="14192" max="14192" width="7.25" style="3" customWidth="1"/>
    <col min="14193" max="14193" width="8" style="3" customWidth="1"/>
    <col min="14194" max="14194" width="14.75" style="3" customWidth="1"/>
    <col min="14195" max="14195" width="13.625" style="3" customWidth="1"/>
    <col min="14196" max="14196" width="14.875" style="3" customWidth="1"/>
    <col min="14197" max="14197" width="13.75" style="3" customWidth="1"/>
    <col min="14198" max="14198" width="14" style="3" customWidth="1"/>
    <col min="14199" max="14199" width="6.625" style="3" customWidth="1"/>
    <col min="14200" max="14200" width="8" style="3" customWidth="1"/>
    <col min="14201" max="14201" width="14.75" style="3" customWidth="1"/>
    <col min="14202" max="14202" width="13.625" style="3" customWidth="1"/>
    <col min="14203" max="14204" width="14.875" style="3" customWidth="1"/>
    <col min="14205" max="14205" width="14" style="3" customWidth="1"/>
    <col min="14206" max="14206" width="6.625" style="3" customWidth="1"/>
    <col min="14207" max="14207" width="8" style="3" customWidth="1"/>
    <col min="14208" max="14208" width="14.75" style="3" customWidth="1"/>
    <col min="14209" max="14209" width="13.625" style="3" customWidth="1"/>
    <col min="14210" max="14210" width="14.875" style="3" customWidth="1"/>
    <col min="14211" max="14211" width="13.75" style="3" customWidth="1"/>
    <col min="14212" max="14212" width="14" style="3" customWidth="1"/>
    <col min="14213" max="14213" width="25" style="3" customWidth="1"/>
    <col min="14214" max="14218" width="28.5" style="3" customWidth="1"/>
    <col min="14219" max="14396" width="9" style="3"/>
    <col min="14397" max="14397" width="11.25" style="3" customWidth="1"/>
    <col min="14398" max="14398" width="5" style="3" customWidth="1"/>
    <col min="14399" max="14399" width="6.625" style="3" customWidth="1"/>
    <col min="14400" max="14400" width="7.625" style="3" customWidth="1"/>
    <col min="14401" max="14401" width="5.5" style="3" customWidth="1"/>
    <col min="14402" max="14402" width="14" style="3" customWidth="1"/>
    <col min="14403" max="14403" width="12.5" style="3" customWidth="1"/>
    <col min="14404" max="14405" width="6" style="3" customWidth="1"/>
    <col min="14406" max="14406" width="7.25" style="3" customWidth="1"/>
    <col min="14407" max="14407" width="13.625" style="3" customWidth="1"/>
    <col min="14408" max="14408" width="9.75" style="3" customWidth="1"/>
    <col min="14409" max="14409" width="7.75" style="3" customWidth="1"/>
    <col min="14410" max="14410" width="14" style="3" customWidth="1"/>
    <col min="14411" max="14411" width="6" style="3" customWidth="1"/>
    <col min="14412" max="14412" width="7.25" style="3" customWidth="1"/>
    <col min="14413" max="14413" width="13.625" style="3" customWidth="1"/>
    <col min="14414" max="14414" width="9.75" style="3" customWidth="1"/>
    <col min="14415" max="14415" width="14" style="3" customWidth="1"/>
    <col min="14416" max="14416" width="5.875" style="3" customWidth="1"/>
    <col min="14417" max="14417" width="7.25" style="3" customWidth="1"/>
    <col min="14418" max="14418" width="13.5" style="3" customWidth="1"/>
    <col min="14419" max="14419" width="9.75" style="3" customWidth="1"/>
    <col min="14420" max="14420" width="14" style="3" customWidth="1"/>
    <col min="14421" max="14421" width="5.875" style="3" customWidth="1"/>
    <col min="14422" max="14422" width="7.25" style="3" customWidth="1"/>
    <col min="14423" max="14423" width="13.625" style="3" customWidth="1"/>
    <col min="14424" max="14425" width="13.5" style="3" customWidth="1"/>
    <col min="14426" max="14427" width="13.625" style="3" customWidth="1"/>
    <col min="14428" max="14428" width="14" style="3" customWidth="1"/>
    <col min="14429" max="14429" width="10.875" style="3" customWidth="1"/>
    <col min="14430" max="14430" width="7.25" style="3" customWidth="1"/>
    <col min="14431" max="14432" width="13.5" style="3" customWidth="1"/>
    <col min="14433" max="14434" width="13.625" style="3" customWidth="1"/>
    <col min="14435" max="14435" width="14" style="3" customWidth="1"/>
    <col min="14436" max="14436" width="10.875" style="3" customWidth="1"/>
    <col min="14437" max="14437" width="7.25" style="3" customWidth="1"/>
    <col min="14438" max="14438" width="13.5" style="3" customWidth="1"/>
    <col min="14439" max="14439" width="13.625" style="3" customWidth="1"/>
    <col min="14440" max="14440" width="14" style="3" customWidth="1"/>
    <col min="14441" max="14441" width="6.625" style="3" customWidth="1"/>
    <col min="14442" max="14442" width="8" style="3" customWidth="1"/>
    <col min="14443" max="14444" width="13.5" style="3" customWidth="1"/>
    <col min="14445" max="14446" width="13.625" style="3" customWidth="1"/>
    <col min="14447" max="14447" width="13.875" style="3" customWidth="1"/>
    <col min="14448" max="14448" width="7.25" style="3" customWidth="1"/>
    <col min="14449" max="14449" width="8" style="3" customWidth="1"/>
    <col min="14450" max="14450" width="14.75" style="3" customWidth="1"/>
    <col min="14451" max="14451" width="13.625" style="3" customWidth="1"/>
    <col min="14452" max="14452" width="14.875" style="3" customWidth="1"/>
    <col min="14453" max="14453" width="13.75" style="3" customWidth="1"/>
    <col min="14454" max="14454" width="14" style="3" customWidth="1"/>
    <col min="14455" max="14455" width="6.625" style="3" customWidth="1"/>
    <col min="14456" max="14456" width="8" style="3" customWidth="1"/>
    <col min="14457" max="14457" width="14.75" style="3" customWidth="1"/>
    <col min="14458" max="14458" width="13.625" style="3" customWidth="1"/>
    <col min="14459" max="14460" width="14.875" style="3" customWidth="1"/>
    <col min="14461" max="14461" width="14" style="3" customWidth="1"/>
    <col min="14462" max="14462" width="6.625" style="3" customWidth="1"/>
    <col min="14463" max="14463" width="8" style="3" customWidth="1"/>
    <col min="14464" max="14464" width="14.75" style="3" customWidth="1"/>
    <col min="14465" max="14465" width="13.625" style="3" customWidth="1"/>
    <col min="14466" max="14466" width="14.875" style="3" customWidth="1"/>
    <col min="14467" max="14467" width="13.75" style="3" customWidth="1"/>
    <col min="14468" max="14468" width="14" style="3" customWidth="1"/>
    <col min="14469" max="14469" width="25" style="3" customWidth="1"/>
    <col min="14470" max="14474" width="28.5" style="3" customWidth="1"/>
    <col min="14475" max="14652" width="9" style="3"/>
    <col min="14653" max="14653" width="11.25" style="3" customWidth="1"/>
    <col min="14654" max="14654" width="5" style="3" customWidth="1"/>
    <col min="14655" max="14655" width="6.625" style="3" customWidth="1"/>
    <col min="14656" max="14656" width="7.625" style="3" customWidth="1"/>
    <col min="14657" max="14657" width="5.5" style="3" customWidth="1"/>
    <col min="14658" max="14658" width="14" style="3" customWidth="1"/>
    <col min="14659" max="14659" width="12.5" style="3" customWidth="1"/>
    <col min="14660" max="14661" width="6" style="3" customWidth="1"/>
    <col min="14662" max="14662" width="7.25" style="3" customWidth="1"/>
    <col min="14663" max="14663" width="13.625" style="3" customWidth="1"/>
    <col min="14664" max="14664" width="9.75" style="3" customWidth="1"/>
    <col min="14665" max="14665" width="7.75" style="3" customWidth="1"/>
    <col min="14666" max="14666" width="14" style="3" customWidth="1"/>
    <col min="14667" max="14667" width="6" style="3" customWidth="1"/>
    <col min="14668" max="14668" width="7.25" style="3" customWidth="1"/>
    <col min="14669" max="14669" width="13.625" style="3" customWidth="1"/>
    <col min="14670" max="14670" width="9.75" style="3" customWidth="1"/>
    <col min="14671" max="14671" width="14" style="3" customWidth="1"/>
    <col min="14672" max="14672" width="5.875" style="3" customWidth="1"/>
    <col min="14673" max="14673" width="7.25" style="3" customWidth="1"/>
    <col min="14674" max="14674" width="13.5" style="3" customWidth="1"/>
    <col min="14675" max="14675" width="9.75" style="3" customWidth="1"/>
    <col min="14676" max="14676" width="14" style="3" customWidth="1"/>
    <col min="14677" max="14677" width="5.875" style="3" customWidth="1"/>
    <col min="14678" max="14678" width="7.25" style="3" customWidth="1"/>
    <col min="14679" max="14679" width="13.625" style="3" customWidth="1"/>
    <col min="14680" max="14681" width="13.5" style="3" customWidth="1"/>
    <col min="14682" max="14683" width="13.625" style="3" customWidth="1"/>
    <col min="14684" max="14684" width="14" style="3" customWidth="1"/>
    <col min="14685" max="14685" width="10.875" style="3" customWidth="1"/>
    <col min="14686" max="14686" width="7.25" style="3" customWidth="1"/>
    <col min="14687" max="14688" width="13.5" style="3" customWidth="1"/>
    <col min="14689" max="14690" width="13.625" style="3" customWidth="1"/>
    <col min="14691" max="14691" width="14" style="3" customWidth="1"/>
    <col min="14692" max="14692" width="10.875" style="3" customWidth="1"/>
    <col min="14693" max="14693" width="7.25" style="3" customWidth="1"/>
    <col min="14694" max="14694" width="13.5" style="3" customWidth="1"/>
    <col min="14695" max="14695" width="13.625" style="3" customWidth="1"/>
    <col min="14696" max="14696" width="14" style="3" customWidth="1"/>
    <col min="14697" max="14697" width="6.625" style="3" customWidth="1"/>
    <col min="14698" max="14698" width="8" style="3" customWidth="1"/>
    <col min="14699" max="14700" width="13.5" style="3" customWidth="1"/>
    <col min="14701" max="14702" width="13.625" style="3" customWidth="1"/>
    <col min="14703" max="14703" width="13.875" style="3" customWidth="1"/>
    <col min="14704" max="14704" width="7.25" style="3" customWidth="1"/>
    <col min="14705" max="14705" width="8" style="3" customWidth="1"/>
    <col min="14706" max="14706" width="14.75" style="3" customWidth="1"/>
    <col min="14707" max="14707" width="13.625" style="3" customWidth="1"/>
    <col min="14708" max="14708" width="14.875" style="3" customWidth="1"/>
    <col min="14709" max="14709" width="13.75" style="3" customWidth="1"/>
    <col min="14710" max="14710" width="14" style="3" customWidth="1"/>
    <col min="14711" max="14711" width="6.625" style="3" customWidth="1"/>
    <col min="14712" max="14712" width="8" style="3" customWidth="1"/>
    <col min="14713" max="14713" width="14.75" style="3" customWidth="1"/>
    <col min="14714" max="14714" width="13.625" style="3" customWidth="1"/>
    <col min="14715" max="14716" width="14.875" style="3" customWidth="1"/>
    <col min="14717" max="14717" width="14" style="3" customWidth="1"/>
    <col min="14718" max="14718" width="6.625" style="3" customWidth="1"/>
    <col min="14719" max="14719" width="8" style="3" customWidth="1"/>
    <col min="14720" max="14720" width="14.75" style="3" customWidth="1"/>
    <col min="14721" max="14721" width="13.625" style="3" customWidth="1"/>
    <col min="14722" max="14722" width="14.875" style="3" customWidth="1"/>
    <col min="14723" max="14723" width="13.75" style="3" customWidth="1"/>
    <col min="14724" max="14724" width="14" style="3" customWidth="1"/>
    <col min="14725" max="14725" width="25" style="3" customWidth="1"/>
    <col min="14726" max="14730" width="28.5" style="3" customWidth="1"/>
    <col min="14731" max="14908" width="9" style="3"/>
    <col min="14909" max="14909" width="11.25" style="3" customWidth="1"/>
    <col min="14910" max="14910" width="5" style="3" customWidth="1"/>
    <col min="14911" max="14911" width="6.625" style="3" customWidth="1"/>
    <col min="14912" max="14912" width="7.625" style="3" customWidth="1"/>
    <col min="14913" max="14913" width="5.5" style="3" customWidth="1"/>
    <col min="14914" max="14914" width="14" style="3" customWidth="1"/>
    <col min="14915" max="14915" width="12.5" style="3" customWidth="1"/>
    <col min="14916" max="14917" width="6" style="3" customWidth="1"/>
    <col min="14918" max="14918" width="7.25" style="3" customWidth="1"/>
    <col min="14919" max="14919" width="13.625" style="3" customWidth="1"/>
    <col min="14920" max="14920" width="9.75" style="3" customWidth="1"/>
    <col min="14921" max="14921" width="7.75" style="3" customWidth="1"/>
    <col min="14922" max="14922" width="14" style="3" customWidth="1"/>
    <col min="14923" max="14923" width="6" style="3" customWidth="1"/>
    <col min="14924" max="14924" width="7.25" style="3" customWidth="1"/>
    <col min="14925" max="14925" width="13.625" style="3" customWidth="1"/>
    <col min="14926" max="14926" width="9.75" style="3" customWidth="1"/>
    <col min="14927" max="14927" width="14" style="3" customWidth="1"/>
    <col min="14928" max="14928" width="5.875" style="3" customWidth="1"/>
    <col min="14929" max="14929" width="7.25" style="3" customWidth="1"/>
    <col min="14930" max="14930" width="13.5" style="3" customWidth="1"/>
    <col min="14931" max="14931" width="9.75" style="3" customWidth="1"/>
    <col min="14932" max="14932" width="14" style="3" customWidth="1"/>
    <col min="14933" max="14933" width="5.875" style="3" customWidth="1"/>
    <col min="14934" max="14934" width="7.25" style="3" customWidth="1"/>
    <col min="14935" max="14935" width="13.625" style="3" customWidth="1"/>
    <col min="14936" max="14937" width="13.5" style="3" customWidth="1"/>
    <col min="14938" max="14939" width="13.625" style="3" customWidth="1"/>
    <col min="14940" max="14940" width="14" style="3" customWidth="1"/>
    <col min="14941" max="14941" width="10.875" style="3" customWidth="1"/>
    <col min="14942" max="14942" width="7.25" style="3" customWidth="1"/>
    <col min="14943" max="14944" width="13.5" style="3" customWidth="1"/>
    <col min="14945" max="14946" width="13.625" style="3" customWidth="1"/>
    <col min="14947" max="14947" width="14" style="3" customWidth="1"/>
    <col min="14948" max="14948" width="10.875" style="3" customWidth="1"/>
    <col min="14949" max="14949" width="7.25" style="3" customWidth="1"/>
    <col min="14950" max="14950" width="13.5" style="3" customWidth="1"/>
    <col min="14951" max="14951" width="13.625" style="3" customWidth="1"/>
    <col min="14952" max="14952" width="14" style="3" customWidth="1"/>
    <col min="14953" max="14953" width="6.625" style="3" customWidth="1"/>
    <col min="14954" max="14954" width="8" style="3" customWidth="1"/>
    <col min="14955" max="14956" width="13.5" style="3" customWidth="1"/>
    <col min="14957" max="14958" width="13.625" style="3" customWidth="1"/>
    <col min="14959" max="14959" width="13.875" style="3" customWidth="1"/>
    <col min="14960" max="14960" width="7.25" style="3" customWidth="1"/>
    <col min="14961" max="14961" width="8" style="3" customWidth="1"/>
    <col min="14962" max="14962" width="14.75" style="3" customWidth="1"/>
    <col min="14963" max="14963" width="13.625" style="3" customWidth="1"/>
    <col min="14964" max="14964" width="14.875" style="3" customWidth="1"/>
    <col min="14965" max="14965" width="13.75" style="3" customWidth="1"/>
    <col min="14966" max="14966" width="14" style="3" customWidth="1"/>
    <col min="14967" max="14967" width="6.625" style="3" customWidth="1"/>
    <col min="14968" max="14968" width="8" style="3" customWidth="1"/>
    <col min="14969" max="14969" width="14.75" style="3" customWidth="1"/>
    <col min="14970" max="14970" width="13.625" style="3" customWidth="1"/>
    <col min="14971" max="14972" width="14.875" style="3" customWidth="1"/>
    <col min="14973" max="14973" width="14" style="3" customWidth="1"/>
    <col min="14974" max="14974" width="6.625" style="3" customWidth="1"/>
    <col min="14975" max="14975" width="8" style="3" customWidth="1"/>
    <col min="14976" max="14976" width="14.75" style="3" customWidth="1"/>
    <col min="14977" max="14977" width="13.625" style="3" customWidth="1"/>
    <col min="14978" max="14978" width="14.875" style="3" customWidth="1"/>
    <col min="14979" max="14979" width="13.75" style="3" customWidth="1"/>
    <col min="14980" max="14980" width="14" style="3" customWidth="1"/>
    <col min="14981" max="14981" width="25" style="3" customWidth="1"/>
    <col min="14982" max="14986" width="28.5" style="3" customWidth="1"/>
    <col min="14987" max="15164" width="9" style="3"/>
    <col min="15165" max="15165" width="11.25" style="3" customWidth="1"/>
    <col min="15166" max="15166" width="5" style="3" customWidth="1"/>
    <col min="15167" max="15167" width="6.625" style="3" customWidth="1"/>
    <col min="15168" max="15168" width="7.625" style="3" customWidth="1"/>
    <col min="15169" max="15169" width="5.5" style="3" customWidth="1"/>
    <col min="15170" max="15170" width="14" style="3" customWidth="1"/>
    <col min="15171" max="15171" width="12.5" style="3" customWidth="1"/>
    <col min="15172" max="15173" width="6" style="3" customWidth="1"/>
    <col min="15174" max="15174" width="7.25" style="3" customWidth="1"/>
    <col min="15175" max="15175" width="13.625" style="3" customWidth="1"/>
    <col min="15176" max="15176" width="9.75" style="3" customWidth="1"/>
    <col min="15177" max="15177" width="7.75" style="3" customWidth="1"/>
    <col min="15178" max="15178" width="14" style="3" customWidth="1"/>
    <col min="15179" max="15179" width="6" style="3" customWidth="1"/>
    <col min="15180" max="15180" width="7.25" style="3" customWidth="1"/>
    <col min="15181" max="15181" width="13.625" style="3" customWidth="1"/>
    <col min="15182" max="15182" width="9.75" style="3" customWidth="1"/>
    <col min="15183" max="15183" width="14" style="3" customWidth="1"/>
    <col min="15184" max="15184" width="5.875" style="3" customWidth="1"/>
    <col min="15185" max="15185" width="7.25" style="3" customWidth="1"/>
    <col min="15186" max="15186" width="13.5" style="3" customWidth="1"/>
    <col min="15187" max="15187" width="9.75" style="3" customWidth="1"/>
    <col min="15188" max="15188" width="14" style="3" customWidth="1"/>
    <col min="15189" max="15189" width="5.875" style="3" customWidth="1"/>
    <col min="15190" max="15190" width="7.25" style="3" customWidth="1"/>
    <col min="15191" max="15191" width="13.625" style="3" customWidth="1"/>
    <col min="15192" max="15193" width="13.5" style="3" customWidth="1"/>
    <col min="15194" max="15195" width="13.625" style="3" customWidth="1"/>
    <col min="15196" max="15196" width="14" style="3" customWidth="1"/>
    <col min="15197" max="15197" width="10.875" style="3" customWidth="1"/>
    <col min="15198" max="15198" width="7.25" style="3" customWidth="1"/>
    <col min="15199" max="15200" width="13.5" style="3" customWidth="1"/>
    <col min="15201" max="15202" width="13.625" style="3" customWidth="1"/>
    <col min="15203" max="15203" width="14" style="3" customWidth="1"/>
    <col min="15204" max="15204" width="10.875" style="3" customWidth="1"/>
    <col min="15205" max="15205" width="7.25" style="3" customWidth="1"/>
    <col min="15206" max="15206" width="13.5" style="3" customWidth="1"/>
    <col min="15207" max="15207" width="13.625" style="3" customWidth="1"/>
    <col min="15208" max="15208" width="14" style="3" customWidth="1"/>
    <col min="15209" max="15209" width="6.625" style="3" customWidth="1"/>
    <col min="15210" max="15210" width="8" style="3" customWidth="1"/>
    <col min="15211" max="15212" width="13.5" style="3" customWidth="1"/>
    <col min="15213" max="15214" width="13.625" style="3" customWidth="1"/>
    <col min="15215" max="15215" width="13.875" style="3" customWidth="1"/>
    <col min="15216" max="15216" width="7.25" style="3" customWidth="1"/>
    <col min="15217" max="15217" width="8" style="3" customWidth="1"/>
    <col min="15218" max="15218" width="14.75" style="3" customWidth="1"/>
    <col min="15219" max="15219" width="13.625" style="3" customWidth="1"/>
    <col min="15220" max="15220" width="14.875" style="3" customWidth="1"/>
    <col min="15221" max="15221" width="13.75" style="3" customWidth="1"/>
    <col min="15222" max="15222" width="14" style="3" customWidth="1"/>
    <col min="15223" max="15223" width="6.625" style="3" customWidth="1"/>
    <col min="15224" max="15224" width="8" style="3" customWidth="1"/>
    <col min="15225" max="15225" width="14.75" style="3" customWidth="1"/>
    <col min="15226" max="15226" width="13.625" style="3" customWidth="1"/>
    <col min="15227" max="15228" width="14.875" style="3" customWidth="1"/>
    <col min="15229" max="15229" width="14" style="3" customWidth="1"/>
    <col min="15230" max="15230" width="6.625" style="3" customWidth="1"/>
    <col min="15231" max="15231" width="8" style="3" customWidth="1"/>
    <col min="15232" max="15232" width="14.75" style="3" customWidth="1"/>
    <col min="15233" max="15233" width="13.625" style="3" customWidth="1"/>
    <col min="15234" max="15234" width="14.875" style="3" customWidth="1"/>
    <col min="15235" max="15235" width="13.75" style="3" customWidth="1"/>
    <col min="15236" max="15236" width="14" style="3" customWidth="1"/>
    <col min="15237" max="15237" width="25" style="3" customWidth="1"/>
    <col min="15238" max="15242" width="28.5" style="3" customWidth="1"/>
    <col min="15243" max="15420" width="9" style="3"/>
    <col min="15421" max="15421" width="11.25" style="3" customWidth="1"/>
    <col min="15422" max="15422" width="5" style="3" customWidth="1"/>
    <col min="15423" max="15423" width="6.625" style="3" customWidth="1"/>
    <col min="15424" max="15424" width="7.625" style="3" customWidth="1"/>
    <col min="15425" max="15425" width="5.5" style="3" customWidth="1"/>
    <col min="15426" max="15426" width="14" style="3" customWidth="1"/>
    <col min="15427" max="15427" width="12.5" style="3" customWidth="1"/>
    <col min="15428" max="15429" width="6" style="3" customWidth="1"/>
    <col min="15430" max="15430" width="7.25" style="3" customWidth="1"/>
    <col min="15431" max="15431" width="13.625" style="3" customWidth="1"/>
    <col min="15432" max="15432" width="9.75" style="3" customWidth="1"/>
    <col min="15433" max="15433" width="7.75" style="3" customWidth="1"/>
    <col min="15434" max="15434" width="14" style="3" customWidth="1"/>
    <col min="15435" max="15435" width="6" style="3" customWidth="1"/>
    <col min="15436" max="15436" width="7.25" style="3" customWidth="1"/>
    <col min="15437" max="15437" width="13.625" style="3" customWidth="1"/>
    <col min="15438" max="15438" width="9.75" style="3" customWidth="1"/>
    <col min="15439" max="15439" width="14" style="3" customWidth="1"/>
    <col min="15440" max="15440" width="5.875" style="3" customWidth="1"/>
    <col min="15441" max="15441" width="7.25" style="3" customWidth="1"/>
    <col min="15442" max="15442" width="13.5" style="3" customWidth="1"/>
    <col min="15443" max="15443" width="9.75" style="3" customWidth="1"/>
    <col min="15444" max="15444" width="14" style="3" customWidth="1"/>
    <col min="15445" max="15445" width="5.875" style="3" customWidth="1"/>
    <col min="15446" max="15446" width="7.25" style="3" customWidth="1"/>
    <col min="15447" max="15447" width="13.625" style="3" customWidth="1"/>
    <col min="15448" max="15449" width="13.5" style="3" customWidth="1"/>
    <col min="15450" max="15451" width="13.625" style="3" customWidth="1"/>
    <col min="15452" max="15452" width="14" style="3" customWidth="1"/>
    <col min="15453" max="15453" width="10.875" style="3" customWidth="1"/>
    <col min="15454" max="15454" width="7.25" style="3" customWidth="1"/>
    <col min="15455" max="15456" width="13.5" style="3" customWidth="1"/>
    <col min="15457" max="15458" width="13.625" style="3" customWidth="1"/>
    <col min="15459" max="15459" width="14" style="3" customWidth="1"/>
    <col min="15460" max="15460" width="10.875" style="3" customWidth="1"/>
    <col min="15461" max="15461" width="7.25" style="3" customWidth="1"/>
    <col min="15462" max="15462" width="13.5" style="3" customWidth="1"/>
    <col min="15463" max="15463" width="13.625" style="3" customWidth="1"/>
    <col min="15464" max="15464" width="14" style="3" customWidth="1"/>
    <col min="15465" max="15465" width="6.625" style="3" customWidth="1"/>
    <col min="15466" max="15466" width="8" style="3" customWidth="1"/>
    <col min="15467" max="15468" width="13.5" style="3" customWidth="1"/>
    <col min="15469" max="15470" width="13.625" style="3" customWidth="1"/>
    <col min="15471" max="15471" width="13.875" style="3" customWidth="1"/>
    <col min="15472" max="15472" width="7.25" style="3" customWidth="1"/>
    <col min="15473" max="15473" width="8" style="3" customWidth="1"/>
    <col min="15474" max="15474" width="14.75" style="3" customWidth="1"/>
    <col min="15475" max="15475" width="13.625" style="3" customWidth="1"/>
    <col min="15476" max="15476" width="14.875" style="3" customWidth="1"/>
    <col min="15477" max="15477" width="13.75" style="3" customWidth="1"/>
    <col min="15478" max="15478" width="14" style="3" customWidth="1"/>
    <col min="15479" max="15479" width="6.625" style="3" customWidth="1"/>
    <col min="15480" max="15480" width="8" style="3" customWidth="1"/>
    <col min="15481" max="15481" width="14.75" style="3" customWidth="1"/>
    <col min="15482" max="15482" width="13.625" style="3" customWidth="1"/>
    <col min="15483" max="15484" width="14.875" style="3" customWidth="1"/>
    <col min="15485" max="15485" width="14" style="3" customWidth="1"/>
    <col min="15486" max="15486" width="6.625" style="3" customWidth="1"/>
    <col min="15487" max="15487" width="8" style="3" customWidth="1"/>
    <col min="15488" max="15488" width="14.75" style="3" customWidth="1"/>
    <col min="15489" max="15489" width="13.625" style="3" customWidth="1"/>
    <col min="15490" max="15490" width="14.875" style="3" customWidth="1"/>
    <col min="15491" max="15491" width="13.75" style="3" customWidth="1"/>
    <col min="15492" max="15492" width="14" style="3" customWidth="1"/>
    <col min="15493" max="15493" width="25" style="3" customWidth="1"/>
    <col min="15494" max="15498" width="28.5" style="3" customWidth="1"/>
    <col min="15499" max="15676" width="9" style="3"/>
    <col min="15677" max="15677" width="11.25" style="3" customWidth="1"/>
    <col min="15678" max="15678" width="5" style="3" customWidth="1"/>
    <col min="15679" max="15679" width="6.625" style="3" customWidth="1"/>
    <col min="15680" max="15680" width="7.625" style="3" customWidth="1"/>
    <col min="15681" max="15681" width="5.5" style="3" customWidth="1"/>
    <col min="15682" max="15682" width="14" style="3" customWidth="1"/>
    <col min="15683" max="15683" width="12.5" style="3" customWidth="1"/>
    <col min="15684" max="15685" width="6" style="3" customWidth="1"/>
    <col min="15686" max="15686" width="7.25" style="3" customWidth="1"/>
    <col min="15687" max="15687" width="13.625" style="3" customWidth="1"/>
    <col min="15688" max="15688" width="9.75" style="3" customWidth="1"/>
    <col min="15689" max="15689" width="7.75" style="3" customWidth="1"/>
    <col min="15690" max="15690" width="14" style="3" customWidth="1"/>
    <col min="15691" max="15691" width="6" style="3" customWidth="1"/>
    <col min="15692" max="15692" width="7.25" style="3" customWidth="1"/>
    <col min="15693" max="15693" width="13.625" style="3" customWidth="1"/>
    <col min="15694" max="15694" width="9.75" style="3" customWidth="1"/>
    <col min="15695" max="15695" width="14" style="3" customWidth="1"/>
    <col min="15696" max="15696" width="5.875" style="3" customWidth="1"/>
    <col min="15697" max="15697" width="7.25" style="3" customWidth="1"/>
    <col min="15698" max="15698" width="13.5" style="3" customWidth="1"/>
    <col min="15699" max="15699" width="9.75" style="3" customWidth="1"/>
    <col min="15700" max="15700" width="14" style="3" customWidth="1"/>
    <col min="15701" max="15701" width="5.875" style="3" customWidth="1"/>
    <col min="15702" max="15702" width="7.25" style="3" customWidth="1"/>
    <col min="15703" max="15703" width="13.625" style="3" customWidth="1"/>
    <col min="15704" max="15705" width="13.5" style="3" customWidth="1"/>
    <col min="15706" max="15707" width="13.625" style="3" customWidth="1"/>
    <col min="15708" max="15708" width="14" style="3" customWidth="1"/>
    <col min="15709" max="15709" width="10.875" style="3" customWidth="1"/>
    <col min="15710" max="15710" width="7.25" style="3" customWidth="1"/>
    <col min="15711" max="15712" width="13.5" style="3" customWidth="1"/>
    <col min="15713" max="15714" width="13.625" style="3" customWidth="1"/>
    <col min="15715" max="15715" width="14" style="3" customWidth="1"/>
    <col min="15716" max="15716" width="10.875" style="3" customWidth="1"/>
    <col min="15717" max="15717" width="7.25" style="3" customWidth="1"/>
    <col min="15718" max="15718" width="13.5" style="3" customWidth="1"/>
    <col min="15719" max="15719" width="13.625" style="3" customWidth="1"/>
    <col min="15720" max="15720" width="14" style="3" customWidth="1"/>
    <col min="15721" max="15721" width="6.625" style="3" customWidth="1"/>
    <col min="15722" max="15722" width="8" style="3" customWidth="1"/>
    <col min="15723" max="15724" width="13.5" style="3" customWidth="1"/>
    <col min="15725" max="15726" width="13.625" style="3" customWidth="1"/>
    <col min="15727" max="15727" width="13.875" style="3" customWidth="1"/>
    <col min="15728" max="15728" width="7.25" style="3" customWidth="1"/>
    <col min="15729" max="15729" width="8" style="3" customWidth="1"/>
    <col min="15730" max="15730" width="14.75" style="3" customWidth="1"/>
    <col min="15731" max="15731" width="13.625" style="3" customWidth="1"/>
    <col min="15732" max="15732" width="14.875" style="3" customWidth="1"/>
    <col min="15733" max="15733" width="13.75" style="3" customWidth="1"/>
    <col min="15734" max="15734" width="14" style="3" customWidth="1"/>
    <col min="15735" max="15735" width="6.625" style="3" customWidth="1"/>
    <col min="15736" max="15736" width="8" style="3" customWidth="1"/>
    <col min="15737" max="15737" width="14.75" style="3" customWidth="1"/>
    <col min="15738" max="15738" width="13.625" style="3" customWidth="1"/>
    <col min="15739" max="15740" width="14.875" style="3" customWidth="1"/>
    <col min="15741" max="15741" width="14" style="3" customWidth="1"/>
    <col min="15742" max="15742" width="6.625" style="3" customWidth="1"/>
    <col min="15743" max="15743" width="8" style="3" customWidth="1"/>
    <col min="15744" max="15744" width="14.75" style="3" customWidth="1"/>
    <col min="15745" max="15745" width="13.625" style="3" customWidth="1"/>
    <col min="15746" max="15746" width="14.875" style="3" customWidth="1"/>
    <col min="15747" max="15747" width="13.75" style="3" customWidth="1"/>
    <col min="15748" max="15748" width="14" style="3" customWidth="1"/>
    <col min="15749" max="15749" width="25" style="3" customWidth="1"/>
    <col min="15750" max="15754" width="28.5" style="3" customWidth="1"/>
    <col min="15755" max="15932" width="9" style="3"/>
    <col min="15933" max="15933" width="11.25" style="3" customWidth="1"/>
    <col min="15934" max="15934" width="5" style="3" customWidth="1"/>
    <col min="15935" max="15935" width="6.625" style="3" customWidth="1"/>
    <col min="15936" max="15936" width="7.625" style="3" customWidth="1"/>
    <col min="15937" max="15937" width="5.5" style="3" customWidth="1"/>
    <col min="15938" max="15938" width="14" style="3" customWidth="1"/>
    <col min="15939" max="15939" width="12.5" style="3" customWidth="1"/>
    <col min="15940" max="15941" width="6" style="3" customWidth="1"/>
    <col min="15942" max="15942" width="7.25" style="3" customWidth="1"/>
    <col min="15943" max="15943" width="13.625" style="3" customWidth="1"/>
    <col min="15944" max="15944" width="9.75" style="3" customWidth="1"/>
    <col min="15945" max="15945" width="7.75" style="3" customWidth="1"/>
    <col min="15946" max="15946" width="14" style="3" customWidth="1"/>
    <col min="15947" max="15947" width="6" style="3" customWidth="1"/>
    <col min="15948" max="15948" width="7.25" style="3" customWidth="1"/>
    <col min="15949" max="15949" width="13.625" style="3" customWidth="1"/>
    <col min="15950" max="15950" width="9.75" style="3" customWidth="1"/>
    <col min="15951" max="15951" width="14" style="3" customWidth="1"/>
    <col min="15952" max="15952" width="5.875" style="3" customWidth="1"/>
    <col min="15953" max="15953" width="7.25" style="3" customWidth="1"/>
    <col min="15954" max="15954" width="13.5" style="3" customWidth="1"/>
    <col min="15955" max="15955" width="9.75" style="3" customWidth="1"/>
    <col min="15956" max="15956" width="14" style="3" customWidth="1"/>
    <col min="15957" max="15957" width="5.875" style="3" customWidth="1"/>
    <col min="15958" max="15958" width="7.25" style="3" customWidth="1"/>
    <col min="15959" max="15959" width="13.625" style="3" customWidth="1"/>
    <col min="15960" max="15961" width="13.5" style="3" customWidth="1"/>
    <col min="15962" max="15963" width="13.625" style="3" customWidth="1"/>
    <col min="15964" max="15964" width="14" style="3" customWidth="1"/>
    <col min="15965" max="15965" width="10.875" style="3" customWidth="1"/>
    <col min="15966" max="15966" width="7.25" style="3" customWidth="1"/>
    <col min="15967" max="15968" width="13.5" style="3" customWidth="1"/>
    <col min="15969" max="15970" width="13.625" style="3" customWidth="1"/>
    <col min="15971" max="15971" width="14" style="3" customWidth="1"/>
    <col min="15972" max="15972" width="10.875" style="3" customWidth="1"/>
    <col min="15973" max="15973" width="7.25" style="3" customWidth="1"/>
    <col min="15974" max="15974" width="13.5" style="3" customWidth="1"/>
    <col min="15975" max="15975" width="13.625" style="3" customWidth="1"/>
    <col min="15976" max="15976" width="14" style="3" customWidth="1"/>
    <col min="15977" max="15977" width="6.625" style="3" customWidth="1"/>
    <col min="15978" max="15978" width="8" style="3" customWidth="1"/>
    <col min="15979" max="15980" width="13.5" style="3" customWidth="1"/>
    <col min="15981" max="15982" width="13.625" style="3" customWidth="1"/>
    <col min="15983" max="15983" width="13.875" style="3" customWidth="1"/>
    <col min="15984" max="15984" width="7.25" style="3" customWidth="1"/>
    <col min="15985" max="15985" width="8" style="3" customWidth="1"/>
    <col min="15986" max="15986" width="14.75" style="3" customWidth="1"/>
    <col min="15987" max="15987" width="13.625" style="3" customWidth="1"/>
    <col min="15988" max="15988" width="14.875" style="3" customWidth="1"/>
    <col min="15989" max="15989" width="13.75" style="3" customWidth="1"/>
    <col min="15990" max="15990" width="14" style="3" customWidth="1"/>
    <col min="15991" max="15991" width="6.625" style="3" customWidth="1"/>
    <col min="15992" max="15992" width="8" style="3" customWidth="1"/>
    <col min="15993" max="15993" width="14.75" style="3" customWidth="1"/>
    <col min="15994" max="15994" width="13.625" style="3" customWidth="1"/>
    <col min="15995" max="15996" width="14.875" style="3" customWidth="1"/>
    <col min="15997" max="15997" width="14" style="3" customWidth="1"/>
    <col min="15998" max="15998" width="6.625" style="3" customWidth="1"/>
    <col min="15999" max="15999" width="8" style="3" customWidth="1"/>
    <col min="16000" max="16000" width="14.75" style="3" customWidth="1"/>
    <col min="16001" max="16001" width="13.625" style="3" customWidth="1"/>
    <col min="16002" max="16002" width="14.875" style="3" customWidth="1"/>
    <col min="16003" max="16003" width="13.75" style="3" customWidth="1"/>
    <col min="16004" max="16004" width="14" style="3" customWidth="1"/>
    <col min="16005" max="16005" width="25" style="3" customWidth="1"/>
    <col min="16006" max="16010" width="28.5" style="3" customWidth="1"/>
    <col min="16011" max="16188" width="9" style="3"/>
    <col min="16189" max="16189" width="11.25" style="3" customWidth="1"/>
    <col min="16190" max="16190" width="5" style="3" customWidth="1"/>
    <col min="16191" max="16191" width="6.625" style="3" customWidth="1"/>
    <col min="16192" max="16192" width="7.625" style="3" customWidth="1"/>
    <col min="16193" max="16193" width="5.5" style="3" customWidth="1"/>
    <col min="16194" max="16194" width="14" style="3" customWidth="1"/>
    <col min="16195" max="16195" width="12.5" style="3" customWidth="1"/>
    <col min="16196" max="16197" width="6" style="3" customWidth="1"/>
    <col min="16198" max="16198" width="7.25" style="3" customWidth="1"/>
    <col min="16199" max="16199" width="13.625" style="3" customWidth="1"/>
    <col min="16200" max="16200" width="9.75" style="3" customWidth="1"/>
    <col min="16201" max="16201" width="7.75" style="3" customWidth="1"/>
    <col min="16202" max="16202" width="14" style="3" customWidth="1"/>
    <col min="16203" max="16203" width="6" style="3" customWidth="1"/>
    <col min="16204" max="16204" width="7.25" style="3" customWidth="1"/>
    <col min="16205" max="16205" width="13.625" style="3" customWidth="1"/>
    <col min="16206" max="16206" width="9.75" style="3" customWidth="1"/>
    <col min="16207" max="16207" width="14" style="3" customWidth="1"/>
    <col min="16208" max="16208" width="5.875" style="3" customWidth="1"/>
    <col min="16209" max="16209" width="7.25" style="3" customWidth="1"/>
    <col min="16210" max="16210" width="13.5" style="3" customWidth="1"/>
    <col min="16211" max="16211" width="9.75" style="3" customWidth="1"/>
    <col min="16212" max="16212" width="14" style="3" customWidth="1"/>
    <col min="16213" max="16213" width="5.875" style="3" customWidth="1"/>
    <col min="16214" max="16214" width="7.25" style="3" customWidth="1"/>
    <col min="16215" max="16215" width="13.625" style="3" customWidth="1"/>
    <col min="16216" max="16217" width="13.5" style="3" customWidth="1"/>
    <col min="16218" max="16219" width="13.625" style="3" customWidth="1"/>
    <col min="16220" max="16220" width="14" style="3" customWidth="1"/>
    <col min="16221" max="16221" width="10.875" style="3" customWidth="1"/>
    <col min="16222" max="16222" width="7.25" style="3" customWidth="1"/>
    <col min="16223" max="16224" width="13.5" style="3" customWidth="1"/>
    <col min="16225" max="16226" width="13.625" style="3" customWidth="1"/>
    <col min="16227" max="16227" width="14" style="3" customWidth="1"/>
    <col min="16228" max="16228" width="10.875" style="3" customWidth="1"/>
    <col min="16229" max="16229" width="7.25" style="3" customWidth="1"/>
    <col min="16230" max="16230" width="13.5" style="3" customWidth="1"/>
    <col min="16231" max="16231" width="13.625" style="3" customWidth="1"/>
    <col min="16232" max="16232" width="14" style="3" customWidth="1"/>
    <col min="16233" max="16233" width="6.625" style="3" customWidth="1"/>
    <col min="16234" max="16234" width="8" style="3" customWidth="1"/>
    <col min="16235" max="16236" width="13.5" style="3" customWidth="1"/>
    <col min="16237" max="16238" width="13.625" style="3" customWidth="1"/>
    <col min="16239" max="16239" width="13.875" style="3" customWidth="1"/>
    <col min="16240" max="16240" width="7.25" style="3" customWidth="1"/>
    <col min="16241" max="16241" width="8" style="3" customWidth="1"/>
    <col min="16242" max="16242" width="14.75" style="3" customWidth="1"/>
    <col min="16243" max="16243" width="13.625" style="3" customWidth="1"/>
    <col min="16244" max="16244" width="14.875" style="3" customWidth="1"/>
    <col min="16245" max="16245" width="13.75" style="3" customWidth="1"/>
    <col min="16246" max="16246" width="14" style="3" customWidth="1"/>
    <col min="16247" max="16247" width="6.625" style="3" customWidth="1"/>
    <col min="16248" max="16248" width="8" style="3" customWidth="1"/>
    <col min="16249" max="16249" width="14.75" style="3" customWidth="1"/>
    <col min="16250" max="16250" width="13.625" style="3" customWidth="1"/>
    <col min="16251" max="16252" width="14.875" style="3" customWidth="1"/>
    <col min="16253" max="16253" width="14" style="3" customWidth="1"/>
    <col min="16254" max="16254" width="6.625" style="3" customWidth="1"/>
    <col min="16255" max="16255" width="8" style="3" customWidth="1"/>
    <col min="16256" max="16256" width="14.75" style="3" customWidth="1"/>
    <col min="16257" max="16257" width="13.625" style="3" customWidth="1"/>
    <col min="16258" max="16258" width="14.875" style="3" customWidth="1"/>
    <col min="16259" max="16259" width="13.75" style="3" customWidth="1"/>
    <col min="16260" max="16260" width="14" style="3" customWidth="1"/>
    <col min="16261" max="16261" width="25" style="3" customWidth="1"/>
    <col min="16262" max="16266" width="28.5" style="3" customWidth="1"/>
    <col min="16267" max="16384" width="9" style="3"/>
  </cols>
  <sheetData>
    <row r="1" spans="1:197" ht="16.5" thickBot="1" x14ac:dyDescent="0.3">
      <c r="B1" s="344" t="s">
        <v>133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6"/>
      <c r="V1" s="344" t="s">
        <v>134</v>
      </c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28"/>
      <c r="AP1" s="26"/>
      <c r="AU1" s="26"/>
      <c r="AV1" s="26"/>
      <c r="FG1" s="348" t="s">
        <v>157</v>
      </c>
      <c r="FH1" s="348"/>
      <c r="FI1" s="348"/>
      <c r="FJ1" s="348"/>
      <c r="FK1" s="348"/>
      <c r="FL1" s="348" t="s">
        <v>156</v>
      </c>
      <c r="FM1" s="349"/>
      <c r="FN1" s="349"/>
      <c r="FO1" s="349"/>
    </row>
    <row r="2" spans="1:197" ht="17.25" x14ac:dyDescent="0.3">
      <c r="A2" s="4"/>
      <c r="B2" s="64" t="s">
        <v>111</v>
      </c>
      <c r="C2" s="64" t="s">
        <v>57</v>
      </c>
      <c r="D2" s="64" t="s">
        <v>113</v>
      </c>
      <c r="E2" s="65" t="s">
        <v>6</v>
      </c>
      <c r="F2" s="66" t="s">
        <v>114</v>
      </c>
      <c r="G2" s="66" t="s">
        <v>116</v>
      </c>
      <c r="H2" s="66" t="s">
        <v>71</v>
      </c>
      <c r="I2" s="67" t="s">
        <v>118</v>
      </c>
      <c r="J2" s="66" t="s">
        <v>120</v>
      </c>
      <c r="K2" s="66" t="s">
        <v>121</v>
      </c>
      <c r="L2" s="66" t="s">
        <v>122</v>
      </c>
      <c r="M2" s="66" t="s">
        <v>123</v>
      </c>
      <c r="N2" s="66" t="s">
        <v>124</v>
      </c>
      <c r="O2" s="66" t="s">
        <v>126</v>
      </c>
      <c r="P2" s="66" t="s">
        <v>127</v>
      </c>
      <c r="Q2" s="66" t="s">
        <v>128</v>
      </c>
      <c r="R2" s="66" t="s">
        <v>163</v>
      </c>
      <c r="S2" s="66" t="s">
        <v>160</v>
      </c>
      <c r="T2" s="68" t="s">
        <v>131</v>
      </c>
      <c r="U2" s="68" t="s">
        <v>131</v>
      </c>
      <c r="V2" s="340" t="s">
        <v>0</v>
      </c>
      <c r="W2" s="342" t="s">
        <v>38</v>
      </c>
      <c r="X2" s="69" t="s">
        <v>40</v>
      </c>
      <c r="Y2" s="69" t="s">
        <v>41</v>
      </c>
      <c r="Z2" s="69" t="s">
        <v>42</v>
      </c>
      <c r="AA2" s="69" t="s">
        <v>43</v>
      </c>
      <c r="AB2" s="69" t="s">
        <v>44</v>
      </c>
      <c r="AC2" s="69" t="s">
        <v>45</v>
      </c>
      <c r="AD2" s="69" t="s">
        <v>46</v>
      </c>
      <c r="AE2" s="69" t="s">
        <v>47</v>
      </c>
      <c r="AF2" s="69" t="s">
        <v>48</v>
      </c>
      <c r="AG2" s="69" t="s">
        <v>49</v>
      </c>
      <c r="AH2" s="69" t="s">
        <v>50</v>
      </c>
      <c r="AI2" s="69" t="s">
        <v>51</v>
      </c>
      <c r="AJ2" s="69" t="s">
        <v>52</v>
      </c>
      <c r="AK2" s="69" t="s">
        <v>53</v>
      </c>
      <c r="AL2" s="69" t="s">
        <v>54</v>
      </c>
      <c r="AM2" s="69" t="s">
        <v>55</v>
      </c>
      <c r="AN2" s="70" t="s">
        <v>56</v>
      </c>
      <c r="AO2" s="1" t="s">
        <v>141</v>
      </c>
      <c r="AP2" s="1" t="s">
        <v>137</v>
      </c>
      <c r="AQ2" s="84" t="s">
        <v>8</v>
      </c>
      <c r="AR2" s="84" t="s">
        <v>9</v>
      </c>
      <c r="AS2" s="84" t="s">
        <v>10</v>
      </c>
      <c r="AT2" s="84" t="s">
        <v>11</v>
      </c>
      <c r="AU2" s="1" t="s">
        <v>142</v>
      </c>
      <c r="AV2" s="1" t="s">
        <v>121</v>
      </c>
      <c r="AW2" s="84" t="s">
        <v>143</v>
      </c>
      <c r="AX2" s="84" t="s">
        <v>144</v>
      </c>
      <c r="AY2" s="84" t="s">
        <v>145</v>
      </c>
      <c r="AZ2" s="84" t="s">
        <v>20</v>
      </c>
      <c r="BA2" s="84" t="s">
        <v>146</v>
      </c>
      <c r="BB2" s="84" t="s">
        <v>21</v>
      </c>
      <c r="BC2" s="84" t="s">
        <v>24</v>
      </c>
      <c r="BD2" s="84" t="s">
        <v>25</v>
      </c>
      <c r="BE2" s="84" t="s">
        <v>28</v>
      </c>
      <c r="BF2" s="84" t="s">
        <v>29</v>
      </c>
      <c r="BG2" s="84" t="s">
        <v>32</v>
      </c>
      <c r="BH2" s="84" t="s">
        <v>33</v>
      </c>
      <c r="BJ2" s="3"/>
      <c r="BK2" s="3"/>
      <c r="BL2" s="3"/>
      <c r="BM2" s="3"/>
      <c r="BP2" s="3"/>
      <c r="BT2" s="3"/>
      <c r="DF2" s="61" t="s">
        <v>165</v>
      </c>
      <c r="DG2" s="1" t="s">
        <v>143</v>
      </c>
      <c r="DH2" s="112" t="s">
        <v>159</v>
      </c>
      <c r="DI2" s="111" t="s">
        <v>158</v>
      </c>
      <c r="DJ2" s="133" t="s">
        <v>142</v>
      </c>
      <c r="DK2" s="134" t="s">
        <v>1</v>
      </c>
      <c r="DL2" s="61" t="s">
        <v>135</v>
      </c>
      <c r="DM2" s="61" t="s">
        <v>71</v>
      </c>
      <c r="DN2" s="73" t="s">
        <v>62</v>
      </c>
      <c r="DO2" s="61" t="s">
        <v>148</v>
      </c>
      <c r="DP2" s="61" t="s">
        <v>72</v>
      </c>
      <c r="DQ2" s="61" t="s">
        <v>73</v>
      </c>
      <c r="DR2" s="61" t="s">
        <v>106</v>
      </c>
      <c r="DS2" s="61" t="s">
        <v>138</v>
      </c>
      <c r="DT2" s="61" t="s">
        <v>139</v>
      </c>
      <c r="DU2" s="61" t="s">
        <v>76</v>
      </c>
      <c r="DV2" s="61" t="s">
        <v>101</v>
      </c>
      <c r="DW2" s="74" t="s">
        <v>102</v>
      </c>
      <c r="DX2" s="61" t="s">
        <v>75</v>
      </c>
      <c r="DY2" s="75" t="s">
        <v>107</v>
      </c>
      <c r="DZ2" s="75" t="s">
        <v>108</v>
      </c>
      <c r="EA2" s="75" t="s">
        <v>109</v>
      </c>
      <c r="EB2" s="61" t="s">
        <v>61</v>
      </c>
      <c r="EC2" s="61" t="s">
        <v>103</v>
      </c>
      <c r="ED2" s="61" t="s">
        <v>104</v>
      </c>
      <c r="EE2" s="61" t="s">
        <v>77</v>
      </c>
      <c r="EF2" s="61" t="s">
        <v>78</v>
      </c>
      <c r="EG2" s="1" t="s">
        <v>7</v>
      </c>
      <c r="EH2" s="1" t="s">
        <v>4</v>
      </c>
      <c r="EI2" s="1" t="s">
        <v>9</v>
      </c>
      <c r="EJ2" s="1" t="s">
        <v>11</v>
      </c>
      <c r="EK2" s="1" t="s">
        <v>12</v>
      </c>
      <c r="EL2" s="1" t="s">
        <v>13</v>
      </c>
      <c r="EM2" s="107" t="s">
        <v>14</v>
      </c>
      <c r="EN2" s="1" t="s">
        <v>15</v>
      </c>
      <c r="EO2" s="107" t="s">
        <v>16</v>
      </c>
      <c r="EP2" s="24" t="s">
        <v>110</v>
      </c>
      <c r="EQ2" s="1" t="s">
        <v>17</v>
      </c>
      <c r="ER2" s="1" t="s">
        <v>18</v>
      </c>
      <c r="ES2" s="107" t="s">
        <v>14</v>
      </c>
      <c r="ET2" s="1" t="s">
        <v>19</v>
      </c>
      <c r="EU2" s="107" t="s">
        <v>16</v>
      </c>
      <c r="EV2" s="1" t="s">
        <v>20</v>
      </c>
      <c r="EW2" s="1" t="s">
        <v>21</v>
      </c>
      <c r="EX2" s="1" t="s">
        <v>22</v>
      </c>
      <c r="EY2" s="107" t="s">
        <v>14</v>
      </c>
      <c r="EZ2" s="1" t="s">
        <v>23</v>
      </c>
      <c r="FA2" s="107" t="s">
        <v>16</v>
      </c>
      <c r="FB2" s="1" t="s">
        <v>25</v>
      </c>
      <c r="FC2" s="1" t="s">
        <v>26</v>
      </c>
      <c r="FD2" s="107" t="s">
        <v>14</v>
      </c>
      <c r="FE2" s="1" t="s">
        <v>27</v>
      </c>
      <c r="FF2" s="107" t="s">
        <v>16</v>
      </c>
      <c r="FG2" s="1" t="s">
        <v>29</v>
      </c>
      <c r="FH2" s="1" t="s">
        <v>30</v>
      </c>
      <c r="FI2" s="107" t="s">
        <v>14</v>
      </c>
      <c r="FJ2" s="1" t="s">
        <v>31</v>
      </c>
      <c r="FK2" s="107" t="s">
        <v>16</v>
      </c>
      <c r="FL2" s="1" t="s">
        <v>33</v>
      </c>
      <c r="FM2" s="1" t="s">
        <v>34</v>
      </c>
      <c r="FN2" s="107" t="s">
        <v>14</v>
      </c>
      <c r="FO2" s="1" t="s">
        <v>35</v>
      </c>
      <c r="FP2" s="104" t="s">
        <v>16</v>
      </c>
      <c r="FQ2" s="103" t="s">
        <v>79</v>
      </c>
      <c r="FR2" s="103" t="s">
        <v>80</v>
      </c>
      <c r="FS2" s="103" t="s">
        <v>81</v>
      </c>
      <c r="FT2" s="103" t="s">
        <v>82</v>
      </c>
      <c r="FU2" s="103" t="s">
        <v>83</v>
      </c>
      <c r="FV2" s="103" t="s">
        <v>84</v>
      </c>
      <c r="FW2" s="103" t="s">
        <v>85</v>
      </c>
      <c r="FX2" s="103" t="s">
        <v>86</v>
      </c>
      <c r="FY2" s="103" t="s">
        <v>87</v>
      </c>
      <c r="FZ2" s="103" t="s">
        <v>88</v>
      </c>
      <c r="GA2" s="103" t="s">
        <v>90</v>
      </c>
      <c r="GB2" s="1" t="s">
        <v>105</v>
      </c>
      <c r="GC2" s="103" t="s">
        <v>89</v>
      </c>
      <c r="GD2" s="79" t="s">
        <v>58</v>
      </c>
      <c r="GE2" s="79" t="s">
        <v>59</v>
      </c>
      <c r="GF2" s="79" t="s">
        <v>60</v>
      </c>
      <c r="GG2" s="80" t="s">
        <v>63</v>
      </c>
      <c r="GH2" s="80" t="s">
        <v>64</v>
      </c>
      <c r="GI2" s="80" t="s">
        <v>162</v>
      </c>
      <c r="GJ2" s="80" t="s">
        <v>65</v>
      </c>
      <c r="GK2" s="80" t="s">
        <v>66</v>
      </c>
      <c r="GL2" s="80" t="s">
        <v>67</v>
      </c>
      <c r="GM2" s="80" t="s">
        <v>39</v>
      </c>
      <c r="GN2" s="80" t="s">
        <v>68</v>
      </c>
      <c r="GO2" s="80" t="s">
        <v>69</v>
      </c>
    </row>
    <row r="3" spans="1:197" ht="15.75" customHeight="1" x14ac:dyDescent="0.3">
      <c r="A3" s="5" t="s">
        <v>112</v>
      </c>
      <c r="B3" s="23" t="s">
        <v>125</v>
      </c>
      <c r="C3" s="22" t="s">
        <v>70</v>
      </c>
      <c r="D3" s="23" t="s">
        <v>2</v>
      </c>
      <c r="E3" s="54" t="s">
        <v>36</v>
      </c>
      <c r="F3" s="5" t="s">
        <v>115</v>
      </c>
      <c r="G3" s="5" t="s">
        <v>115</v>
      </c>
      <c r="H3" s="5" t="s">
        <v>117</v>
      </c>
      <c r="I3" s="62" t="s">
        <v>119</v>
      </c>
      <c r="J3" s="62" t="s">
        <v>119</v>
      </c>
      <c r="K3" s="5" t="s">
        <v>119</v>
      </c>
      <c r="L3" s="5" t="s">
        <v>2</v>
      </c>
      <c r="M3" s="5" t="s">
        <v>119</v>
      </c>
      <c r="N3" s="5" t="s">
        <v>119</v>
      </c>
      <c r="O3" s="5" t="s">
        <v>119</v>
      </c>
      <c r="P3" s="5" t="s">
        <v>119</v>
      </c>
      <c r="Q3" s="5" t="s">
        <v>129</v>
      </c>
      <c r="R3" s="5" t="s">
        <v>130</v>
      </c>
      <c r="S3" s="5" t="s">
        <v>161</v>
      </c>
      <c r="T3" s="5" t="s">
        <v>155</v>
      </c>
      <c r="U3" s="5" t="s">
        <v>132</v>
      </c>
      <c r="V3" s="341"/>
      <c r="W3" s="343"/>
      <c r="X3" s="83" t="s">
        <v>115</v>
      </c>
      <c r="Y3" s="83" t="s">
        <v>3</v>
      </c>
      <c r="Z3" s="83" t="s">
        <v>140</v>
      </c>
      <c r="AA3" s="83" t="s">
        <v>140</v>
      </c>
      <c r="AB3" s="83" t="s">
        <v>140</v>
      </c>
      <c r="AC3" s="83" t="s">
        <v>140</v>
      </c>
      <c r="AD3" s="83" t="s">
        <v>140</v>
      </c>
      <c r="AE3" s="83" t="s">
        <v>140</v>
      </c>
      <c r="AF3" s="83" t="s">
        <v>140</v>
      </c>
      <c r="AG3" s="83" t="s">
        <v>140</v>
      </c>
      <c r="AH3" s="83" t="s">
        <v>140</v>
      </c>
      <c r="AI3" s="83" t="s">
        <v>140</v>
      </c>
      <c r="AJ3" s="83" t="s">
        <v>140</v>
      </c>
      <c r="AK3" s="83" t="s">
        <v>140</v>
      </c>
      <c r="AL3" s="83" t="s">
        <v>140</v>
      </c>
      <c r="AM3" s="83" t="s">
        <v>140</v>
      </c>
      <c r="AN3" s="83" t="s">
        <v>140</v>
      </c>
      <c r="AO3" s="5" t="s">
        <v>119</v>
      </c>
      <c r="AP3" s="5" t="s">
        <v>119</v>
      </c>
      <c r="AQ3" s="2" t="s">
        <v>2</v>
      </c>
      <c r="AR3" s="2" t="s">
        <v>5</v>
      </c>
      <c r="AS3" s="2" t="s">
        <v>2</v>
      </c>
      <c r="AT3" s="2" t="s">
        <v>5</v>
      </c>
      <c r="AU3" s="5" t="s">
        <v>147</v>
      </c>
      <c r="AV3" s="5" t="s">
        <v>119</v>
      </c>
      <c r="AW3" s="2" t="s">
        <v>2</v>
      </c>
      <c r="AX3" s="2" t="s">
        <v>119</v>
      </c>
      <c r="AY3" s="2" t="s">
        <v>2</v>
      </c>
      <c r="AZ3" s="2" t="s">
        <v>119</v>
      </c>
      <c r="BA3" s="2" t="s">
        <v>2</v>
      </c>
      <c r="BB3" s="2" t="s">
        <v>119</v>
      </c>
      <c r="BC3" s="2" t="s">
        <v>2</v>
      </c>
      <c r="BD3" s="2" t="s">
        <v>5</v>
      </c>
      <c r="BE3" s="2" t="s">
        <v>2</v>
      </c>
      <c r="BF3" s="2" t="s">
        <v>5</v>
      </c>
      <c r="BG3" s="2" t="s">
        <v>2</v>
      </c>
      <c r="BH3" s="2" t="s">
        <v>5</v>
      </c>
      <c r="BJ3" s="3"/>
      <c r="BK3" s="3"/>
      <c r="BL3" s="3"/>
      <c r="BM3" s="3"/>
      <c r="BP3" s="3"/>
      <c r="BT3" s="3"/>
      <c r="DF3" s="5" t="s">
        <v>164</v>
      </c>
      <c r="DG3" s="5" t="s">
        <v>2</v>
      </c>
      <c r="DH3" s="5" t="s">
        <v>136</v>
      </c>
      <c r="DI3" s="113"/>
      <c r="DJ3" s="5" t="s">
        <v>2</v>
      </c>
      <c r="DK3" s="71" t="s">
        <v>2</v>
      </c>
      <c r="DL3" s="72" t="s">
        <v>115</v>
      </c>
      <c r="DM3" s="28" t="s">
        <v>136</v>
      </c>
      <c r="DN3" s="28" t="s">
        <v>136</v>
      </c>
      <c r="DO3" s="28" t="s">
        <v>136</v>
      </c>
      <c r="DP3" s="28" t="s">
        <v>136</v>
      </c>
      <c r="DQ3" s="72" t="s">
        <v>36</v>
      </c>
      <c r="DR3" s="72" t="s">
        <v>164</v>
      </c>
      <c r="DS3" s="28" t="s">
        <v>136</v>
      </c>
      <c r="DT3" s="28" t="s">
        <v>36</v>
      </c>
      <c r="DU3" s="28" t="s">
        <v>119</v>
      </c>
      <c r="DV3" s="28" t="s">
        <v>36</v>
      </c>
      <c r="DW3" s="28" t="s">
        <v>36</v>
      </c>
      <c r="DX3" s="28" t="s">
        <v>74</v>
      </c>
      <c r="DY3" s="76" t="s">
        <v>140</v>
      </c>
      <c r="DZ3" s="76" t="s">
        <v>140</v>
      </c>
      <c r="EA3" s="76" t="s">
        <v>140</v>
      </c>
      <c r="EB3" s="28" t="s">
        <v>136</v>
      </c>
      <c r="EC3" s="28" t="s">
        <v>36</v>
      </c>
      <c r="ED3" s="28" t="s">
        <v>36</v>
      </c>
      <c r="EE3" s="28" t="s">
        <v>36</v>
      </c>
      <c r="EF3" s="28" t="s">
        <v>36</v>
      </c>
      <c r="EG3" s="9" t="s">
        <v>136</v>
      </c>
      <c r="EH3" s="9" t="s">
        <v>136</v>
      </c>
      <c r="EI3" s="9" t="s">
        <v>136</v>
      </c>
      <c r="EJ3" s="9" t="s">
        <v>136</v>
      </c>
      <c r="EK3" s="9" t="s">
        <v>136</v>
      </c>
      <c r="EL3" s="9" t="s">
        <v>37</v>
      </c>
      <c r="EM3" s="108" t="s">
        <v>37</v>
      </c>
      <c r="EN3" s="9" t="s">
        <v>37</v>
      </c>
      <c r="EO3" s="108" t="s">
        <v>37</v>
      </c>
      <c r="EP3" s="77"/>
      <c r="EQ3" s="78" t="s">
        <v>136</v>
      </c>
      <c r="ER3" s="9" t="s">
        <v>37</v>
      </c>
      <c r="ES3" s="108" t="s">
        <v>37</v>
      </c>
      <c r="ET3" s="9" t="s">
        <v>37</v>
      </c>
      <c r="EU3" s="108" t="s">
        <v>37</v>
      </c>
      <c r="EV3" s="78" t="s">
        <v>136</v>
      </c>
      <c r="EW3" s="78" t="s">
        <v>136</v>
      </c>
      <c r="EX3" s="9" t="s">
        <v>37</v>
      </c>
      <c r="EY3" s="108" t="s">
        <v>37</v>
      </c>
      <c r="EZ3" s="9" t="s">
        <v>37</v>
      </c>
      <c r="FA3" s="108" t="s">
        <v>37</v>
      </c>
      <c r="FB3" s="78" t="s">
        <v>136</v>
      </c>
      <c r="FC3" s="9" t="s">
        <v>37</v>
      </c>
      <c r="FD3" s="108" t="s">
        <v>37</v>
      </c>
      <c r="FE3" s="9" t="s">
        <v>37</v>
      </c>
      <c r="FF3" s="108" t="s">
        <v>37</v>
      </c>
      <c r="FG3" s="78" t="s">
        <v>136</v>
      </c>
      <c r="FH3" s="9" t="s">
        <v>37</v>
      </c>
      <c r="FI3" s="108" t="s">
        <v>37</v>
      </c>
      <c r="FJ3" s="9" t="s">
        <v>37</v>
      </c>
      <c r="FK3" s="108" t="s">
        <v>37</v>
      </c>
      <c r="FL3" s="78" t="s">
        <v>136</v>
      </c>
      <c r="FM3" s="9" t="s">
        <v>37</v>
      </c>
      <c r="FN3" s="108" t="s">
        <v>37</v>
      </c>
      <c r="FO3" s="9" t="s">
        <v>37</v>
      </c>
      <c r="FP3" s="105" t="s">
        <v>37</v>
      </c>
      <c r="FQ3" s="9" t="s">
        <v>154</v>
      </c>
      <c r="FR3" s="9" t="s">
        <v>154</v>
      </c>
      <c r="FS3" s="9" t="s">
        <v>154</v>
      </c>
      <c r="FT3" s="9" t="s">
        <v>154</v>
      </c>
      <c r="FU3" s="9" t="s">
        <v>154</v>
      </c>
      <c r="FV3" s="9" t="s">
        <v>154</v>
      </c>
      <c r="FW3" s="9" t="s">
        <v>154</v>
      </c>
      <c r="FX3" s="9" t="s">
        <v>154</v>
      </c>
      <c r="FY3" s="9" t="s">
        <v>154</v>
      </c>
      <c r="FZ3" s="9" t="s">
        <v>154</v>
      </c>
      <c r="GA3" s="9" t="s">
        <v>154</v>
      </c>
      <c r="GB3" s="9"/>
      <c r="GC3" s="9" t="s">
        <v>154</v>
      </c>
      <c r="GD3" s="88" t="s">
        <v>2</v>
      </c>
      <c r="GE3" s="88" t="s">
        <v>2</v>
      </c>
      <c r="GF3" s="88" t="s">
        <v>2</v>
      </c>
      <c r="GG3" s="81"/>
      <c r="GH3" s="81"/>
      <c r="GI3" s="81"/>
      <c r="GJ3" s="81"/>
      <c r="GK3" s="81"/>
      <c r="GL3" s="81"/>
      <c r="GM3" s="81"/>
      <c r="GN3" s="81"/>
      <c r="GO3" s="81"/>
    </row>
    <row r="4" spans="1:197" x14ac:dyDescent="0.25">
      <c r="A4" s="6">
        <v>1</v>
      </c>
      <c r="B4" s="86">
        <v>29347.813812725246</v>
      </c>
      <c r="C4" s="86">
        <v>17</v>
      </c>
      <c r="D4" s="9">
        <v>19</v>
      </c>
      <c r="E4" s="8">
        <v>50016</v>
      </c>
      <c r="F4" s="28">
        <v>2</v>
      </c>
      <c r="G4" s="28">
        <v>0.05</v>
      </c>
      <c r="H4" s="87">
        <v>398.55355834960937</v>
      </c>
      <c r="I4" s="42">
        <v>180</v>
      </c>
      <c r="J4" s="87">
        <v>90</v>
      </c>
      <c r="K4" s="28">
        <v>30</v>
      </c>
      <c r="L4" s="28">
        <v>21.47</v>
      </c>
      <c r="M4" s="13">
        <v>27.577817916870117</v>
      </c>
      <c r="N4" s="28">
        <v>37</v>
      </c>
      <c r="O4" s="13">
        <v>11.573086738586426</v>
      </c>
      <c r="P4" s="13">
        <v>10.588361740112305</v>
      </c>
      <c r="Q4" s="85">
        <v>9.4833525866270065</v>
      </c>
      <c r="R4" s="86">
        <v>0</v>
      </c>
      <c r="S4" s="7">
        <v>3.6976900100708008</v>
      </c>
      <c r="T4" s="86">
        <v>74063.777500882745</v>
      </c>
      <c r="U4" s="86">
        <f>T4/C4</f>
        <v>4356.6927941695731</v>
      </c>
      <c r="V4" s="7">
        <v>14</v>
      </c>
      <c r="W4" s="7">
        <v>14</v>
      </c>
      <c r="X4" s="6">
        <v>10</v>
      </c>
      <c r="Y4" s="6">
        <v>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3"/>
      <c r="AO4" s="10">
        <v>681.69</v>
      </c>
      <c r="AP4" s="11">
        <v>30</v>
      </c>
      <c r="AQ4" s="12">
        <f xml:space="preserve"> DK4+D4</f>
        <v>19.341093744338345</v>
      </c>
      <c r="AR4" s="12">
        <f>DM4</f>
        <v>671.55355834960937</v>
      </c>
      <c r="AS4" s="9">
        <f>AQ4</f>
        <v>19.341093744338345</v>
      </c>
      <c r="AT4" s="9">
        <f>DM4</f>
        <v>671.55355834960937</v>
      </c>
      <c r="AU4" s="9">
        <v>91.553185282449704</v>
      </c>
      <c r="AV4" s="9">
        <f>K4</f>
        <v>30</v>
      </c>
      <c r="AW4" s="9">
        <f ca="1">GE4</f>
        <v>1.8958232785791784</v>
      </c>
      <c r="AX4" s="9">
        <f>I4</f>
        <v>180</v>
      </c>
      <c r="AY4" s="9">
        <f>GD4</f>
        <v>19.341093744338345</v>
      </c>
      <c r="AZ4" s="9">
        <f>AO4</f>
        <v>681.69</v>
      </c>
      <c r="BA4" s="13">
        <f ca="1">GF4</f>
        <v>5134.3423023461482</v>
      </c>
      <c r="BB4" s="10">
        <f>P4</f>
        <v>10.588361740112305</v>
      </c>
      <c r="BC4" s="9">
        <f ca="1">GF4</f>
        <v>5134.3423023461482</v>
      </c>
      <c r="BD4" s="9">
        <f>O4</f>
        <v>11.573086738586426</v>
      </c>
      <c r="BE4" s="9">
        <f>L4</f>
        <v>21.47</v>
      </c>
      <c r="BF4" s="9">
        <f>M4</f>
        <v>27.577817916870117</v>
      </c>
      <c r="BG4" s="7">
        <f>L4</f>
        <v>21.47</v>
      </c>
      <c r="BH4" s="9">
        <f>N4</f>
        <v>37</v>
      </c>
      <c r="BJ4" s="3"/>
      <c r="BK4" s="3"/>
      <c r="BL4" s="3"/>
      <c r="BM4" s="3"/>
      <c r="BP4" s="3"/>
      <c r="BT4" s="3"/>
      <c r="DF4" s="20">
        <v>0.21890000000000001</v>
      </c>
      <c r="DG4" s="15">
        <f>(1/3.6)*S4</f>
        <v>1.0271361139085557</v>
      </c>
      <c r="DH4" s="15">
        <f ca="1">DM4-DO4</f>
        <v>252.74200214787379</v>
      </c>
      <c r="DI4" s="100">
        <f ca="1">0.991615+(0.0000699703*DH4)+(0.00000027129*DH4^2)-(0.000000000122442*DH4^3)</f>
        <v>1.0246522375497482</v>
      </c>
      <c r="DJ4" s="20">
        <f>(AU4/C4)*0.2778</f>
        <v>1.4960867571449721</v>
      </c>
      <c r="DK4" s="25">
        <f>(0.0002778/1.406)*(B4/C4)</f>
        <v>0.341093744338343</v>
      </c>
      <c r="DL4" s="26">
        <f t="shared" ref="DL4:DL34" si="0">F4/100</f>
        <v>0.02</v>
      </c>
      <c r="DM4" s="15">
        <f t="shared" ref="DM4:DM34" si="1">H4+273</f>
        <v>671.55355834960937</v>
      </c>
      <c r="DN4" s="41">
        <f t="shared" ref="DN4:DN34" si="2">20+DP4</f>
        <v>473</v>
      </c>
      <c r="DO4" s="15">
        <f t="shared" ref="DO4:DO34" ca="1" si="3">DN4-GB4</f>
        <v>418.81155620173558</v>
      </c>
      <c r="DP4" s="26">
        <f t="shared" ref="DP4:DP34" si="4">I4+273</f>
        <v>453</v>
      </c>
      <c r="DQ4" s="21">
        <f t="shared" ref="DQ4:DQ34" ca="1" si="5">FORECAST(I4,OFFSET(KnownYhvapour,MATCH(I4,KnownXhvapour,1)-1,0,2),OFFSET(KnownXhvapour,MATCH(I4,KnownXhvapour,1)-1,0,2))</f>
        <v>2816.5993052117487</v>
      </c>
      <c r="DR4" s="21">
        <v>2.87E-2</v>
      </c>
      <c r="DS4" s="26">
        <f t="shared" ref="DS4:DS34" si="6">K4+273</f>
        <v>303</v>
      </c>
      <c r="DT4" s="102">
        <f t="shared" ref="DT4:DT34" ca="1" si="7">FORECAST(K4,OFFSET(KnownYhliquid,MATCH(K4,KnownXhliquid,1)-1,0,2),OFFSET(KnownXhliquid,MATCH(K4,KnownXhliquid,1)-1,0,2))</f>
        <v>125.80344444444444</v>
      </c>
      <c r="DU4" s="15">
        <f t="shared" ref="DU4:DU34" si="8">I4-15</f>
        <v>165</v>
      </c>
      <c r="DV4" s="15">
        <f t="shared" ref="DV4:DV34" ca="1" si="9">FORECAST(DU4,OFFSET(KnownYhliquid,MATCH(DU4,KnownXhliquid,1)-1,0,2),OFFSET(KnownXhliquid,MATCH(DU4,KnownXhliquid,1)-1,0,2))</f>
        <v>690.58718083896258</v>
      </c>
      <c r="DW4" s="15">
        <f t="shared" ref="DW4:DW34" ca="1" si="10">FORECAST(DU4,OFFSET(KnownYhvapour,MATCH(DU4,KnownXhvapour,1)-1,0,2),OFFSET(KnownXhvapour,MATCH(DU4,KnownXhvapour,1)-1,0,2))</f>
        <v>2790.6388281929471</v>
      </c>
      <c r="DX4" s="15">
        <f t="shared" ref="DX4:DX34" si="11">0.991615+(6.99703*10^(-5)*H4)+(2.7129*10^(-7)*H4^2)-(1.22442*10^(-10)*H4^3)</f>
        <v>1.0548433709745082</v>
      </c>
      <c r="DY4" s="15">
        <f t="shared" ref="DY4:DY34" si="12">((Z4*EP4)-(AA4*EP4))+(AB4+AC4+AD4)</f>
        <v>0</v>
      </c>
      <c r="DZ4" s="15">
        <f t="shared" ref="DZ4:DZ34" si="13">((AE4*EP4)-(AF4*EP4))+(AG4+AH4+AI4)</f>
        <v>0</v>
      </c>
      <c r="EA4" s="15">
        <f t="shared" ref="EA4:EA34" si="14">((AJ4*EP4)-(AK4*EP4))+(AL4+AM4+AN4)</f>
        <v>0</v>
      </c>
      <c r="EB4" s="15">
        <f t="shared" ref="EB4:EB34" si="15">M4+273</f>
        <v>300.57781791687012</v>
      </c>
      <c r="EC4" s="15">
        <f t="shared" ref="EC4:EC34" ca="1" si="16">FORECAST(M4,OFFSET(KnownY1SAC,MATCH(M4,KnownX1SAC,1)-1,0,2),OFFSET(KnownX1SAC,MATCH(M4,KnownX1SAC,1)-1,0,2))</f>
        <v>115.50067662853665</v>
      </c>
      <c r="ED4" s="15">
        <f t="shared" ref="ED4:ED34" ca="1" si="17">FORECAST(N4,OFFSET(KnownY1SAC,MATCH(N4,KnownX1SAC,1)-1,0,2),OFFSET(KnownX1SAC,MATCH(N4,KnownX1SAC,1)-1,0,2))</f>
        <v>154.93355555555553</v>
      </c>
      <c r="EE4" s="15">
        <f t="shared" ref="EE4:EE34" ca="1" si="18">FORECAST(O4,OFFSET(KnownY1SAC,MATCH(O4,KnownX1SAC,1)-1,0,2),OFFSET(KnownX1SAC,MATCH(O4,KnownX1SAC,1)-1,0,2))</f>
        <v>48.51909834395515</v>
      </c>
      <c r="EF4" s="15">
        <f t="shared" ref="EF4:EF34" ca="1" si="19">FORECAST(P4,OFFSET(KnownY1SAC,MATCH(P4,KnownX1SAC,1)-1,0,2),OFFSET(KnownX1SAC,MATCH(P4,KnownX1SAC,1)-1,0,2))</f>
        <v>44.397914811452239</v>
      </c>
      <c r="EG4" s="17">
        <f>DM4</f>
        <v>671.55355834960937</v>
      </c>
      <c r="EH4" s="17">
        <f t="shared" ref="EH4:EH34" si="20">AP4+273</f>
        <v>303</v>
      </c>
      <c r="EI4" s="17">
        <f>H4+273</f>
        <v>671.55355834960937</v>
      </c>
      <c r="EJ4" s="17">
        <f>H4+273</f>
        <v>671.55355834960937</v>
      </c>
      <c r="EK4" s="17">
        <f>AV4+273</f>
        <v>303</v>
      </c>
      <c r="EL4" s="15">
        <f t="shared" ref="EL4:EL34" ca="1" si="21">FORECAST(AV4,OFFSET(KnownYhliquid,MATCH(AV4,KnownXhliquid,1)-1,0,2),OFFSET(KnownXhliquid,MATCH(AV4,KnownXhliquid,1)-1,0,2))</f>
        <v>125.80344444444444</v>
      </c>
      <c r="EM4" s="108">
        <v>104.83</v>
      </c>
      <c r="EN4" s="21">
        <f t="shared" ref="EN4:EN34" ca="1" si="22">FORECAST(AV4,OFFSET(KnownYsliquidtropy,MATCH(AV4,KnownXsliquidtropy,1)-1,0,2),OFFSET(KnownXsliquidtropy,MATCH(AV4,KnownXsliquidtropy,1)-1,0,2))</f>
        <v>0.43681333333333322</v>
      </c>
      <c r="EO4" s="109">
        <v>0.36720000000000003</v>
      </c>
      <c r="EP4" s="26">
        <f t="shared" ref="EP4:EP34" si="23">(X4*(1+X4)^Y4)/((1+X4)^Y4-1)</f>
        <v>10.000062092517851</v>
      </c>
      <c r="EQ4" s="17">
        <f>I4+273</f>
        <v>453</v>
      </c>
      <c r="ER4" s="15">
        <f t="shared" ref="ER4:ER34" ca="1" si="24">FORECAST(AX4,OFFSET(KnownYhvapour,MATCH(AX4,KnownXhvapour,1)-1,0,2),OFFSET(KnownXhvapour,MATCH(AX4,KnownXhvapour,1)-1,0,2))</f>
        <v>2816.5993052117487</v>
      </c>
      <c r="ES4" s="108">
        <v>104.83</v>
      </c>
      <c r="ET4" s="15">
        <f t="shared" ref="ET4:ET34" ca="1" si="25">FORECAST(AX4,OFFSET(KnownYsvapour,MATCH(AX4,KnownXsvapour,1)-1,0,2),OFFSET(KnownXsvapour,MATCH(AX4,KnownXsvapour,1)-1,0,2))</f>
        <v>6.5855309782608691</v>
      </c>
      <c r="EU4" s="109">
        <v>0.36720000000000003</v>
      </c>
      <c r="EV4" s="17">
        <f ca="1">DO4+273</f>
        <v>691.81155620173558</v>
      </c>
      <c r="EW4" s="17">
        <f>P4+273</f>
        <v>283.5883617401123</v>
      </c>
      <c r="EX4" s="15">
        <f t="shared" ref="EX4:EX34" ca="1" si="26">FORECAST(P4,OFFSET(KnownY1SAC,MATCH(P4,KnownX1SAC,1)-1,0,2),OFFSET(KnownX1SAC,MATCH(P4,KnownX1SAC,1)-1,0,2))</f>
        <v>44.397914811452239</v>
      </c>
      <c r="EY4" s="108">
        <v>104.83</v>
      </c>
      <c r="EZ4" s="21">
        <f t="shared" ref="EZ4:EZ34" ca="1" si="27">FORECAST(P4,OFFSET(KnownYSAC,MATCH(P4,KnownXSAC,1)-1,0,2),OFFSET(KnownXSAC,MATCH(P4,KnownXSAC,1)-1,0,2))</f>
        <v>0.15422659982045492</v>
      </c>
      <c r="FA4" s="109">
        <v>0.36720000000000003</v>
      </c>
      <c r="FB4" s="17">
        <f>O4+273</f>
        <v>284.57308673858643</v>
      </c>
      <c r="FC4" s="15">
        <f t="shared" ref="FC4:FC34" ca="1" si="28">FORECAST(O4,OFFSET(KnownY1SAC,MATCH(O4,KnownX1SAC,1)-1,0,2),OFFSET(KnownX1SAC,MATCH(O4,KnownX1SAC,1)-1,0,2))</f>
        <v>48.51909834395515</v>
      </c>
      <c r="FD4" s="108">
        <v>104.83</v>
      </c>
      <c r="FE4" s="21">
        <f t="shared" ref="FE4:FE34" ca="1" si="29">FORECAST(O4,OFFSET(KnownYSAC,MATCH(O4,KnownXSAC,1)-1,0,2),OFFSET(KnownXSAC,MATCH(O4,KnownXSAC,1)-1,0,2))</f>
        <v>0.16795804285473295</v>
      </c>
      <c r="FF4" s="109">
        <v>0.36720000000000003</v>
      </c>
      <c r="FG4" s="17">
        <f>M4+273</f>
        <v>300.57781791687012</v>
      </c>
      <c r="FH4" s="15">
        <f t="shared" ref="FH4:FH34" ca="1" si="30">FORECAST(M4,OFFSET(KnownY1SAC,MATCH(M4,KnownX1SAC,1)-1,0,2),OFFSET(KnownX1SAC,MATCH(M4,KnownX1SAC,1)-1,0,2))</f>
        <v>115.50067662853665</v>
      </c>
      <c r="FI4" s="108">
        <v>104.83</v>
      </c>
      <c r="FJ4" s="21">
        <f t="shared" ref="FJ4:FJ34" ca="1" si="31">FORECAST(M4,OFFSET(KnownYSAC,MATCH(M4,KnownXSAC,1)-1,0,2),OFFSET(KnownXSAC,MATCH(M4,KnownXSAC,1)-1,0,2))</f>
        <v>0.39113512761857772</v>
      </c>
      <c r="FK4" s="109">
        <v>0.36720000000000003</v>
      </c>
      <c r="FL4" s="17">
        <f>N4+273</f>
        <v>310</v>
      </c>
      <c r="FM4" s="15">
        <f t="shared" ref="FM4:FM34" ca="1" si="32">FORECAST(N4,OFFSET(KnownY1SAC,MATCH(N4,KnownX1SAC,1)-1,0,2),OFFSET(KnownX1SAC,MATCH(N4,KnownX1SAC,1)-1,0,2))</f>
        <v>154.93355555555553</v>
      </c>
      <c r="FN4" s="108">
        <v>104.83</v>
      </c>
      <c r="FO4" s="21">
        <f t="shared" ref="FO4:FO34" ca="1" si="33">FORECAST(N4,OFFSET(KnownYSAC,MATCH(N4,KnownXSAC,1)-1,0,2),OFFSET(KnownXSAC,MATCH(N4,KnownXSAC,1)-1,0,2))</f>
        <v>0.52252222222222222</v>
      </c>
      <c r="FP4" s="106">
        <v>0.36720000000000003</v>
      </c>
      <c r="FQ4" s="15">
        <f>DK4*1.0308*E4</f>
        <v>17585.59717410482</v>
      </c>
      <c r="FR4" s="15">
        <f t="shared" ref="FR4:FR34" si="34">((DK4+D4)*(0.991615+(0.0000699703*EG4)+(0.00000027129*EG4^2)-(0.000000000122442*EG4^3))*EH4*((EG4/EH4)-1-LN(EG4/EH4)))</f>
        <v>2769.4412764330591</v>
      </c>
      <c r="FS4" s="15">
        <f t="shared" ref="FS4:FS34" si="35">((0.66*(DK4+D4))*(0.991615+(0.0000699703*EI4)+(0.00000027129*EI4^2)-(0.000000000122442*EI4^3))*EH4)*((EI4/EH4)-1-LN(EI4/EH4))</f>
        <v>1827.831242445819</v>
      </c>
      <c r="FT4" s="15">
        <f>((AS4-(0.66*AS4))*(0.991615+(0.0000699703*EJ4)+(0.00000027129*EJ4^2)-(0.000000000122442*EJ4^3))*EH4)*((EJ4/EH4)-1-LN(EJ4/EH4))</f>
        <v>941.61003398724006</v>
      </c>
      <c r="FU4" s="15">
        <f t="shared" ref="FU4:FU34" si="36">U4</f>
        <v>4356.6927941695731</v>
      </c>
      <c r="FV4" s="15">
        <f ca="1">DJ4*(EL4-EM4-AP4*(EN4-EO4))</f>
        <v>28.253664901427559</v>
      </c>
      <c r="FW4" s="15">
        <f t="shared" ref="FW4:FW34" ca="1" si="37">(AY4*(0.991615+(0.0000699703*EV4)+(0.00000027129*EV4^2)-(0.000000000122442*EV4^3))*EH4)*((EV4/EH4)-1-LN(EV4/EH4))</f>
        <v>3028.6652401006818</v>
      </c>
      <c r="FX4" s="15">
        <f t="shared" ref="FX4:FX34" ca="1" si="38">DG4*(ER4-ES4-AP4*(ET4-EU4))</f>
        <v>2593.7440164914583</v>
      </c>
      <c r="FY4" s="15">
        <f ca="1">L4*(FH4-FI4-EH4*(FJ4-FP4))</f>
        <v>73.391608653510474</v>
      </c>
      <c r="FZ4" s="15">
        <f ca="1">L4*(FM4-FN4-EH4*(FO4-FP4))</f>
        <v>65.288600111110782</v>
      </c>
      <c r="GA4" s="15">
        <f ca="1">GF4*(FC4-FD4-EH4*(FE4-FF4))</f>
        <v>20842.40746298966</v>
      </c>
      <c r="GB4" s="21">
        <f ca="1">(GE4*(1+G4)*(DV4-DT4))/(GD4*(0.991615+(0.0000699703*DN4)+(0.00000027129*DN4^2)-(0.000000000122442*DN4^3)*(1-DL4)))</f>
        <v>54.188443798264416</v>
      </c>
      <c r="GC4" s="15">
        <f ca="1">GF4*(EX4-EY4-EH4*(EZ4-FA4))</f>
        <v>21044.924955802097</v>
      </c>
      <c r="GD4" s="82">
        <f t="shared" ref="GD4:GD34" si="39">DK4+D4</f>
        <v>19.341093744338345</v>
      </c>
      <c r="GE4" s="82">
        <f ca="1">((DK4+D4)*(1-DL4)*(0.991615+(6.99703*10^(-5)*DM4)+(2.7129*10^(-7)*DM4^2)-(1.22442*10^(-10)*DM4^3))*(DM4-DN4))/((DQ4-DV4)+G4*(DW4-DV4))</f>
        <v>1.8958232785791784</v>
      </c>
      <c r="GF4" s="82">
        <f ca="1">((GE4*ER4)-L4*(FM4-FH4)/(FC4-EX4))</f>
        <v>5134.3423023461482</v>
      </c>
      <c r="GG4" s="110">
        <f>U4/(DK4*E4)</f>
        <v>0.25537255788179397</v>
      </c>
      <c r="GH4" s="110">
        <f ca="1">(DG4*(DQ4-DT4))/((GD4*DI4*(DM4-DO4))+(DK4*E4))</f>
        <v>0.12523533992241462</v>
      </c>
      <c r="GI4" s="110" t="e">
        <f>Q4/(R4*(DF4-DR4))</f>
        <v>#DIV/0!</v>
      </c>
      <c r="GJ4" s="110">
        <f>U4/(FQ4-FR4)</f>
        <v>0.29405014527784445</v>
      </c>
      <c r="GK4" s="110">
        <f ca="1">(FX4-FV4)/(FW4-FS4)</f>
        <v>2.1364238159481141</v>
      </c>
      <c r="GL4" s="110">
        <f ca="1">GC4/FX4</f>
        <v>8.1137247245660884</v>
      </c>
      <c r="GM4" s="114">
        <f t="shared" ref="GM4:GM34" si="40">(V4*(FQ4-FS4)+DY4)/U4</f>
        <v>50.636740634652924</v>
      </c>
      <c r="GN4" s="114">
        <f t="shared" ref="GN4:GN34" ca="1" si="41">(V4*FQ4+(DY4+DZ4+EA4))/GC4</f>
        <v>11.698704602393484</v>
      </c>
      <c r="GO4" s="114">
        <f t="shared" ref="GO4:GO34" ca="1" si="42">(V4*((FQ4-FR4)-FU4))+((0.66*V4)*((FS4+FV4)-(FW4+FX4)))+((0.66*V4/((FX4-FV4)/(FS4-FW4)))*(FX4+FY4+GA4)-(FZ4+GC4))</f>
        <v>-11156.977769158621</v>
      </c>
    </row>
    <row r="5" spans="1:197" x14ac:dyDescent="0.25">
      <c r="A5" s="6">
        <v>2</v>
      </c>
      <c r="B5" s="86">
        <v>32812.090321592987</v>
      </c>
      <c r="C5" s="86">
        <v>17</v>
      </c>
      <c r="D5" s="9">
        <v>19</v>
      </c>
      <c r="E5" s="8">
        <v>50016</v>
      </c>
      <c r="F5" s="28">
        <v>2</v>
      </c>
      <c r="G5" s="28">
        <v>0.05</v>
      </c>
      <c r="H5" s="87">
        <v>408.68923950195312</v>
      </c>
      <c r="I5" s="42">
        <v>180</v>
      </c>
      <c r="J5" s="87">
        <v>90</v>
      </c>
      <c r="K5" s="28">
        <v>30</v>
      </c>
      <c r="L5" s="28">
        <v>21.47</v>
      </c>
      <c r="M5" s="13">
        <v>30.035566329956055</v>
      </c>
      <c r="N5" s="28">
        <v>37</v>
      </c>
      <c r="O5" s="13">
        <v>12.977079391479492</v>
      </c>
      <c r="P5" s="13">
        <v>9.6687507629394531</v>
      </c>
      <c r="Q5" s="85">
        <v>10064.578303329647</v>
      </c>
      <c r="R5" s="86">
        <v>89762.00153067708</v>
      </c>
      <c r="S5" s="7">
        <v>3.7357845306396484</v>
      </c>
      <c r="T5" s="86">
        <v>74208.850832149386</v>
      </c>
      <c r="U5" s="86">
        <f t="shared" ref="U5:U34" si="43">T5/C5</f>
        <v>4365.2265195381988</v>
      </c>
      <c r="V5" s="7">
        <v>14</v>
      </c>
      <c r="W5" s="7">
        <v>14</v>
      </c>
      <c r="X5" s="6">
        <v>10</v>
      </c>
      <c r="Y5" s="6">
        <v>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3"/>
      <c r="AO5" s="10">
        <v>681.69</v>
      </c>
      <c r="AP5" s="11">
        <v>30</v>
      </c>
      <c r="AQ5" s="12">
        <f t="shared" ref="AQ5:AQ34" si="44" xml:space="preserve"> DK5+D5</f>
        <v>19.381357153850661</v>
      </c>
      <c r="AR5" s="12">
        <f t="shared" ref="AR5:AR34" si="45">DM5</f>
        <v>681.68923950195312</v>
      </c>
      <c r="AS5" s="9">
        <f t="shared" ref="AS5:AS34" si="46">AQ5</f>
        <v>19.381357153850661</v>
      </c>
      <c r="AT5" s="9">
        <f t="shared" ref="AT5:AT34" si="47">DM5</f>
        <v>681.68923950195312</v>
      </c>
      <c r="AU5" s="9">
        <v>94.580920611071633</v>
      </c>
      <c r="AV5" s="9">
        <f t="shared" ref="AV5:AV34" si="48">K5</f>
        <v>30</v>
      </c>
      <c r="AW5" s="9">
        <f t="shared" ref="AW5:AW34" ca="1" si="49">GE5</f>
        <v>2.0015912661438304</v>
      </c>
      <c r="AX5" s="9">
        <f t="shared" ref="AX5:AX34" si="50">I5</f>
        <v>180</v>
      </c>
      <c r="AY5" s="9">
        <f t="shared" ref="AY5:AY34" si="51">GD5</f>
        <v>19.381357153850661</v>
      </c>
      <c r="AZ5" s="9">
        <f t="shared" ref="AZ5:AZ34" si="52">AO5</f>
        <v>681.69</v>
      </c>
      <c r="BA5" s="13">
        <f t="shared" ref="BA5:BA34" ca="1" si="53">GF5</f>
        <v>5592.4836112902985</v>
      </c>
      <c r="BB5" s="10">
        <f t="shared" ref="BB5:BB34" si="54">P5</f>
        <v>9.6687507629394531</v>
      </c>
      <c r="BC5" s="9">
        <f t="shared" ref="BC5:BC34" ca="1" si="55">GF5</f>
        <v>5592.4836112902985</v>
      </c>
      <c r="BD5" s="9">
        <f t="shared" ref="BD5:BD34" si="56">O5</f>
        <v>12.977079391479492</v>
      </c>
      <c r="BE5" s="9">
        <f t="shared" ref="BE5:BE34" si="57">L5</f>
        <v>21.47</v>
      </c>
      <c r="BF5" s="9">
        <f t="shared" ref="BF5:BF34" si="58">M5</f>
        <v>30.035566329956055</v>
      </c>
      <c r="BG5" s="7">
        <f t="shared" ref="BG5:BG34" si="59">L5</f>
        <v>21.47</v>
      </c>
      <c r="BH5" s="9">
        <f t="shared" ref="BH5:BH34" si="60">N5</f>
        <v>37</v>
      </c>
      <c r="BJ5" s="3"/>
      <c r="BK5" s="3"/>
      <c r="BL5" s="3"/>
      <c r="BM5" s="3"/>
      <c r="BP5" s="3"/>
      <c r="BT5" s="3"/>
      <c r="DF5" s="20">
        <v>0.21890000000000001</v>
      </c>
      <c r="DG5" s="15">
        <f t="shared" ref="DG5:DG34" si="61">(1/3.6)*S5</f>
        <v>1.0377179251776802</v>
      </c>
      <c r="DH5" s="15">
        <f t="shared" ref="DH5:DH34" ca="1" si="62">DM5-DO5</f>
        <v>265.78200365520331</v>
      </c>
      <c r="DI5" s="100">
        <f t="shared" ref="DI5:DI34" ca="1" si="63">0.991615+(0.0000699703*DH5)+(0.00000027129*DH5^2)-(0.000000000122442*DH5^3)</f>
        <v>1.0270769606207171</v>
      </c>
      <c r="DJ5" s="20">
        <f t="shared" ref="DJ5:DJ34" si="64">(AU5/C5)*0.2778</f>
        <v>1.5455635144562176</v>
      </c>
      <c r="DK5" s="25">
        <f t="shared" ref="DK5:DK34" si="65">(0.0002778/1.406)*(B5/C5)</f>
        <v>0.38135715385066238</v>
      </c>
      <c r="DL5" s="26">
        <f t="shared" si="0"/>
        <v>0.02</v>
      </c>
      <c r="DM5" s="15">
        <f t="shared" si="1"/>
        <v>681.68923950195312</v>
      </c>
      <c r="DN5" s="41">
        <f t="shared" si="2"/>
        <v>473</v>
      </c>
      <c r="DO5" s="15">
        <f t="shared" ca="1" si="3"/>
        <v>415.90723584674981</v>
      </c>
      <c r="DP5" s="26">
        <f t="shared" si="4"/>
        <v>453</v>
      </c>
      <c r="DQ5" s="21">
        <f t="shared" ca="1" si="5"/>
        <v>2816.5993052117487</v>
      </c>
      <c r="DR5" s="21">
        <v>2.87E-2</v>
      </c>
      <c r="DS5" s="26">
        <f t="shared" si="6"/>
        <v>303</v>
      </c>
      <c r="DT5" s="102">
        <f t="shared" ca="1" si="7"/>
        <v>125.80344444444444</v>
      </c>
      <c r="DU5" s="15">
        <f t="shared" si="8"/>
        <v>165</v>
      </c>
      <c r="DV5" s="15">
        <f t="shared" ca="1" si="9"/>
        <v>690.58718083896258</v>
      </c>
      <c r="DW5" s="15">
        <f t="shared" ca="1" si="10"/>
        <v>2790.6388281929471</v>
      </c>
      <c r="DX5" s="15">
        <f t="shared" si="11"/>
        <v>1.0571656875267472</v>
      </c>
      <c r="DY5" s="15">
        <f t="shared" si="12"/>
        <v>0</v>
      </c>
      <c r="DZ5" s="15">
        <f t="shared" si="13"/>
        <v>0</v>
      </c>
      <c r="EA5" s="15">
        <f t="shared" si="14"/>
        <v>0</v>
      </c>
      <c r="EB5" s="15">
        <f t="shared" si="15"/>
        <v>303.03556632995605</v>
      </c>
      <c r="EC5" s="15">
        <f t="shared" ca="1" si="16"/>
        <v>125.78662682045831</v>
      </c>
      <c r="ED5" s="15">
        <f t="shared" ca="1" si="17"/>
        <v>154.93355555555553</v>
      </c>
      <c r="EE5" s="15">
        <f t="shared" ca="1" si="18"/>
        <v>54.394963595496293</v>
      </c>
      <c r="EF5" s="15">
        <f t="shared" ca="1" si="19"/>
        <v>40.549240692986388</v>
      </c>
      <c r="EG5" s="17">
        <f t="shared" ref="EG5:EG34" si="66">DM5</f>
        <v>681.68923950195312</v>
      </c>
      <c r="EH5" s="17">
        <f t="shared" si="20"/>
        <v>303</v>
      </c>
      <c r="EI5" s="17">
        <f t="shared" ref="EI5:EI34" si="67">H5+273</f>
        <v>681.68923950195312</v>
      </c>
      <c r="EJ5" s="17">
        <f t="shared" ref="EJ5:EJ34" si="68">H5+273</f>
        <v>681.68923950195312</v>
      </c>
      <c r="EK5" s="17">
        <f t="shared" ref="EK5:EK34" si="69">AV5+273</f>
        <v>303</v>
      </c>
      <c r="EL5" s="15">
        <f t="shared" ca="1" si="21"/>
        <v>125.80344444444444</v>
      </c>
      <c r="EM5" s="108">
        <v>104.83</v>
      </c>
      <c r="EN5" s="21">
        <f t="shared" ca="1" si="22"/>
        <v>0.43681333333333322</v>
      </c>
      <c r="EO5" s="109">
        <v>0.36720000000000003</v>
      </c>
      <c r="EP5" s="26">
        <f t="shared" si="23"/>
        <v>10.000062092517851</v>
      </c>
      <c r="EQ5" s="17">
        <f t="shared" ref="EQ5:EQ34" si="70">I5+273</f>
        <v>453</v>
      </c>
      <c r="ER5" s="15">
        <f t="shared" ca="1" si="24"/>
        <v>2816.5993052117487</v>
      </c>
      <c r="ES5" s="108">
        <v>104.83</v>
      </c>
      <c r="ET5" s="15">
        <f t="shared" ca="1" si="25"/>
        <v>6.5855309782608691</v>
      </c>
      <c r="EU5" s="109">
        <v>0.36720000000000003</v>
      </c>
      <c r="EV5" s="17">
        <f t="shared" ref="EV5:EV34" ca="1" si="71">DO5+273</f>
        <v>688.90723584674981</v>
      </c>
      <c r="EW5" s="17">
        <f t="shared" ref="EW5:EW34" si="72">BB5+273</f>
        <v>282.66875076293945</v>
      </c>
      <c r="EX5" s="15">
        <f t="shared" ca="1" si="26"/>
        <v>40.549240692986388</v>
      </c>
      <c r="EY5" s="108">
        <v>104.83</v>
      </c>
      <c r="EZ5" s="21">
        <f t="shared" ca="1" si="27"/>
        <v>0.14140313563876683</v>
      </c>
      <c r="FA5" s="109">
        <v>0.36720000000000003</v>
      </c>
      <c r="FB5" s="17">
        <f t="shared" ref="FB5:FB34" si="73">O5+273</f>
        <v>285.97707939147949</v>
      </c>
      <c r="FC5" s="15">
        <f t="shared" ca="1" si="28"/>
        <v>54.394963595496293</v>
      </c>
      <c r="FD5" s="108">
        <v>104.83</v>
      </c>
      <c r="FE5" s="21">
        <f t="shared" ca="1" si="29"/>
        <v>0.18753594040340849</v>
      </c>
      <c r="FF5" s="109">
        <v>0.36720000000000003</v>
      </c>
      <c r="FG5" s="17">
        <f t="shared" ref="FG5:FG34" si="74">M5+273</f>
        <v>303.03556632995605</v>
      </c>
      <c r="FH5" s="15">
        <f t="shared" ca="1" si="30"/>
        <v>125.78662682045831</v>
      </c>
      <c r="FI5" s="108">
        <v>104.83</v>
      </c>
      <c r="FJ5" s="21">
        <f t="shared" ca="1" si="31"/>
        <v>0.42540706382327609</v>
      </c>
      <c r="FK5" s="109">
        <v>0.36720000000000003</v>
      </c>
      <c r="FL5" s="17">
        <f t="shared" ref="FL5:FL34" si="75">N5+273</f>
        <v>310</v>
      </c>
      <c r="FM5" s="15">
        <f t="shared" ca="1" si="32"/>
        <v>154.93355555555553</v>
      </c>
      <c r="FN5" s="108">
        <v>104.83</v>
      </c>
      <c r="FO5" s="21">
        <f t="shared" ca="1" si="33"/>
        <v>0.52252222222222222</v>
      </c>
      <c r="FP5" s="106">
        <v>0.36720000000000003</v>
      </c>
      <c r="FQ5" s="15">
        <f t="shared" ref="FQ5:FQ34" si="76">DK5*1.0308*E5</f>
        <v>19661.437356730166</v>
      </c>
      <c r="FR5" s="15">
        <f t="shared" si="34"/>
        <v>2904.1408360298587</v>
      </c>
      <c r="FS5" s="15">
        <f t="shared" si="35"/>
        <v>1916.7329517797068</v>
      </c>
      <c r="FT5" s="15">
        <f t="shared" ref="FT5:FT34" si="77">((AS5-0.66*AS5)*(0.991615+(0.0000699703*EJ5)+(0.00000027129*EJ5^2)-(0.000000000122442*EJ5^3))*EH5)*((EJ5/EH5)-1-LN(EJ5/EH5))</f>
        <v>987.40788425015194</v>
      </c>
      <c r="FU5" s="15">
        <f t="shared" si="36"/>
        <v>4365.2265195381988</v>
      </c>
      <c r="FV5" s="15">
        <f t="shared" ref="FV5:FV34" ca="1" si="78">DJ5*(EL5-EM5-AP5*(EN5-EO5))</f>
        <v>29.18803566221742</v>
      </c>
      <c r="FW5" s="15">
        <f t="shared" ca="1" si="37"/>
        <v>2997.2231146050772</v>
      </c>
      <c r="FX5" s="15">
        <f t="shared" ca="1" si="38"/>
        <v>2620.4654113399865</v>
      </c>
      <c r="FY5" s="15">
        <f t="shared" ref="FY5:FY34" ca="1" si="79">L5*(FM5-FI5-EH5*(FO5-FP5))</f>
        <v>65.288600111110782</v>
      </c>
      <c r="FZ5" s="15">
        <f t="shared" ref="FZ5:FZ34" ca="1" si="80">L5*(FM5-FN5-EH5*(FO5-FP5))</f>
        <v>65.288600111110782</v>
      </c>
      <c r="GA5" s="15">
        <f t="shared" ref="GA5:GA34" ca="1" si="81">GF5*(FC5-FD5-EH5*(FE5-FF5))</f>
        <v>22387.683049025407</v>
      </c>
      <c r="GB5" s="21">
        <f t="shared" ref="GB5:GB34" ca="1" si="82">(GE5*(1+G5)*(DV5-DT5))/(GD5*(0.991615+(0.0000699703*DN5)+(0.00000027129*DN5^2)-(0.000000000122442*DN5^3)*(1-DL5)))</f>
        <v>57.092764153250187</v>
      </c>
      <c r="GC5" s="15">
        <f t="shared" ref="GC5:GC34" ca="1" si="83">GF5*(EX5-EY5-EH5*(EZ5-FA5))</f>
        <v>23128.781870773408</v>
      </c>
      <c r="GD5" s="82">
        <f t="shared" si="39"/>
        <v>19.381357153850661</v>
      </c>
      <c r="GE5" s="82">
        <f t="shared" ref="GE5:GE34" ca="1" si="84">((DK5+D5)*(1-DL5)*(0.991615+(6.99703*10^(-5)*DM5)+(2.7129*10^(-7)*DM5^2)-(1.22442*10^(-10)*DM5^3))*(DM5-DN5))/((DQ5-DV5)+G5*(DW5-DV5))</f>
        <v>2.0015912661438304</v>
      </c>
      <c r="GF5" s="82">
        <f t="shared" ref="GF5:GF34" ca="1" si="85">((GE5*ER5)-L5*(FM5-FH5)/(FC5-EX5))</f>
        <v>5592.4836112902985</v>
      </c>
      <c r="GG5" s="110">
        <f t="shared" ref="GG5:GG34" si="86">FU5/(DK5*E5)</f>
        <v>0.22885791179451706</v>
      </c>
      <c r="GH5" s="110">
        <f t="shared" ref="GH5:GH34" ca="1" si="87">(DG5*(DQ5-DT5))/((GD5*DI5*(DM5-DO5))+(DK5*E5))</f>
        <v>0.11460400903357222</v>
      </c>
      <c r="GI5" s="110">
        <f t="shared" ref="GI5:GI34" si="88">Q5/(R5*(DF5-DR5))</f>
        <v>0.58951185410147011</v>
      </c>
      <c r="GJ5" s="110">
        <f t="shared" ref="GJ5:GJ34" si="89">FU5/(FQ5-FR5)</f>
        <v>0.26049706252711047</v>
      </c>
      <c r="GK5" s="110">
        <f t="shared" ref="GK5:GK34" ca="1" si="90">(FX5-FV5)/(FW5-FS5)</f>
        <v>2.398242450354056</v>
      </c>
      <c r="GL5" s="110">
        <f t="shared" ref="GL5:GL34" ca="1" si="91">GC5/FX5</f>
        <v>8.8262114701778884</v>
      </c>
      <c r="GM5" s="114">
        <f t="shared" si="40"/>
        <v>56.910187949556303</v>
      </c>
      <c r="GN5" s="114">
        <f t="shared" ca="1" si="41"/>
        <v>11.901194128258595</v>
      </c>
      <c r="GO5" s="114">
        <f t="shared" ca="1" si="42"/>
        <v>19764.300887573583</v>
      </c>
    </row>
    <row r="6" spans="1:197" x14ac:dyDescent="0.25">
      <c r="A6" s="6">
        <v>3</v>
      </c>
      <c r="B6" s="86">
        <v>27419.109579436481</v>
      </c>
      <c r="C6" s="86">
        <v>17</v>
      </c>
      <c r="D6" s="9">
        <v>19</v>
      </c>
      <c r="E6" s="8">
        <v>50016</v>
      </c>
      <c r="F6" s="28">
        <v>2</v>
      </c>
      <c r="G6" s="28">
        <v>0.05</v>
      </c>
      <c r="H6" s="87">
        <v>406.71267700195312</v>
      </c>
      <c r="I6" s="42">
        <v>180</v>
      </c>
      <c r="J6" s="87">
        <v>90</v>
      </c>
      <c r="K6" s="28">
        <v>30</v>
      </c>
      <c r="L6" s="28">
        <v>21.47</v>
      </c>
      <c r="M6" s="13">
        <v>29.215620040893555</v>
      </c>
      <c r="N6" s="28">
        <v>37</v>
      </c>
      <c r="O6" s="13">
        <v>13.220398902893066</v>
      </c>
      <c r="P6" s="13">
        <v>9.9739189147949219</v>
      </c>
      <c r="Q6" s="85">
        <v>9935.2567237950861</v>
      </c>
      <c r="R6" s="86">
        <v>91470.344636455178</v>
      </c>
      <c r="S6" s="7">
        <v>3.2911272048950195</v>
      </c>
      <c r="T6" s="86">
        <v>73638.91138818115</v>
      </c>
      <c r="U6" s="86">
        <f t="shared" si="43"/>
        <v>4331.700669893009</v>
      </c>
      <c r="V6" s="7">
        <v>14</v>
      </c>
      <c r="W6" s="7">
        <v>14</v>
      </c>
      <c r="X6" s="6">
        <v>10</v>
      </c>
      <c r="Y6" s="6">
        <v>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3"/>
      <c r="AO6" s="10">
        <v>681.69</v>
      </c>
      <c r="AP6" s="11">
        <v>30</v>
      </c>
      <c r="AQ6" s="12">
        <f t="shared" si="44"/>
        <v>19.318677459675651</v>
      </c>
      <c r="AR6" s="12">
        <f t="shared" si="45"/>
        <v>679.71267700195312</v>
      </c>
      <c r="AS6" s="9">
        <f t="shared" si="46"/>
        <v>19.318677459675651</v>
      </c>
      <c r="AT6" s="9">
        <f t="shared" si="47"/>
        <v>679.71267700195312</v>
      </c>
      <c r="AU6" s="9">
        <v>81.626573456713231</v>
      </c>
      <c r="AV6" s="9">
        <f t="shared" si="48"/>
        <v>30</v>
      </c>
      <c r="AW6" s="9">
        <f t="shared" ca="1" si="49"/>
        <v>1.9752886455531382</v>
      </c>
      <c r="AX6" s="9">
        <f t="shared" si="50"/>
        <v>180</v>
      </c>
      <c r="AY6" s="9">
        <f t="shared" si="51"/>
        <v>19.318677459675651</v>
      </c>
      <c r="AZ6" s="9">
        <f t="shared" si="52"/>
        <v>681.69</v>
      </c>
      <c r="BA6" s="13">
        <f t="shared" ca="1" si="53"/>
        <v>5512.1160574458236</v>
      </c>
      <c r="BB6" s="10">
        <f t="shared" si="54"/>
        <v>9.9739189147949219</v>
      </c>
      <c r="BC6" s="9">
        <f t="shared" ca="1" si="55"/>
        <v>5512.1160574458236</v>
      </c>
      <c r="BD6" s="9">
        <f t="shared" si="56"/>
        <v>13.220398902893066</v>
      </c>
      <c r="BE6" s="9">
        <f t="shared" si="57"/>
        <v>21.47</v>
      </c>
      <c r="BF6" s="9">
        <f t="shared" si="58"/>
        <v>29.215620040893555</v>
      </c>
      <c r="BG6" s="7">
        <f t="shared" si="59"/>
        <v>21.47</v>
      </c>
      <c r="BH6" s="9">
        <f t="shared" si="60"/>
        <v>37</v>
      </c>
      <c r="BJ6" s="3"/>
      <c r="BK6" s="3"/>
      <c r="BL6" s="3"/>
      <c r="BM6" s="3"/>
      <c r="BP6" s="3"/>
      <c r="BT6" s="3"/>
      <c r="DF6" s="20">
        <v>0.21890000000000001</v>
      </c>
      <c r="DG6" s="15">
        <f t="shared" si="61"/>
        <v>0.91420200135972773</v>
      </c>
      <c r="DH6" s="15">
        <f t="shared" ca="1" si="62"/>
        <v>263.23799742962933</v>
      </c>
      <c r="DI6" s="100">
        <f t="shared" ca="1" si="63"/>
        <v>1.0265992273497511</v>
      </c>
      <c r="DJ6" s="20">
        <f t="shared" si="64"/>
        <v>1.3338742415455844</v>
      </c>
      <c r="DK6" s="25">
        <f t="shared" si="65"/>
        <v>0.31867745967565286</v>
      </c>
      <c r="DL6" s="26">
        <f t="shared" si="0"/>
        <v>0.02</v>
      </c>
      <c r="DM6" s="15">
        <f t="shared" si="1"/>
        <v>679.71267700195312</v>
      </c>
      <c r="DN6" s="41">
        <f t="shared" si="2"/>
        <v>473</v>
      </c>
      <c r="DO6" s="15">
        <f t="shared" ca="1" si="3"/>
        <v>416.47467957232379</v>
      </c>
      <c r="DP6" s="26">
        <f t="shared" si="4"/>
        <v>453</v>
      </c>
      <c r="DQ6" s="21">
        <f t="shared" ca="1" si="5"/>
        <v>2816.5993052117487</v>
      </c>
      <c r="DR6" s="21">
        <v>2.87E-2</v>
      </c>
      <c r="DS6" s="26">
        <f t="shared" si="6"/>
        <v>303</v>
      </c>
      <c r="DT6" s="102">
        <f t="shared" ca="1" si="7"/>
        <v>125.80344444444444</v>
      </c>
      <c r="DU6" s="15">
        <f t="shared" si="8"/>
        <v>165</v>
      </c>
      <c r="DV6" s="15">
        <f t="shared" ca="1" si="9"/>
        <v>690.58718083896258</v>
      </c>
      <c r="DW6" s="15">
        <f t="shared" ca="1" si="10"/>
        <v>2790.6388281929471</v>
      </c>
      <c r="DX6" s="15">
        <f t="shared" si="11"/>
        <v>1.0567108338240991</v>
      </c>
      <c r="DY6" s="15">
        <f t="shared" si="12"/>
        <v>0</v>
      </c>
      <c r="DZ6" s="15">
        <f t="shared" si="13"/>
        <v>0</v>
      </c>
      <c r="EA6" s="15">
        <f t="shared" si="14"/>
        <v>0</v>
      </c>
      <c r="EB6" s="15">
        <f t="shared" si="15"/>
        <v>302.21562004089355</v>
      </c>
      <c r="EC6" s="15">
        <f t="shared" ca="1" si="16"/>
        <v>122.35506049558852</v>
      </c>
      <c r="ED6" s="15">
        <f t="shared" ca="1" si="17"/>
        <v>154.93355555555553</v>
      </c>
      <c r="EE6" s="15">
        <f t="shared" ca="1" si="18"/>
        <v>55.413282786263366</v>
      </c>
      <c r="EF6" s="15">
        <f t="shared" ca="1" si="19"/>
        <v>41.826403316073957</v>
      </c>
      <c r="EG6" s="17">
        <f t="shared" si="66"/>
        <v>679.71267700195312</v>
      </c>
      <c r="EH6" s="17">
        <f t="shared" si="20"/>
        <v>303</v>
      </c>
      <c r="EI6" s="17">
        <f t="shared" si="67"/>
        <v>679.71267700195312</v>
      </c>
      <c r="EJ6" s="17">
        <f t="shared" si="68"/>
        <v>679.71267700195312</v>
      </c>
      <c r="EK6" s="17">
        <f t="shared" si="69"/>
        <v>303</v>
      </c>
      <c r="EL6" s="15">
        <f t="shared" ca="1" si="21"/>
        <v>125.80344444444444</v>
      </c>
      <c r="EM6" s="108">
        <v>104.83</v>
      </c>
      <c r="EN6" s="21">
        <f t="shared" ca="1" si="22"/>
        <v>0.43681333333333322</v>
      </c>
      <c r="EO6" s="109">
        <v>0.36720000000000003</v>
      </c>
      <c r="EP6" s="26">
        <f t="shared" si="23"/>
        <v>10.000062092517851</v>
      </c>
      <c r="EQ6" s="17">
        <f t="shared" si="70"/>
        <v>453</v>
      </c>
      <c r="ER6" s="15">
        <f t="shared" ca="1" si="24"/>
        <v>2816.5993052117487</v>
      </c>
      <c r="ES6" s="108">
        <v>104.83</v>
      </c>
      <c r="ET6" s="15">
        <f t="shared" ca="1" si="25"/>
        <v>6.5855309782608691</v>
      </c>
      <c r="EU6" s="109">
        <v>0.36720000000000003</v>
      </c>
      <c r="EV6" s="17">
        <f t="shared" ca="1" si="71"/>
        <v>689.47467957232379</v>
      </c>
      <c r="EW6" s="17">
        <f t="shared" si="72"/>
        <v>282.97391891479492</v>
      </c>
      <c r="EX6" s="15">
        <f t="shared" ca="1" si="26"/>
        <v>41.826403316073957</v>
      </c>
      <c r="EY6" s="108">
        <v>104.83</v>
      </c>
      <c r="EZ6" s="21">
        <f t="shared" ca="1" si="27"/>
        <v>0.14565853597852918</v>
      </c>
      <c r="FA6" s="109">
        <v>0.36720000000000003</v>
      </c>
      <c r="FB6" s="17">
        <f t="shared" si="73"/>
        <v>286.22039890289307</v>
      </c>
      <c r="FC6" s="15">
        <f t="shared" ca="1" si="28"/>
        <v>55.413282786263366</v>
      </c>
      <c r="FD6" s="108">
        <v>104.83</v>
      </c>
      <c r="FE6" s="21">
        <f t="shared" ca="1" si="29"/>
        <v>0.19092889581256442</v>
      </c>
      <c r="FF6" s="109">
        <v>0.36720000000000003</v>
      </c>
      <c r="FG6" s="17">
        <f t="shared" si="74"/>
        <v>302.21562004089355</v>
      </c>
      <c r="FH6" s="15">
        <f t="shared" ca="1" si="30"/>
        <v>122.35506049558852</v>
      </c>
      <c r="FI6" s="108">
        <v>104.83</v>
      </c>
      <c r="FJ6" s="21">
        <f t="shared" ca="1" si="31"/>
        <v>0.41397336834801568</v>
      </c>
      <c r="FK6" s="109">
        <v>0.36720000000000003</v>
      </c>
      <c r="FL6" s="17">
        <f t="shared" si="75"/>
        <v>310</v>
      </c>
      <c r="FM6" s="15">
        <f t="shared" ca="1" si="32"/>
        <v>154.93355555555553</v>
      </c>
      <c r="FN6" s="108">
        <v>104.83</v>
      </c>
      <c r="FO6" s="21">
        <f t="shared" ca="1" si="33"/>
        <v>0.52252222222222222</v>
      </c>
      <c r="FP6" s="106">
        <v>0.36720000000000003</v>
      </c>
      <c r="FQ6" s="15">
        <f t="shared" si="76"/>
        <v>16429.892155290087</v>
      </c>
      <c r="FR6" s="15">
        <f t="shared" si="34"/>
        <v>2869.523660039275</v>
      </c>
      <c r="FS6" s="15">
        <f t="shared" si="35"/>
        <v>1893.8856156259217</v>
      </c>
      <c r="FT6" s="15">
        <f t="shared" si="77"/>
        <v>975.63804441335321</v>
      </c>
      <c r="FU6" s="15">
        <f t="shared" si="36"/>
        <v>4331.700669893009</v>
      </c>
      <c r="FV6" s="15">
        <f t="shared" ca="1" si="78"/>
        <v>25.190274334887985</v>
      </c>
      <c r="FW6" s="15">
        <f t="shared" ca="1" si="37"/>
        <v>2994.8680395768033</v>
      </c>
      <c r="FX6" s="15">
        <f t="shared" ca="1" si="38"/>
        <v>2308.5606072871606</v>
      </c>
      <c r="FY6" s="15">
        <f t="shared" ca="1" si="79"/>
        <v>65.288600111110782</v>
      </c>
      <c r="FZ6" s="15">
        <f t="shared" ca="1" si="80"/>
        <v>65.288600111110782</v>
      </c>
      <c r="GA6" s="15">
        <f t="shared" ca="1" si="81"/>
        <v>22012.235048049537</v>
      </c>
      <c r="GB6" s="21">
        <f t="shared" ca="1" si="82"/>
        <v>56.525320427676178</v>
      </c>
      <c r="GC6" s="15">
        <f t="shared" ca="1" si="83"/>
        <v>22729.028192200967</v>
      </c>
      <c r="GD6" s="82">
        <f t="shared" si="39"/>
        <v>19.318677459675651</v>
      </c>
      <c r="GE6" s="82">
        <f t="shared" ca="1" si="84"/>
        <v>1.9752886455531382</v>
      </c>
      <c r="GF6" s="82">
        <f t="shared" ca="1" si="85"/>
        <v>5512.1160574458236</v>
      </c>
      <c r="GG6" s="110">
        <f t="shared" si="86"/>
        <v>0.27176788552979259</v>
      </c>
      <c r="GH6" s="110">
        <f t="shared" ca="1" si="87"/>
        <v>0.11625575036965731</v>
      </c>
      <c r="GI6" s="110">
        <f t="shared" si="88"/>
        <v>0.57106857938708144</v>
      </c>
      <c r="GJ6" s="110">
        <f t="shared" si="89"/>
        <v>0.31943827126896157</v>
      </c>
      <c r="GK6" s="110">
        <f t="shared" ca="1" si="90"/>
        <v>2.0739389505950379</v>
      </c>
      <c r="GL6" s="110">
        <f t="shared" ca="1" si="91"/>
        <v>9.8455410355937492</v>
      </c>
      <c r="GM6" s="114">
        <f t="shared" si="40"/>
        <v>46.98018331915921</v>
      </c>
      <c r="GN6" s="114">
        <f t="shared" ca="1" si="41"/>
        <v>10.120031891772111</v>
      </c>
      <c r="GO6" s="114">
        <f t="shared" ca="1" si="42"/>
        <v>-33511.470298427244</v>
      </c>
    </row>
    <row r="7" spans="1:197" x14ac:dyDescent="0.25">
      <c r="A7" s="6">
        <v>4</v>
      </c>
      <c r="B7" s="86">
        <v>26632.91285853833</v>
      </c>
      <c r="C7" s="86">
        <v>17</v>
      </c>
      <c r="D7" s="9">
        <v>19</v>
      </c>
      <c r="E7" s="8">
        <v>50016</v>
      </c>
      <c r="F7" s="28">
        <v>2</v>
      </c>
      <c r="G7" s="28">
        <v>0.05</v>
      </c>
      <c r="H7" s="87">
        <v>404.56576538085937</v>
      </c>
      <c r="I7" s="42">
        <v>180</v>
      </c>
      <c r="J7" s="87">
        <v>90</v>
      </c>
      <c r="K7" s="28">
        <v>30</v>
      </c>
      <c r="L7" s="28">
        <v>21.47</v>
      </c>
      <c r="M7" s="13">
        <v>28.600883483886719</v>
      </c>
      <c r="N7" s="28">
        <v>37</v>
      </c>
      <c r="O7" s="13">
        <v>13.500453948974609</v>
      </c>
      <c r="P7" s="13">
        <v>11.227358818054199</v>
      </c>
      <c r="Q7" s="85">
        <v>6478.9247072841972</v>
      </c>
      <c r="R7" s="86">
        <v>61873.363939762115</v>
      </c>
      <c r="S7" s="7">
        <v>3.3435215950012207</v>
      </c>
      <c r="T7" s="86">
        <v>74652.851945333183</v>
      </c>
      <c r="U7" s="86">
        <f t="shared" si="43"/>
        <v>4391.3442320784225</v>
      </c>
      <c r="V7" s="7">
        <v>14</v>
      </c>
      <c r="W7" s="7">
        <v>14</v>
      </c>
      <c r="X7" s="6">
        <v>10</v>
      </c>
      <c r="Y7" s="6">
        <v>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3"/>
      <c r="AO7" s="10">
        <v>681.69</v>
      </c>
      <c r="AP7" s="11">
        <v>30</v>
      </c>
      <c r="AQ7" s="12">
        <f t="shared" si="44"/>
        <v>19.309539921015059</v>
      </c>
      <c r="AR7" s="12">
        <f t="shared" si="45"/>
        <v>677.56576538085937</v>
      </c>
      <c r="AS7" s="9">
        <f t="shared" si="46"/>
        <v>19.309539921015059</v>
      </c>
      <c r="AT7" s="9">
        <f t="shared" si="47"/>
        <v>677.56576538085937</v>
      </c>
      <c r="AU7" s="9">
        <v>84.807148027524818</v>
      </c>
      <c r="AV7" s="9">
        <f t="shared" si="48"/>
        <v>30</v>
      </c>
      <c r="AW7" s="9">
        <f t="shared" ca="1" si="49"/>
        <v>1.9528466550629062</v>
      </c>
      <c r="AX7" s="9">
        <f t="shared" si="50"/>
        <v>180</v>
      </c>
      <c r="AY7" s="9">
        <f t="shared" si="51"/>
        <v>19.309539921015059</v>
      </c>
      <c r="AZ7" s="9">
        <f t="shared" si="52"/>
        <v>681.69</v>
      </c>
      <c r="BA7" s="13">
        <f t="shared" ca="1" si="53"/>
        <v>5421.0545984075934</v>
      </c>
      <c r="BB7" s="10">
        <f t="shared" si="54"/>
        <v>11.227358818054199</v>
      </c>
      <c r="BC7" s="9">
        <f t="shared" ca="1" si="55"/>
        <v>5421.0545984075934</v>
      </c>
      <c r="BD7" s="9">
        <f t="shared" si="56"/>
        <v>13.500453948974609</v>
      </c>
      <c r="BE7" s="9">
        <f t="shared" si="57"/>
        <v>21.47</v>
      </c>
      <c r="BF7" s="9">
        <f t="shared" si="58"/>
        <v>28.600883483886719</v>
      </c>
      <c r="BG7" s="7">
        <f t="shared" si="59"/>
        <v>21.47</v>
      </c>
      <c r="BH7" s="9">
        <f t="shared" si="60"/>
        <v>37</v>
      </c>
      <c r="BJ7" s="3"/>
      <c r="BK7" s="3"/>
      <c r="BL7" s="3"/>
      <c r="BM7" s="3"/>
      <c r="BP7" s="3"/>
      <c r="BT7" s="3"/>
      <c r="DF7" s="20">
        <v>0.21890000000000001</v>
      </c>
      <c r="DG7" s="15">
        <f t="shared" si="61"/>
        <v>0.9287559986114502</v>
      </c>
      <c r="DH7" s="15">
        <f t="shared" ca="1" si="62"/>
        <v>260.47532523144133</v>
      </c>
      <c r="DI7" s="100">
        <f t="shared" ca="1" si="63"/>
        <v>1.0260829913566683</v>
      </c>
      <c r="DJ7" s="20">
        <f t="shared" si="64"/>
        <v>1.3858485718850819</v>
      </c>
      <c r="DK7" s="25">
        <f t="shared" si="65"/>
        <v>0.30953992101505934</v>
      </c>
      <c r="DL7" s="26">
        <f t="shared" si="0"/>
        <v>0.02</v>
      </c>
      <c r="DM7" s="15">
        <f t="shared" si="1"/>
        <v>677.56576538085937</v>
      </c>
      <c r="DN7" s="41">
        <f t="shared" si="2"/>
        <v>473</v>
      </c>
      <c r="DO7" s="15">
        <f t="shared" ca="1" si="3"/>
        <v>417.09044014941804</v>
      </c>
      <c r="DP7" s="26">
        <f t="shared" si="4"/>
        <v>453</v>
      </c>
      <c r="DQ7" s="21">
        <f t="shared" ca="1" si="5"/>
        <v>2816.5993052117487</v>
      </c>
      <c r="DR7" s="21">
        <v>2.87E-2</v>
      </c>
      <c r="DS7" s="26">
        <f t="shared" si="6"/>
        <v>303</v>
      </c>
      <c r="DT7" s="102">
        <f t="shared" ca="1" si="7"/>
        <v>125.80344444444444</v>
      </c>
      <c r="DU7" s="15">
        <f t="shared" si="8"/>
        <v>165</v>
      </c>
      <c r="DV7" s="15">
        <f t="shared" ca="1" si="9"/>
        <v>690.58718083896258</v>
      </c>
      <c r="DW7" s="15">
        <f t="shared" ca="1" si="10"/>
        <v>2790.6388281929471</v>
      </c>
      <c r="DX7" s="15">
        <f t="shared" si="11"/>
        <v>1.0562178580449573</v>
      </c>
      <c r="DY7" s="15">
        <f t="shared" si="12"/>
        <v>0</v>
      </c>
      <c r="DZ7" s="15">
        <f t="shared" si="13"/>
        <v>0</v>
      </c>
      <c r="EA7" s="15">
        <f t="shared" si="14"/>
        <v>0</v>
      </c>
      <c r="EB7" s="15">
        <f t="shared" si="15"/>
        <v>301.60088348388672</v>
      </c>
      <c r="EC7" s="15">
        <f t="shared" ca="1" si="16"/>
        <v>119.78231970045302</v>
      </c>
      <c r="ED7" s="15">
        <f t="shared" ca="1" si="17"/>
        <v>154.93355555555553</v>
      </c>
      <c r="EE7" s="15">
        <f t="shared" ca="1" si="18"/>
        <v>56.585344271341967</v>
      </c>
      <c r="EF7" s="15">
        <f t="shared" ca="1" si="19"/>
        <v>47.072188582314389</v>
      </c>
      <c r="EG7" s="17">
        <f t="shared" si="66"/>
        <v>677.56576538085937</v>
      </c>
      <c r="EH7" s="17">
        <f t="shared" si="20"/>
        <v>303</v>
      </c>
      <c r="EI7" s="17">
        <f t="shared" si="67"/>
        <v>677.56576538085937</v>
      </c>
      <c r="EJ7" s="17">
        <f t="shared" si="68"/>
        <v>677.56576538085937</v>
      </c>
      <c r="EK7" s="17">
        <f t="shared" si="69"/>
        <v>303</v>
      </c>
      <c r="EL7" s="15">
        <f t="shared" ca="1" si="21"/>
        <v>125.80344444444444</v>
      </c>
      <c r="EM7" s="108">
        <v>104.83</v>
      </c>
      <c r="EN7" s="21">
        <f t="shared" ca="1" si="22"/>
        <v>0.43681333333333322</v>
      </c>
      <c r="EO7" s="109">
        <v>0.36720000000000003</v>
      </c>
      <c r="EP7" s="26">
        <f t="shared" si="23"/>
        <v>10.000062092517851</v>
      </c>
      <c r="EQ7" s="17">
        <f t="shared" si="70"/>
        <v>453</v>
      </c>
      <c r="ER7" s="15">
        <f t="shared" ca="1" si="24"/>
        <v>2816.5993052117487</v>
      </c>
      <c r="ES7" s="108">
        <v>104.83</v>
      </c>
      <c r="ET7" s="15">
        <f t="shared" ca="1" si="25"/>
        <v>6.5855309782608691</v>
      </c>
      <c r="EU7" s="109">
        <v>0.36720000000000003</v>
      </c>
      <c r="EV7" s="17">
        <f t="shared" ca="1" si="71"/>
        <v>690.0904401494181</v>
      </c>
      <c r="EW7" s="17">
        <f t="shared" si="72"/>
        <v>284.2273588180542</v>
      </c>
      <c r="EX7" s="15">
        <f t="shared" ca="1" si="26"/>
        <v>47.072188582314389</v>
      </c>
      <c r="EY7" s="108">
        <v>104.83</v>
      </c>
      <c r="EZ7" s="21">
        <f t="shared" ca="1" si="27"/>
        <v>0.16313705907397799</v>
      </c>
      <c r="FA7" s="109">
        <v>0.36720000000000003</v>
      </c>
      <c r="FB7" s="17">
        <f t="shared" si="73"/>
        <v>286.50045394897461</v>
      </c>
      <c r="FC7" s="15">
        <f t="shared" ca="1" si="28"/>
        <v>56.585344271341967</v>
      </c>
      <c r="FD7" s="108">
        <v>104.83</v>
      </c>
      <c r="FE7" s="21">
        <f t="shared" ca="1" si="29"/>
        <v>0.19483410784403482</v>
      </c>
      <c r="FF7" s="109">
        <v>0.36720000000000003</v>
      </c>
      <c r="FG7" s="17">
        <f t="shared" si="74"/>
        <v>301.60088348388672</v>
      </c>
      <c r="FH7" s="15">
        <f t="shared" ca="1" si="30"/>
        <v>119.78231970045302</v>
      </c>
      <c r="FI7" s="108">
        <v>104.83</v>
      </c>
      <c r="FJ7" s="21">
        <f t="shared" ca="1" si="31"/>
        <v>0.40540120858086476</v>
      </c>
      <c r="FK7" s="109">
        <v>0.36720000000000003</v>
      </c>
      <c r="FL7" s="17">
        <f t="shared" si="75"/>
        <v>310</v>
      </c>
      <c r="FM7" s="15">
        <f t="shared" ca="1" si="32"/>
        <v>154.93355555555553</v>
      </c>
      <c r="FN7" s="108">
        <v>104.83</v>
      </c>
      <c r="FO7" s="21">
        <f t="shared" ca="1" si="33"/>
        <v>0.52252222222222222</v>
      </c>
      <c r="FP7" s="106">
        <v>0.36720000000000003</v>
      </c>
      <c r="FQ7" s="15">
        <f t="shared" si="76"/>
        <v>15958.792709125473</v>
      </c>
      <c r="FR7" s="15">
        <f t="shared" si="34"/>
        <v>2840.8693287732099</v>
      </c>
      <c r="FS7" s="15">
        <f t="shared" si="35"/>
        <v>1874.9737569903189</v>
      </c>
      <c r="FT7" s="15">
        <f t="shared" si="77"/>
        <v>965.89557178289124</v>
      </c>
      <c r="FU7" s="15">
        <f t="shared" si="36"/>
        <v>4391.3442320784225</v>
      </c>
      <c r="FV7" s="15">
        <f t="shared" ca="1" si="78"/>
        <v>26.17181187331963</v>
      </c>
      <c r="FW7" s="15">
        <f t="shared" ca="1" si="37"/>
        <v>3001.4177734268701</v>
      </c>
      <c r="FX7" s="15">
        <f t="shared" ca="1" si="38"/>
        <v>2345.3126431434807</v>
      </c>
      <c r="FY7" s="15">
        <f t="shared" ca="1" si="79"/>
        <v>65.288600111110782</v>
      </c>
      <c r="FZ7" s="15">
        <f t="shared" ca="1" si="80"/>
        <v>65.288600111110782</v>
      </c>
      <c r="GA7" s="15">
        <f t="shared" ca="1" si="81"/>
        <v>21587.77563462605</v>
      </c>
      <c r="GB7" s="21">
        <f t="shared" ca="1" si="82"/>
        <v>55.909559850581978</v>
      </c>
      <c r="GC7" s="15">
        <f t="shared" ca="1" si="83"/>
        <v>22081.363134488263</v>
      </c>
      <c r="GD7" s="82">
        <f t="shared" si="39"/>
        <v>19.309539921015059</v>
      </c>
      <c r="GE7" s="82">
        <f t="shared" ca="1" si="84"/>
        <v>1.9528466550629062</v>
      </c>
      <c r="GF7" s="82">
        <f t="shared" ca="1" si="85"/>
        <v>5421.0545984075934</v>
      </c>
      <c r="GG7" s="110">
        <f t="shared" si="86"/>
        <v>0.2836428617709949</v>
      </c>
      <c r="GH7" s="110">
        <f t="shared" ca="1" si="87"/>
        <v>0.12106367789754463</v>
      </c>
      <c r="GI7" s="110">
        <f t="shared" si="88"/>
        <v>0.55053976343953048</v>
      </c>
      <c r="GJ7" s="110">
        <f t="shared" si="89"/>
        <v>0.33475910056432262</v>
      </c>
      <c r="GK7" s="110">
        <f t="shared" ca="1" si="90"/>
        <v>2.0588158820414759</v>
      </c>
      <c r="GL7" s="110">
        <f t="shared" ca="1" si="91"/>
        <v>9.415104292829831</v>
      </c>
      <c r="GM7" s="114">
        <f t="shared" si="40"/>
        <v>44.900480333460443</v>
      </c>
      <c r="GN7" s="114">
        <f t="shared" ca="1" si="41"/>
        <v>10.118175067679511</v>
      </c>
      <c r="GO7" s="114">
        <f t="shared" ca="1" si="42"/>
        <v>-39516.863143369716</v>
      </c>
    </row>
    <row r="8" spans="1:197" x14ac:dyDescent="0.25">
      <c r="A8" s="6">
        <v>5</v>
      </c>
      <c r="B8" s="86">
        <v>25563.078405097127</v>
      </c>
      <c r="C8" s="86">
        <v>17</v>
      </c>
      <c r="D8" s="9">
        <v>19</v>
      </c>
      <c r="E8" s="8">
        <v>50016</v>
      </c>
      <c r="F8" s="28">
        <v>2</v>
      </c>
      <c r="G8" s="28">
        <v>0.05</v>
      </c>
      <c r="H8" s="87">
        <v>383.65771484375</v>
      </c>
      <c r="I8" s="42">
        <v>180</v>
      </c>
      <c r="J8" s="87">
        <v>90</v>
      </c>
      <c r="K8" s="28">
        <v>30</v>
      </c>
      <c r="L8" s="28">
        <v>21.47</v>
      </c>
      <c r="M8" s="13">
        <v>28.252220153808594</v>
      </c>
      <c r="N8" s="28">
        <v>37</v>
      </c>
      <c r="O8" s="13">
        <v>20.472230911254883</v>
      </c>
      <c r="P8" s="13">
        <v>16.708541870117187</v>
      </c>
      <c r="Q8" s="85">
        <v>0</v>
      </c>
      <c r="R8" s="86">
        <v>0</v>
      </c>
      <c r="S8" s="7">
        <v>3.0778264999389648</v>
      </c>
      <c r="T8" s="86">
        <v>69931.21833499521</v>
      </c>
      <c r="U8" s="86">
        <f t="shared" si="43"/>
        <v>4113.6010785291301</v>
      </c>
      <c r="V8" s="7">
        <v>14</v>
      </c>
      <c r="W8" s="7">
        <v>14</v>
      </c>
      <c r="X8" s="6">
        <v>10</v>
      </c>
      <c r="Y8" s="6">
        <v>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3"/>
      <c r="AO8" s="10">
        <v>681.69</v>
      </c>
      <c r="AP8" s="11">
        <v>30</v>
      </c>
      <c r="AQ8" s="12">
        <f t="shared" si="44"/>
        <v>19.297105814615346</v>
      </c>
      <c r="AR8" s="12">
        <f t="shared" si="45"/>
        <v>656.65771484375</v>
      </c>
      <c r="AS8" s="9">
        <f t="shared" si="46"/>
        <v>19.297105814615346</v>
      </c>
      <c r="AT8" s="9">
        <f t="shared" si="47"/>
        <v>656.65771484375</v>
      </c>
      <c r="AU8" s="9">
        <v>77.603373882593587</v>
      </c>
      <c r="AV8" s="9">
        <f t="shared" si="48"/>
        <v>30</v>
      </c>
      <c r="AW8" s="9">
        <f t="shared" ca="1" si="49"/>
        <v>1.743385487191528</v>
      </c>
      <c r="AX8" s="9">
        <f t="shared" si="50"/>
        <v>180</v>
      </c>
      <c r="AY8" s="9">
        <f t="shared" si="51"/>
        <v>19.297105814615346</v>
      </c>
      <c r="AZ8" s="9">
        <f t="shared" si="52"/>
        <v>681.69</v>
      </c>
      <c r="BA8" s="13">
        <f t="shared" ca="1" si="53"/>
        <v>4860.5165584482302</v>
      </c>
      <c r="BB8" s="10">
        <f t="shared" si="54"/>
        <v>16.708541870117187</v>
      </c>
      <c r="BC8" s="9">
        <f t="shared" ca="1" si="55"/>
        <v>4860.5165584482302</v>
      </c>
      <c r="BD8" s="9">
        <f t="shared" si="56"/>
        <v>20.472230911254883</v>
      </c>
      <c r="BE8" s="9">
        <f t="shared" si="57"/>
        <v>21.47</v>
      </c>
      <c r="BF8" s="9">
        <f t="shared" si="58"/>
        <v>28.252220153808594</v>
      </c>
      <c r="BG8" s="7">
        <f t="shared" si="59"/>
        <v>21.47</v>
      </c>
      <c r="BH8" s="9">
        <f t="shared" si="60"/>
        <v>37</v>
      </c>
      <c r="BJ8" s="3"/>
      <c r="BK8" s="3"/>
      <c r="BL8" s="3"/>
      <c r="BM8" s="3"/>
      <c r="BP8" s="3"/>
      <c r="BT8" s="3"/>
      <c r="DF8" s="20">
        <v>0.21890000000000001</v>
      </c>
      <c r="DG8" s="15">
        <f t="shared" si="61"/>
        <v>0.85495180553860139</v>
      </c>
      <c r="DH8" s="15">
        <f t="shared" ca="1" si="62"/>
        <v>233.60260995195546</v>
      </c>
      <c r="DI8" s="100">
        <f t="shared" ca="1" si="63"/>
        <v>1.0212037303306789</v>
      </c>
      <c r="DJ8" s="20">
        <f t="shared" si="64"/>
        <v>1.2681304273284997</v>
      </c>
      <c r="DK8" s="25">
        <f t="shared" si="65"/>
        <v>0.29710581461534524</v>
      </c>
      <c r="DL8" s="26">
        <f t="shared" si="0"/>
        <v>0.02</v>
      </c>
      <c r="DM8" s="15">
        <f t="shared" si="1"/>
        <v>656.65771484375</v>
      </c>
      <c r="DN8" s="41">
        <f t="shared" si="2"/>
        <v>473</v>
      </c>
      <c r="DO8" s="15">
        <f t="shared" ca="1" si="3"/>
        <v>423.05510489179454</v>
      </c>
      <c r="DP8" s="26">
        <f t="shared" si="4"/>
        <v>453</v>
      </c>
      <c r="DQ8" s="21">
        <f t="shared" ca="1" si="5"/>
        <v>2816.5993052117487</v>
      </c>
      <c r="DR8" s="21">
        <v>2.87E-2</v>
      </c>
      <c r="DS8" s="26">
        <f t="shared" si="6"/>
        <v>303</v>
      </c>
      <c r="DT8" s="102">
        <f t="shared" ca="1" si="7"/>
        <v>125.80344444444444</v>
      </c>
      <c r="DU8" s="15">
        <f t="shared" si="8"/>
        <v>165</v>
      </c>
      <c r="DV8" s="15">
        <f t="shared" ca="1" si="9"/>
        <v>690.58718083896258</v>
      </c>
      <c r="DW8" s="15">
        <f t="shared" ca="1" si="10"/>
        <v>2790.6388281929471</v>
      </c>
      <c r="DX8" s="15">
        <f t="shared" si="11"/>
        <v>1.0514771771274276</v>
      </c>
      <c r="DY8" s="15">
        <f t="shared" si="12"/>
        <v>0</v>
      </c>
      <c r="DZ8" s="15">
        <f t="shared" si="13"/>
        <v>0</v>
      </c>
      <c r="EA8" s="15">
        <f t="shared" si="14"/>
        <v>0</v>
      </c>
      <c r="EB8" s="15">
        <f t="shared" si="15"/>
        <v>301.25222015380859</v>
      </c>
      <c r="EC8" s="15">
        <f t="shared" ca="1" si="16"/>
        <v>118.32312492370605</v>
      </c>
      <c r="ED8" s="15">
        <f t="shared" ca="1" si="17"/>
        <v>154.93355555555553</v>
      </c>
      <c r="EE8" s="15">
        <f t="shared" ca="1" si="18"/>
        <v>85.763005500369601</v>
      </c>
      <c r="EF8" s="15">
        <f t="shared" ca="1" si="19"/>
        <v>70.011548675537114</v>
      </c>
      <c r="EG8" s="17">
        <f t="shared" si="66"/>
        <v>656.65771484375</v>
      </c>
      <c r="EH8" s="17">
        <f t="shared" si="20"/>
        <v>303</v>
      </c>
      <c r="EI8" s="17">
        <f t="shared" si="67"/>
        <v>656.65771484375</v>
      </c>
      <c r="EJ8" s="17">
        <f t="shared" si="68"/>
        <v>656.65771484375</v>
      </c>
      <c r="EK8" s="17">
        <f t="shared" si="69"/>
        <v>303</v>
      </c>
      <c r="EL8" s="15">
        <f t="shared" ca="1" si="21"/>
        <v>125.80344444444444</v>
      </c>
      <c r="EM8" s="108">
        <v>104.83</v>
      </c>
      <c r="EN8" s="21">
        <f t="shared" ca="1" si="22"/>
        <v>0.43681333333333322</v>
      </c>
      <c r="EO8" s="109">
        <v>0.36720000000000003</v>
      </c>
      <c r="EP8" s="26">
        <f t="shared" si="23"/>
        <v>10.000062092517851</v>
      </c>
      <c r="EQ8" s="17">
        <f t="shared" si="70"/>
        <v>453</v>
      </c>
      <c r="ER8" s="15">
        <f t="shared" ca="1" si="24"/>
        <v>2816.5993052117487</v>
      </c>
      <c r="ES8" s="108">
        <v>104.83</v>
      </c>
      <c r="ET8" s="15">
        <f t="shared" ca="1" si="25"/>
        <v>6.5855309782608691</v>
      </c>
      <c r="EU8" s="109">
        <v>0.36720000000000003</v>
      </c>
      <c r="EV8" s="17">
        <f t="shared" ca="1" si="71"/>
        <v>696.0551048917946</v>
      </c>
      <c r="EW8" s="17">
        <f t="shared" si="72"/>
        <v>289.70854187011719</v>
      </c>
      <c r="EX8" s="15">
        <f t="shared" ca="1" si="26"/>
        <v>70.011548675537114</v>
      </c>
      <c r="EY8" s="108">
        <v>104.83</v>
      </c>
      <c r="EZ8" s="21">
        <f t="shared" ca="1" si="27"/>
        <v>0.23956911163330077</v>
      </c>
      <c r="FA8" s="109">
        <v>0.36720000000000003</v>
      </c>
      <c r="FB8" s="17">
        <f t="shared" si="73"/>
        <v>293.47223091125488</v>
      </c>
      <c r="FC8" s="15">
        <f t="shared" ca="1" si="28"/>
        <v>85.763005500369601</v>
      </c>
      <c r="FD8" s="108">
        <v>104.83</v>
      </c>
      <c r="FE8" s="21">
        <f t="shared" ca="1" si="29"/>
        <v>0.29205166437360974</v>
      </c>
      <c r="FF8" s="109">
        <v>0.36720000000000003</v>
      </c>
      <c r="FG8" s="17">
        <f t="shared" si="74"/>
        <v>301.25222015380859</v>
      </c>
      <c r="FH8" s="15">
        <f t="shared" ca="1" si="30"/>
        <v>118.32312492370605</v>
      </c>
      <c r="FI8" s="108">
        <v>104.83</v>
      </c>
      <c r="FJ8" s="21">
        <f t="shared" ca="1" si="31"/>
        <v>0.40053929214477535</v>
      </c>
      <c r="FK8" s="109">
        <v>0.36720000000000003</v>
      </c>
      <c r="FL8" s="17">
        <f t="shared" si="75"/>
        <v>310</v>
      </c>
      <c r="FM8" s="15">
        <f t="shared" ca="1" si="32"/>
        <v>154.93355555555553</v>
      </c>
      <c r="FN8" s="108">
        <v>104.83</v>
      </c>
      <c r="FO8" s="21">
        <f t="shared" ca="1" si="33"/>
        <v>0.52252222222222222</v>
      </c>
      <c r="FP8" s="106">
        <v>0.36720000000000003</v>
      </c>
      <c r="FQ8" s="15">
        <f t="shared" si="76"/>
        <v>15317.733792054181</v>
      </c>
      <c r="FR8" s="15">
        <f t="shared" si="34"/>
        <v>2578.2891112420461</v>
      </c>
      <c r="FS8" s="15">
        <f t="shared" si="35"/>
        <v>1701.6708134197509</v>
      </c>
      <c r="FT8" s="15">
        <f t="shared" si="77"/>
        <v>876.61829782229597</v>
      </c>
      <c r="FU8" s="15">
        <f t="shared" si="36"/>
        <v>4113.6010785291301</v>
      </c>
      <c r="FV8" s="15">
        <f t="shared" ca="1" si="78"/>
        <v>23.94869948145104</v>
      </c>
      <c r="FW8" s="15">
        <f t="shared" ca="1" si="37"/>
        <v>3076.9892510536074</v>
      </c>
      <c r="FX8" s="15">
        <f t="shared" ca="1" si="38"/>
        <v>2158.940864775921</v>
      </c>
      <c r="FY8" s="15">
        <f t="shared" ca="1" si="79"/>
        <v>65.288600111110782</v>
      </c>
      <c r="FZ8" s="15">
        <f t="shared" ca="1" si="80"/>
        <v>65.288600111110782</v>
      </c>
      <c r="GA8" s="15">
        <f t="shared" ca="1" si="81"/>
        <v>17998.255599229324</v>
      </c>
      <c r="GB8" s="21">
        <f t="shared" ca="1" si="82"/>
        <v>49.944895108205458</v>
      </c>
      <c r="GC8" s="15">
        <f t="shared" ca="1" si="83"/>
        <v>18731.010819491639</v>
      </c>
      <c r="GD8" s="82">
        <f t="shared" si="39"/>
        <v>19.297105814615346</v>
      </c>
      <c r="GE8" s="82">
        <f t="shared" ca="1" si="84"/>
        <v>1.743385487191528</v>
      </c>
      <c r="GF8" s="82">
        <f t="shared" ca="1" si="85"/>
        <v>4860.5165584482302</v>
      </c>
      <c r="GG8" s="110">
        <f t="shared" si="86"/>
        <v>0.27682293277269332</v>
      </c>
      <c r="GH8" s="110">
        <f t="shared" ca="1" si="87"/>
        <v>0.11819574604251432</v>
      </c>
      <c r="GI8" s="110" t="e">
        <f t="shared" si="88"/>
        <v>#DIV/0!</v>
      </c>
      <c r="GJ8" s="110">
        <f t="shared" si="89"/>
        <v>0.32290269957566858</v>
      </c>
      <c r="GK8" s="110">
        <f t="shared" ca="1" si="90"/>
        <v>1.5523620616673919</v>
      </c>
      <c r="GL8" s="110">
        <f t="shared" ca="1" si="91"/>
        <v>8.6760184704900443</v>
      </c>
      <c r="GM8" s="114">
        <f t="shared" si="40"/>
        <v>46.340147734753693</v>
      </c>
      <c r="GN8" s="114">
        <f t="shared" ca="1" si="41"/>
        <v>11.448836112229564</v>
      </c>
      <c r="GO8" s="114">
        <f t="shared" ca="1" si="42"/>
        <v>-50838.432354216318</v>
      </c>
    </row>
    <row r="9" spans="1:197" x14ac:dyDescent="0.25">
      <c r="A9" s="6">
        <v>6</v>
      </c>
      <c r="B9" s="86">
        <v>26865.006993293762</v>
      </c>
      <c r="C9" s="86">
        <v>17</v>
      </c>
      <c r="D9" s="9">
        <v>19</v>
      </c>
      <c r="E9" s="8">
        <v>50016</v>
      </c>
      <c r="F9" s="28">
        <v>2</v>
      </c>
      <c r="G9" s="28">
        <v>0.05</v>
      </c>
      <c r="H9" s="87">
        <v>395.3935546875</v>
      </c>
      <c r="I9" s="42">
        <v>180</v>
      </c>
      <c r="J9" s="87">
        <v>90</v>
      </c>
      <c r="K9" s="28">
        <v>30</v>
      </c>
      <c r="L9" s="28">
        <v>21.47</v>
      </c>
      <c r="M9" s="13">
        <v>30.050138473510742</v>
      </c>
      <c r="N9" s="28">
        <v>37</v>
      </c>
      <c r="O9" s="13">
        <v>15.990017890930176</v>
      </c>
      <c r="P9" s="13">
        <v>12.41977596282959</v>
      </c>
      <c r="Q9" s="85">
        <v>9465.6284069530666</v>
      </c>
      <c r="R9" s="86">
        <v>90952.787674829364</v>
      </c>
      <c r="S9" s="7">
        <v>3.8404097557067871</v>
      </c>
      <c r="T9" s="86">
        <v>74790.898333184421</v>
      </c>
      <c r="U9" s="86">
        <f t="shared" si="43"/>
        <v>4399.4646078343776</v>
      </c>
      <c r="V9" s="7">
        <v>14</v>
      </c>
      <c r="W9" s="7">
        <v>14</v>
      </c>
      <c r="X9" s="6">
        <v>10</v>
      </c>
      <c r="Y9" s="6">
        <v>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3"/>
      <c r="AO9" s="10">
        <v>681.69</v>
      </c>
      <c r="AP9" s="11">
        <v>30</v>
      </c>
      <c r="AQ9" s="12">
        <f t="shared" si="44"/>
        <v>19.312237425434567</v>
      </c>
      <c r="AR9" s="12">
        <f t="shared" si="45"/>
        <v>668.3935546875</v>
      </c>
      <c r="AS9" s="9">
        <f t="shared" si="46"/>
        <v>19.312237425434567</v>
      </c>
      <c r="AT9" s="9">
        <f t="shared" si="47"/>
        <v>668.3935546875</v>
      </c>
      <c r="AU9" s="9">
        <v>96.543853202922037</v>
      </c>
      <c r="AV9" s="9">
        <f t="shared" si="48"/>
        <v>30</v>
      </c>
      <c r="AW9" s="9">
        <f t="shared" ca="1" si="49"/>
        <v>1.8614606159611167</v>
      </c>
      <c r="AX9" s="9">
        <f t="shared" si="50"/>
        <v>180</v>
      </c>
      <c r="AY9" s="9">
        <f t="shared" si="51"/>
        <v>19.312237425434567</v>
      </c>
      <c r="AZ9" s="9">
        <f t="shared" si="52"/>
        <v>681.69</v>
      </c>
      <c r="BA9" s="13">
        <f t="shared" ca="1" si="53"/>
        <v>5201.1950036708649</v>
      </c>
      <c r="BB9" s="10">
        <f t="shared" si="54"/>
        <v>12.41977596282959</v>
      </c>
      <c r="BC9" s="9">
        <f t="shared" ca="1" si="55"/>
        <v>5201.1950036708649</v>
      </c>
      <c r="BD9" s="9">
        <f t="shared" si="56"/>
        <v>15.990017890930176</v>
      </c>
      <c r="BE9" s="9">
        <f t="shared" si="57"/>
        <v>21.47</v>
      </c>
      <c r="BF9" s="9">
        <f t="shared" si="58"/>
        <v>30.050138473510742</v>
      </c>
      <c r="BG9" s="7">
        <f t="shared" si="59"/>
        <v>21.47</v>
      </c>
      <c r="BH9" s="9">
        <f t="shared" si="60"/>
        <v>37</v>
      </c>
      <c r="BJ9" s="3"/>
      <c r="BK9" s="3"/>
      <c r="BL9" s="3"/>
      <c r="BM9" s="3"/>
      <c r="BP9" s="3"/>
      <c r="BT9" s="3"/>
      <c r="DF9" s="20">
        <v>0.21890000000000001</v>
      </c>
      <c r="DG9" s="15">
        <f t="shared" si="61"/>
        <v>1.0667804876963298</v>
      </c>
      <c r="DH9" s="15">
        <f t="shared" ca="1" si="62"/>
        <v>248.6793089093913</v>
      </c>
      <c r="DI9" s="100">
        <f t="shared" ca="1" si="63"/>
        <v>1.0239091230142188</v>
      </c>
      <c r="DJ9" s="20">
        <f t="shared" si="64"/>
        <v>1.5776401423395143</v>
      </c>
      <c r="DK9" s="25">
        <f t="shared" si="65"/>
        <v>0.31223742543456645</v>
      </c>
      <c r="DL9" s="26">
        <f t="shared" si="0"/>
        <v>0.02</v>
      </c>
      <c r="DM9" s="15">
        <f t="shared" si="1"/>
        <v>668.3935546875</v>
      </c>
      <c r="DN9" s="41">
        <f t="shared" si="2"/>
        <v>473</v>
      </c>
      <c r="DO9" s="15">
        <f t="shared" ca="1" si="3"/>
        <v>419.7142457781087</v>
      </c>
      <c r="DP9" s="26">
        <f t="shared" si="4"/>
        <v>453</v>
      </c>
      <c r="DQ9" s="21">
        <f t="shared" ca="1" si="5"/>
        <v>2816.5993052117487</v>
      </c>
      <c r="DR9" s="21">
        <v>2.87E-2</v>
      </c>
      <c r="DS9" s="26">
        <f t="shared" si="6"/>
        <v>303</v>
      </c>
      <c r="DT9" s="102">
        <f t="shared" ca="1" si="7"/>
        <v>125.80344444444444</v>
      </c>
      <c r="DU9" s="15">
        <f t="shared" si="8"/>
        <v>165</v>
      </c>
      <c r="DV9" s="15">
        <f t="shared" ca="1" si="9"/>
        <v>690.58718083896258</v>
      </c>
      <c r="DW9" s="15">
        <f t="shared" ca="1" si="10"/>
        <v>2790.6388281929471</v>
      </c>
      <c r="DX9" s="15">
        <f t="shared" si="11"/>
        <v>1.0541245531380452</v>
      </c>
      <c r="DY9" s="15">
        <f t="shared" si="12"/>
        <v>0</v>
      </c>
      <c r="DZ9" s="15">
        <f t="shared" si="13"/>
        <v>0</v>
      </c>
      <c r="EA9" s="15">
        <f t="shared" si="14"/>
        <v>0</v>
      </c>
      <c r="EB9" s="15">
        <f t="shared" si="15"/>
        <v>303.05013847351074</v>
      </c>
      <c r="EC9" s="15">
        <f t="shared" ca="1" si="16"/>
        <v>125.84761286036174</v>
      </c>
      <c r="ED9" s="15">
        <f t="shared" ca="1" si="17"/>
        <v>154.93355555555553</v>
      </c>
      <c r="EE9" s="15">
        <f t="shared" ca="1" si="18"/>
        <v>67.004445986641784</v>
      </c>
      <c r="EF9" s="15">
        <f t="shared" ca="1" si="19"/>
        <v>52.062586823993264</v>
      </c>
      <c r="EG9" s="17">
        <f t="shared" si="66"/>
        <v>668.3935546875</v>
      </c>
      <c r="EH9" s="17">
        <f t="shared" si="20"/>
        <v>303</v>
      </c>
      <c r="EI9" s="17">
        <f t="shared" si="67"/>
        <v>668.3935546875</v>
      </c>
      <c r="EJ9" s="17">
        <f t="shared" si="68"/>
        <v>668.3935546875</v>
      </c>
      <c r="EK9" s="17">
        <f t="shared" si="69"/>
        <v>303</v>
      </c>
      <c r="EL9" s="15">
        <f t="shared" ca="1" si="21"/>
        <v>125.80344444444444</v>
      </c>
      <c r="EM9" s="108">
        <v>104.83</v>
      </c>
      <c r="EN9" s="21">
        <f t="shared" ca="1" si="22"/>
        <v>0.43681333333333322</v>
      </c>
      <c r="EO9" s="109">
        <v>0.36720000000000003</v>
      </c>
      <c r="EP9" s="26">
        <f t="shared" si="23"/>
        <v>10.000062092517851</v>
      </c>
      <c r="EQ9" s="17">
        <f t="shared" si="70"/>
        <v>453</v>
      </c>
      <c r="ER9" s="15">
        <f t="shared" ca="1" si="24"/>
        <v>2816.5993052117487</v>
      </c>
      <c r="ES9" s="108">
        <v>104.83</v>
      </c>
      <c r="ET9" s="15">
        <f t="shared" ca="1" si="25"/>
        <v>6.5855309782608691</v>
      </c>
      <c r="EU9" s="109">
        <v>0.36720000000000003</v>
      </c>
      <c r="EV9" s="17">
        <f t="shared" ca="1" si="71"/>
        <v>692.71424577810876</v>
      </c>
      <c r="EW9" s="17">
        <f t="shared" si="72"/>
        <v>285.41977596282959</v>
      </c>
      <c r="EX9" s="15">
        <f t="shared" ca="1" si="26"/>
        <v>52.062586823993264</v>
      </c>
      <c r="EY9" s="108">
        <v>104.83</v>
      </c>
      <c r="EZ9" s="21">
        <f t="shared" ca="1" si="27"/>
        <v>0.17976465370390152</v>
      </c>
      <c r="FA9" s="109">
        <v>0.36720000000000003</v>
      </c>
      <c r="FB9" s="17">
        <f t="shared" si="73"/>
        <v>288.99001789093018</v>
      </c>
      <c r="FC9" s="15">
        <f t="shared" ca="1" si="28"/>
        <v>67.004445986641784</v>
      </c>
      <c r="FD9" s="108">
        <v>104.83</v>
      </c>
      <c r="FE9" s="21">
        <f t="shared" ca="1" si="29"/>
        <v>0.22954969392352634</v>
      </c>
      <c r="FF9" s="109">
        <v>0.36720000000000003</v>
      </c>
      <c r="FG9" s="17">
        <f t="shared" si="74"/>
        <v>303.05013847351074</v>
      </c>
      <c r="FH9" s="15">
        <f t="shared" ca="1" si="30"/>
        <v>125.84761286036174</v>
      </c>
      <c r="FI9" s="108">
        <v>104.83</v>
      </c>
      <c r="FJ9" s="21">
        <f t="shared" ca="1" si="31"/>
        <v>0.42561026426951087</v>
      </c>
      <c r="FK9" s="109">
        <v>0.36720000000000003</v>
      </c>
      <c r="FL9" s="17">
        <f t="shared" si="75"/>
        <v>310</v>
      </c>
      <c r="FM9" s="15">
        <f t="shared" ca="1" si="32"/>
        <v>154.93355555555553</v>
      </c>
      <c r="FN9" s="108">
        <v>104.83</v>
      </c>
      <c r="FO9" s="21">
        <f t="shared" ca="1" si="33"/>
        <v>0.52252222222222222</v>
      </c>
      <c r="FP9" s="106">
        <v>0.36720000000000003</v>
      </c>
      <c r="FQ9" s="15">
        <f t="shared" si="76"/>
        <v>16097.866576307761</v>
      </c>
      <c r="FR9" s="15">
        <f t="shared" si="34"/>
        <v>2725.681766994916</v>
      </c>
      <c r="FS9" s="15">
        <f t="shared" si="35"/>
        <v>1798.9499662166452</v>
      </c>
      <c r="FT9" s="15">
        <f t="shared" si="77"/>
        <v>926.73180077827112</v>
      </c>
      <c r="FU9" s="15">
        <f t="shared" si="36"/>
        <v>4399.4646078343776</v>
      </c>
      <c r="FV9" s="15">
        <f t="shared" ca="1" si="78"/>
        <v>29.793804205421385</v>
      </c>
      <c r="FW9" s="15">
        <f t="shared" ca="1" si="37"/>
        <v>3035.8708318423287</v>
      </c>
      <c r="FX9" s="15">
        <f t="shared" ca="1" si="38"/>
        <v>2693.8547573243372</v>
      </c>
      <c r="FY9" s="15">
        <f t="shared" ca="1" si="79"/>
        <v>65.288600111110782</v>
      </c>
      <c r="FZ9" s="15">
        <f t="shared" ca="1" si="80"/>
        <v>65.288600111110782</v>
      </c>
      <c r="GA9" s="15">
        <f t="shared" ca="1" si="81"/>
        <v>20193.580972911044</v>
      </c>
      <c r="GB9" s="21">
        <f t="shared" ca="1" si="82"/>
        <v>53.285754221891281</v>
      </c>
      <c r="GC9" s="15">
        <f t="shared" ca="1" si="83"/>
        <v>20937.393592293156</v>
      </c>
      <c r="GD9" s="82">
        <f t="shared" si="39"/>
        <v>19.312237425434567</v>
      </c>
      <c r="GE9" s="82">
        <f t="shared" ca="1" si="84"/>
        <v>1.8614606159611167</v>
      </c>
      <c r="GF9" s="82">
        <f t="shared" ca="1" si="85"/>
        <v>5201.1950036708649</v>
      </c>
      <c r="GG9" s="110">
        <f t="shared" si="86"/>
        <v>0.28171236829792545</v>
      </c>
      <c r="GH9" s="110">
        <f t="shared" ca="1" si="87"/>
        <v>0.13979030696743677</v>
      </c>
      <c r="GI9" s="110">
        <f t="shared" si="88"/>
        <v>0.54717081399621315</v>
      </c>
      <c r="GJ9" s="110">
        <f t="shared" si="89"/>
        <v>0.32900118197367723</v>
      </c>
      <c r="GK9" s="110">
        <f t="shared" ca="1" si="90"/>
        <v>2.1537844717101837</v>
      </c>
      <c r="GL9" s="110">
        <f t="shared" ca="1" si="91"/>
        <v>7.7722800516124178</v>
      </c>
      <c r="GM9" s="114">
        <f t="shared" si="40"/>
        <v>45.502089546258667</v>
      </c>
      <c r="GN9" s="114">
        <f t="shared" ca="1" si="41"/>
        <v>10.764001310615145</v>
      </c>
      <c r="GO9" s="114">
        <f t="shared" ca="1" si="42"/>
        <v>-29899.67875141339</v>
      </c>
    </row>
    <row r="10" spans="1:197" x14ac:dyDescent="0.25">
      <c r="A10" s="6">
        <v>7</v>
      </c>
      <c r="B10" s="86">
        <v>26473.52089034766</v>
      </c>
      <c r="C10" s="86">
        <v>17</v>
      </c>
      <c r="D10" s="9">
        <v>19</v>
      </c>
      <c r="E10" s="8">
        <v>50016</v>
      </c>
      <c r="F10" s="28">
        <v>2</v>
      </c>
      <c r="G10" s="28">
        <v>0.05</v>
      </c>
      <c r="H10" s="87">
        <v>402.080810546875</v>
      </c>
      <c r="I10" s="42">
        <v>180</v>
      </c>
      <c r="J10" s="87">
        <v>90</v>
      </c>
      <c r="K10" s="28">
        <v>30</v>
      </c>
      <c r="L10" s="28">
        <v>21.47</v>
      </c>
      <c r="M10" s="13">
        <v>29.896755218505859</v>
      </c>
      <c r="N10" s="28">
        <v>37</v>
      </c>
      <c r="O10" s="13">
        <v>13.91058349609375</v>
      </c>
      <c r="P10" s="13">
        <v>11.377767562866211</v>
      </c>
      <c r="Q10" s="85">
        <v>10004.532490123063</v>
      </c>
      <c r="R10" s="86">
        <v>90338.472700551152</v>
      </c>
      <c r="S10" s="7">
        <v>3.2006871700286865</v>
      </c>
      <c r="T10" s="86">
        <v>72767.444721460342</v>
      </c>
      <c r="U10" s="86">
        <f t="shared" si="43"/>
        <v>4280.437924791785</v>
      </c>
      <c r="V10" s="7">
        <v>14</v>
      </c>
      <c r="W10" s="7">
        <v>14</v>
      </c>
      <c r="X10" s="6">
        <v>10</v>
      </c>
      <c r="Y10" s="6">
        <v>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3"/>
      <c r="AO10" s="10">
        <v>681.69</v>
      </c>
      <c r="AP10" s="11">
        <v>30</v>
      </c>
      <c r="AQ10" s="12">
        <f t="shared" si="44"/>
        <v>19.307687394499983</v>
      </c>
      <c r="AR10" s="12">
        <f t="shared" si="45"/>
        <v>675.080810546875</v>
      </c>
      <c r="AS10" s="9">
        <f t="shared" si="46"/>
        <v>19.307687394499983</v>
      </c>
      <c r="AT10" s="9">
        <f t="shared" si="47"/>
        <v>675.080810546875</v>
      </c>
      <c r="AU10" s="9">
        <v>80.156421537860297</v>
      </c>
      <c r="AV10" s="9">
        <f t="shared" si="48"/>
        <v>30</v>
      </c>
      <c r="AW10" s="9">
        <f t="shared" ca="1" si="49"/>
        <v>1.9277941874374569</v>
      </c>
      <c r="AX10" s="9">
        <f t="shared" si="50"/>
        <v>180</v>
      </c>
      <c r="AY10" s="9">
        <f t="shared" si="51"/>
        <v>19.307687394499983</v>
      </c>
      <c r="AZ10" s="9">
        <f t="shared" si="52"/>
        <v>681.69</v>
      </c>
      <c r="BA10" s="13">
        <f t="shared" ca="1" si="53"/>
        <v>5369.6114718324961</v>
      </c>
      <c r="BB10" s="10">
        <f t="shared" si="54"/>
        <v>11.377767562866211</v>
      </c>
      <c r="BC10" s="9">
        <f t="shared" ca="1" si="55"/>
        <v>5369.6114718324961</v>
      </c>
      <c r="BD10" s="9">
        <f t="shared" si="56"/>
        <v>13.91058349609375</v>
      </c>
      <c r="BE10" s="9">
        <f t="shared" si="57"/>
        <v>21.47</v>
      </c>
      <c r="BF10" s="9">
        <f t="shared" si="58"/>
        <v>29.896755218505859</v>
      </c>
      <c r="BG10" s="7">
        <f t="shared" si="59"/>
        <v>21.47</v>
      </c>
      <c r="BH10" s="9">
        <f t="shared" si="60"/>
        <v>37</v>
      </c>
      <c r="BJ10" s="3"/>
      <c r="BK10" s="3"/>
      <c r="BL10" s="3"/>
      <c r="BM10" s="3"/>
      <c r="BP10" s="3"/>
      <c r="BT10" s="3"/>
      <c r="DF10" s="20">
        <v>0.21890000000000001</v>
      </c>
      <c r="DG10" s="15">
        <f t="shared" si="61"/>
        <v>0.88907976945241296</v>
      </c>
      <c r="DH10" s="15">
        <f t="shared" ca="1" si="62"/>
        <v>257.27841946318784</v>
      </c>
      <c r="DI10" s="100">
        <f t="shared" ca="1" si="63"/>
        <v>1.0254889607803888</v>
      </c>
      <c r="DJ10" s="20">
        <f t="shared" si="64"/>
        <v>1.3098502296010346</v>
      </c>
      <c r="DK10" s="25">
        <f t="shared" si="65"/>
        <v>0.30768739449998245</v>
      </c>
      <c r="DL10" s="26">
        <f t="shared" si="0"/>
        <v>0.02</v>
      </c>
      <c r="DM10" s="15">
        <f t="shared" si="1"/>
        <v>675.080810546875</v>
      </c>
      <c r="DN10" s="41">
        <f t="shared" si="2"/>
        <v>473</v>
      </c>
      <c r="DO10" s="15">
        <f t="shared" ca="1" si="3"/>
        <v>417.80239108368716</v>
      </c>
      <c r="DP10" s="26">
        <f t="shared" si="4"/>
        <v>453</v>
      </c>
      <c r="DQ10" s="21">
        <f t="shared" ca="1" si="5"/>
        <v>2816.5993052117487</v>
      </c>
      <c r="DR10" s="21">
        <v>2.87E-2</v>
      </c>
      <c r="DS10" s="26">
        <f t="shared" si="6"/>
        <v>303</v>
      </c>
      <c r="DT10" s="102">
        <f t="shared" ca="1" si="7"/>
        <v>125.80344444444444</v>
      </c>
      <c r="DU10" s="15">
        <f t="shared" si="8"/>
        <v>165</v>
      </c>
      <c r="DV10" s="15">
        <f t="shared" ca="1" si="9"/>
        <v>690.58718083896258</v>
      </c>
      <c r="DW10" s="15">
        <f t="shared" ca="1" si="10"/>
        <v>2790.6388281929471</v>
      </c>
      <c r="DX10" s="15">
        <f t="shared" si="11"/>
        <v>1.0556486730280736</v>
      </c>
      <c r="DY10" s="15">
        <f t="shared" si="12"/>
        <v>0</v>
      </c>
      <c r="DZ10" s="15">
        <f t="shared" si="13"/>
        <v>0</v>
      </c>
      <c r="EA10" s="15">
        <f t="shared" si="14"/>
        <v>0</v>
      </c>
      <c r="EB10" s="15">
        <f t="shared" si="15"/>
        <v>302.89675521850586</v>
      </c>
      <c r="EC10" s="15">
        <f t="shared" ca="1" si="16"/>
        <v>125.2056868955824</v>
      </c>
      <c r="ED10" s="15">
        <f t="shared" ca="1" si="17"/>
        <v>154.93355555555553</v>
      </c>
      <c r="EE10" s="15">
        <f t="shared" ca="1" si="18"/>
        <v>58.301781995985252</v>
      </c>
      <c r="EF10" s="15">
        <f t="shared" ca="1" si="19"/>
        <v>47.701665891435418</v>
      </c>
      <c r="EG10" s="17">
        <f t="shared" si="66"/>
        <v>675.080810546875</v>
      </c>
      <c r="EH10" s="17">
        <f t="shared" si="20"/>
        <v>303</v>
      </c>
      <c r="EI10" s="17">
        <f t="shared" si="67"/>
        <v>675.080810546875</v>
      </c>
      <c r="EJ10" s="17">
        <f t="shared" si="68"/>
        <v>675.080810546875</v>
      </c>
      <c r="EK10" s="17">
        <f t="shared" si="69"/>
        <v>303</v>
      </c>
      <c r="EL10" s="15">
        <f t="shared" ca="1" si="21"/>
        <v>125.80344444444444</v>
      </c>
      <c r="EM10" s="108">
        <v>104.83</v>
      </c>
      <c r="EN10" s="21">
        <f t="shared" ca="1" si="22"/>
        <v>0.43681333333333322</v>
      </c>
      <c r="EO10" s="109">
        <v>0.36720000000000003</v>
      </c>
      <c r="EP10" s="26">
        <f t="shared" si="23"/>
        <v>10.000062092517851</v>
      </c>
      <c r="EQ10" s="17">
        <f t="shared" si="70"/>
        <v>453</v>
      </c>
      <c r="ER10" s="15">
        <f t="shared" ca="1" si="24"/>
        <v>2816.5993052117487</v>
      </c>
      <c r="ES10" s="108">
        <v>104.83</v>
      </c>
      <c r="ET10" s="15">
        <f t="shared" ca="1" si="25"/>
        <v>6.5855309782608691</v>
      </c>
      <c r="EU10" s="109">
        <v>0.36720000000000003</v>
      </c>
      <c r="EV10" s="17">
        <f t="shared" ca="1" si="71"/>
        <v>690.8023910836871</v>
      </c>
      <c r="EW10" s="17">
        <f t="shared" si="72"/>
        <v>284.37776756286621</v>
      </c>
      <c r="EX10" s="15">
        <f t="shared" ca="1" si="26"/>
        <v>47.701665891435418</v>
      </c>
      <c r="EY10" s="108">
        <v>104.83</v>
      </c>
      <c r="EZ10" s="21">
        <f t="shared" ca="1" si="27"/>
        <v>0.16523442545996772</v>
      </c>
      <c r="FA10" s="109">
        <v>0.36720000000000003</v>
      </c>
      <c r="FB10" s="17">
        <f t="shared" si="73"/>
        <v>286.91058349609375</v>
      </c>
      <c r="FC10" s="15">
        <f t="shared" ca="1" si="28"/>
        <v>58.301781995985252</v>
      </c>
      <c r="FD10" s="108">
        <v>104.83</v>
      </c>
      <c r="FE10" s="21">
        <f t="shared" ca="1" si="29"/>
        <v>0.20055313652886284</v>
      </c>
      <c r="FF10" s="109">
        <v>0.36720000000000003</v>
      </c>
      <c r="FG10" s="17">
        <f t="shared" si="74"/>
        <v>302.89675521850586</v>
      </c>
      <c r="FH10" s="15">
        <f t="shared" ca="1" si="30"/>
        <v>125.2056868955824</v>
      </c>
      <c r="FI10" s="108">
        <v>104.83</v>
      </c>
      <c r="FJ10" s="21">
        <f t="shared" ca="1" si="31"/>
        <v>0.42347141999138727</v>
      </c>
      <c r="FK10" s="109">
        <v>0.36720000000000003</v>
      </c>
      <c r="FL10" s="17">
        <f t="shared" si="75"/>
        <v>310</v>
      </c>
      <c r="FM10" s="15">
        <f t="shared" ca="1" si="32"/>
        <v>154.93355555555553</v>
      </c>
      <c r="FN10" s="108">
        <v>104.83</v>
      </c>
      <c r="FO10" s="21">
        <f t="shared" ca="1" si="33"/>
        <v>0.52252222222222222</v>
      </c>
      <c r="FP10" s="106">
        <v>0.36720000000000003</v>
      </c>
      <c r="FQ10" s="15">
        <f t="shared" si="76"/>
        <v>15863.282939189105</v>
      </c>
      <c r="FR10" s="15">
        <f t="shared" si="34"/>
        <v>2809.1209121430884</v>
      </c>
      <c r="FS10" s="15">
        <f t="shared" si="35"/>
        <v>1854.0198020144385</v>
      </c>
      <c r="FT10" s="15">
        <f t="shared" si="77"/>
        <v>955.10111012865013</v>
      </c>
      <c r="FU10" s="15">
        <f t="shared" si="36"/>
        <v>4280.437924791785</v>
      </c>
      <c r="FV10" s="15">
        <f t="shared" ca="1" si="78"/>
        <v>24.736579801581296</v>
      </c>
      <c r="FW10" s="15">
        <f t="shared" ca="1" si="37"/>
        <v>3010.3490148090891</v>
      </c>
      <c r="FX10" s="15">
        <f t="shared" ca="1" si="38"/>
        <v>2245.1214605098626</v>
      </c>
      <c r="FY10" s="15">
        <f t="shared" ca="1" si="79"/>
        <v>65.288600111110782</v>
      </c>
      <c r="FZ10" s="15">
        <f t="shared" ca="1" si="80"/>
        <v>65.288600111110782</v>
      </c>
      <c r="GA10" s="15">
        <f t="shared" ca="1" si="81"/>
        <v>21294.706523094301</v>
      </c>
      <c r="GB10" s="21">
        <f t="shared" ca="1" si="82"/>
        <v>55.197608916312838</v>
      </c>
      <c r="GC10" s="15">
        <f t="shared" ca="1" si="83"/>
        <v>21839.471591487742</v>
      </c>
      <c r="GD10" s="82">
        <f t="shared" si="39"/>
        <v>19.307687394499983</v>
      </c>
      <c r="GE10" s="82">
        <f t="shared" ca="1" si="84"/>
        <v>1.9277941874374569</v>
      </c>
      <c r="GF10" s="82">
        <f t="shared" ca="1" si="85"/>
        <v>5369.6114718324961</v>
      </c>
      <c r="GG10" s="110">
        <f t="shared" si="86"/>
        <v>0.27814390185118376</v>
      </c>
      <c r="GH10" s="110">
        <f t="shared" ca="1" si="87"/>
        <v>0.11679393703128556</v>
      </c>
      <c r="GI10" s="110">
        <f t="shared" si="88"/>
        <v>0.5822554233645385</v>
      </c>
      <c r="GJ10" s="110">
        <f t="shared" si="89"/>
        <v>0.32789832973755356</v>
      </c>
      <c r="GK10" s="110">
        <f t="shared" ca="1" si="90"/>
        <v>1.9202013199528096</v>
      </c>
      <c r="GL10" s="110">
        <f t="shared" ca="1" si="91"/>
        <v>9.7275234216183755</v>
      </c>
      <c r="GM10" s="114">
        <f t="shared" si="40"/>
        <v>45.820004253416606</v>
      </c>
      <c r="GN10" s="114">
        <f t="shared" ca="1" si="41"/>
        <v>10.169017149444622</v>
      </c>
      <c r="GO10" s="114">
        <f t="shared" ca="1" si="42"/>
        <v>-43861.174400894379</v>
      </c>
    </row>
    <row r="11" spans="1:197" x14ac:dyDescent="0.25">
      <c r="A11" s="6">
        <v>8</v>
      </c>
      <c r="B11" s="86">
        <v>26476.502519369125</v>
      </c>
      <c r="C11" s="86">
        <v>17</v>
      </c>
      <c r="D11" s="9">
        <v>19</v>
      </c>
      <c r="E11" s="8">
        <v>50016</v>
      </c>
      <c r="F11" s="28">
        <v>2</v>
      </c>
      <c r="G11" s="28">
        <v>0.05</v>
      </c>
      <c r="H11" s="87">
        <v>396.62356567382812</v>
      </c>
      <c r="I11" s="42">
        <v>180</v>
      </c>
      <c r="J11" s="87">
        <v>90</v>
      </c>
      <c r="K11" s="28">
        <v>30</v>
      </c>
      <c r="L11" s="28">
        <v>21.47</v>
      </c>
      <c r="M11" s="13">
        <v>29.943632125854492</v>
      </c>
      <c r="N11" s="28">
        <v>37</v>
      </c>
      <c r="O11" s="13">
        <v>13.60189151763916</v>
      </c>
      <c r="P11" s="13">
        <v>10.486261367797852</v>
      </c>
      <c r="Q11" s="85">
        <v>11102.918619662523</v>
      </c>
      <c r="R11" s="86">
        <v>92544.700515806675</v>
      </c>
      <c r="S11" s="7">
        <v>3.2224287986755371</v>
      </c>
      <c r="T11" s="86">
        <v>71813.20555537194</v>
      </c>
      <c r="U11" s="86">
        <f t="shared" si="43"/>
        <v>4224.3062091395259</v>
      </c>
      <c r="V11" s="7">
        <v>14</v>
      </c>
      <c r="W11" s="7">
        <v>14</v>
      </c>
      <c r="X11" s="6">
        <v>10</v>
      </c>
      <c r="Y11" s="6">
        <v>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3"/>
      <c r="AO11" s="10">
        <v>681.69</v>
      </c>
      <c r="AP11" s="11">
        <v>30</v>
      </c>
      <c r="AQ11" s="12">
        <f t="shared" si="44"/>
        <v>19.307722048359164</v>
      </c>
      <c r="AR11" s="12">
        <f t="shared" si="45"/>
        <v>669.62356567382812</v>
      </c>
      <c r="AS11" s="9">
        <f t="shared" si="46"/>
        <v>19.307722048359164</v>
      </c>
      <c r="AT11" s="9">
        <f t="shared" si="47"/>
        <v>669.62356567382812</v>
      </c>
      <c r="AU11" s="9">
        <v>81.989298473432427</v>
      </c>
      <c r="AV11" s="9">
        <f t="shared" si="48"/>
        <v>30</v>
      </c>
      <c r="AW11" s="9">
        <f t="shared" ca="1" si="49"/>
        <v>1.8732914766395923</v>
      </c>
      <c r="AX11" s="9">
        <f t="shared" si="50"/>
        <v>180</v>
      </c>
      <c r="AY11" s="9">
        <f t="shared" si="51"/>
        <v>19.307722048359164</v>
      </c>
      <c r="AZ11" s="9">
        <f t="shared" si="52"/>
        <v>681.69</v>
      </c>
      <c r="BA11" s="13">
        <f t="shared" ca="1" si="53"/>
        <v>5227.6856042506633</v>
      </c>
      <c r="BB11" s="10">
        <f t="shared" si="54"/>
        <v>10.486261367797852</v>
      </c>
      <c r="BC11" s="9">
        <f t="shared" ca="1" si="55"/>
        <v>5227.6856042506633</v>
      </c>
      <c r="BD11" s="9">
        <f t="shared" si="56"/>
        <v>13.60189151763916</v>
      </c>
      <c r="BE11" s="9">
        <f t="shared" si="57"/>
        <v>21.47</v>
      </c>
      <c r="BF11" s="9">
        <f t="shared" si="58"/>
        <v>29.943632125854492</v>
      </c>
      <c r="BG11" s="7">
        <f t="shared" si="59"/>
        <v>21.47</v>
      </c>
      <c r="BH11" s="9">
        <f t="shared" si="60"/>
        <v>37</v>
      </c>
      <c r="BJ11" s="3"/>
      <c r="BK11" s="3"/>
      <c r="BL11" s="3"/>
      <c r="BM11" s="3"/>
      <c r="BP11" s="3"/>
      <c r="BT11" s="3"/>
      <c r="DF11" s="20">
        <v>0.21890000000000001</v>
      </c>
      <c r="DG11" s="15">
        <f t="shared" si="61"/>
        <v>0.89511911074320483</v>
      </c>
      <c r="DH11" s="15">
        <f t="shared" ca="1" si="62"/>
        <v>250.2605282713983</v>
      </c>
      <c r="DI11" s="100">
        <f t="shared" ca="1" si="63"/>
        <v>1.0241976433517703</v>
      </c>
      <c r="DJ11" s="20">
        <f t="shared" si="64"/>
        <v>1.3398015950540898</v>
      </c>
      <c r="DK11" s="25">
        <f t="shared" si="65"/>
        <v>0.30772204835916422</v>
      </c>
      <c r="DL11" s="26">
        <f t="shared" si="0"/>
        <v>0.02</v>
      </c>
      <c r="DM11" s="15">
        <f t="shared" si="1"/>
        <v>669.62356567382812</v>
      </c>
      <c r="DN11" s="41">
        <f t="shared" si="2"/>
        <v>473</v>
      </c>
      <c r="DO11" s="15">
        <f t="shared" ca="1" si="3"/>
        <v>419.36303740242982</v>
      </c>
      <c r="DP11" s="26">
        <f t="shared" si="4"/>
        <v>453</v>
      </c>
      <c r="DQ11" s="21">
        <f t="shared" ca="1" si="5"/>
        <v>2816.5993052117487</v>
      </c>
      <c r="DR11" s="21">
        <v>2.87E-2</v>
      </c>
      <c r="DS11" s="26">
        <f t="shared" si="6"/>
        <v>303</v>
      </c>
      <c r="DT11" s="102">
        <f t="shared" ca="1" si="7"/>
        <v>125.80344444444444</v>
      </c>
      <c r="DU11" s="15">
        <f t="shared" si="8"/>
        <v>165</v>
      </c>
      <c r="DV11" s="15">
        <f t="shared" ca="1" si="9"/>
        <v>690.58718083896258</v>
      </c>
      <c r="DW11" s="15">
        <f t="shared" ca="1" si="10"/>
        <v>2790.6388281929471</v>
      </c>
      <c r="DX11" s="15">
        <f t="shared" si="11"/>
        <v>1.0544040503719598</v>
      </c>
      <c r="DY11" s="15">
        <f t="shared" si="12"/>
        <v>0</v>
      </c>
      <c r="DZ11" s="15">
        <f t="shared" si="13"/>
        <v>0</v>
      </c>
      <c r="EA11" s="15">
        <f t="shared" si="14"/>
        <v>0</v>
      </c>
      <c r="EB11" s="15">
        <f t="shared" si="15"/>
        <v>302.94363212585449</v>
      </c>
      <c r="EC11" s="15">
        <f t="shared" ca="1" si="16"/>
        <v>125.4018719613817</v>
      </c>
      <c r="ED11" s="15">
        <f t="shared" ca="1" si="17"/>
        <v>154.93355555555553</v>
      </c>
      <c r="EE11" s="15">
        <f t="shared" ca="1" si="18"/>
        <v>57.009871767044075</v>
      </c>
      <c r="EF11" s="15">
        <f t="shared" ca="1" si="19"/>
        <v>43.970613408830438</v>
      </c>
      <c r="EG11" s="17">
        <f t="shared" si="66"/>
        <v>669.62356567382812</v>
      </c>
      <c r="EH11" s="17">
        <f t="shared" si="20"/>
        <v>303</v>
      </c>
      <c r="EI11" s="17">
        <f t="shared" si="67"/>
        <v>669.62356567382812</v>
      </c>
      <c r="EJ11" s="17">
        <f t="shared" si="68"/>
        <v>669.62356567382812</v>
      </c>
      <c r="EK11" s="17">
        <f t="shared" si="69"/>
        <v>303</v>
      </c>
      <c r="EL11" s="15">
        <f t="shared" ca="1" si="21"/>
        <v>125.80344444444444</v>
      </c>
      <c r="EM11" s="108">
        <v>104.83</v>
      </c>
      <c r="EN11" s="21">
        <f t="shared" ca="1" si="22"/>
        <v>0.43681333333333322</v>
      </c>
      <c r="EO11" s="109">
        <v>0.36720000000000003</v>
      </c>
      <c r="EP11" s="26">
        <f t="shared" si="23"/>
        <v>10.000062092517851</v>
      </c>
      <c r="EQ11" s="17">
        <f t="shared" si="70"/>
        <v>453</v>
      </c>
      <c r="ER11" s="15">
        <f t="shared" ca="1" si="24"/>
        <v>2816.5993052117487</v>
      </c>
      <c r="ES11" s="108">
        <v>104.83</v>
      </c>
      <c r="ET11" s="15">
        <f t="shared" ca="1" si="25"/>
        <v>6.5855309782608691</v>
      </c>
      <c r="EU11" s="109">
        <v>0.36720000000000003</v>
      </c>
      <c r="EV11" s="17">
        <f t="shared" ca="1" si="71"/>
        <v>692.36303740242988</v>
      </c>
      <c r="EW11" s="17">
        <f t="shared" si="72"/>
        <v>283.48626136779785</v>
      </c>
      <c r="EX11" s="15">
        <f t="shared" ca="1" si="26"/>
        <v>43.970613408830438</v>
      </c>
      <c r="EY11" s="108">
        <v>104.83</v>
      </c>
      <c r="EZ11" s="21">
        <f t="shared" ca="1" si="27"/>
        <v>0.15280286685095892</v>
      </c>
      <c r="FA11" s="109">
        <v>0.36720000000000003</v>
      </c>
      <c r="FB11" s="17">
        <f t="shared" si="73"/>
        <v>286.60189151763916</v>
      </c>
      <c r="FC11" s="15">
        <f t="shared" ca="1" si="28"/>
        <v>57.009871767044075</v>
      </c>
      <c r="FD11" s="108">
        <v>104.83</v>
      </c>
      <c r="FE11" s="21">
        <f t="shared" ca="1" si="29"/>
        <v>0.19624859838485717</v>
      </c>
      <c r="FF11" s="109">
        <v>0.36720000000000003</v>
      </c>
      <c r="FG11" s="17">
        <f t="shared" si="74"/>
        <v>302.94363212585449</v>
      </c>
      <c r="FH11" s="15">
        <f t="shared" ca="1" si="30"/>
        <v>125.4018719613817</v>
      </c>
      <c r="FI11" s="108">
        <v>104.83</v>
      </c>
      <c r="FJ11" s="21">
        <f t="shared" ca="1" si="31"/>
        <v>0.42412509242163765</v>
      </c>
      <c r="FK11" s="109">
        <v>0.36720000000000003</v>
      </c>
      <c r="FL11" s="17">
        <f t="shared" si="75"/>
        <v>310</v>
      </c>
      <c r="FM11" s="15">
        <f t="shared" ca="1" si="32"/>
        <v>154.93355555555553</v>
      </c>
      <c r="FN11" s="108">
        <v>104.83</v>
      </c>
      <c r="FO11" s="21">
        <f t="shared" ca="1" si="33"/>
        <v>0.52252222222222222</v>
      </c>
      <c r="FP11" s="106">
        <v>0.36720000000000003</v>
      </c>
      <c r="FQ11" s="15">
        <f t="shared" si="76"/>
        <v>15865.069570630501</v>
      </c>
      <c r="FR11" s="15">
        <f t="shared" si="34"/>
        <v>2740.4413795298492</v>
      </c>
      <c r="FS11" s="15">
        <f t="shared" si="35"/>
        <v>1808.6913104897005</v>
      </c>
      <c r="FT11" s="15">
        <f t="shared" si="77"/>
        <v>931.75006904014867</v>
      </c>
      <c r="FU11" s="15">
        <f t="shared" si="36"/>
        <v>4224.3062091395259</v>
      </c>
      <c r="FV11" s="15">
        <f t="shared" ca="1" si="78"/>
        <v>25.302212669334043</v>
      </c>
      <c r="FW11" s="15">
        <f t="shared" ca="1" si="37"/>
        <v>3030.598626342387</v>
      </c>
      <c r="FX11" s="15">
        <f t="shared" ca="1" si="38"/>
        <v>2260.3721221548253</v>
      </c>
      <c r="FY11" s="15">
        <f t="shared" ca="1" si="79"/>
        <v>65.288600111110782</v>
      </c>
      <c r="FZ11" s="15">
        <f t="shared" ca="1" si="80"/>
        <v>65.288600111110782</v>
      </c>
      <c r="GA11" s="15">
        <f t="shared" ca="1" si="81"/>
        <v>20796.498961892252</v>
      </c>
      <c r="GB11" s="21">
        <f t="shared" ca="1" si="82"/>
        <v>53.636962597570175</v>
      </c>
      <c r="GC11" s="15">
        <f t="shared" ca="1" si="83"/>
        <v>21448.905220241049</v>
      </c>
      <c r="GD11" s="82">
        <f t="shared" si="39"/>
        <v>19.307722048359164</v>
      </c>
      <c r="GE11" s="82">
        <f t="shared" ca="1" si="84"/>
        <v>1.8732914766395923</v>
      </c>
      <c r="GF11" s="82">
        <f t="shared" ca="1" si="85"/>
        <v>5227.6856042506633</v>
      </c>
      <c r="GG11" s="110">
        <f t="shared" si="86"/>
        <v>0.27446553707157628</v>
      </c>
      <c r="GH11" s="110">
        <f t="shared" ca="1" si="87"/>
        <v>0.11841659799929387</v>
      </c>
      <c r="GI11" s="110">
        <f t="shared" si="88"/>
        <v>0.63077589672049261</v>
      </c>
      <c r="GJ11" s="110">
        <f t="shared" si="89"/>
        <v>0.32186101942330675</v>
      </c>
      <c r="GK11" s="110">
        <f t="shared" ca="1" si="90"/>
        <v>1.8291648478475531</v>
      </c>
      <c r="GL11" s="110">
        <f t="shared" ca="1" si="91"/>
        <v>9.4891035905157466</v>
      </c>
      <c r="GM11" s="114">
        <f t="shared" si="40"/>
        <v>46.584997843244984</v>
      </c>
      <c r="GN11" s="114">
        <f t="shared" ca="1" si="41"/>
        <v>10.355352485740104</v>
      </c>
      <c r="GO11" s="114">
        <f t="shared" ca="1" si="42"/>
        <v>-45653.413724487604</v>
      </c>
    </row>
    <row r="12" spans="1:197" x14ac:dyDescent="0.25">
      <c r="A12" s="6">
        <v>9</v>
      </c>
      <c r="B12" s="86">
        <v>26658.210251845419</v>
      </c>
      <c r="C12" s="86">
        <v>17</v>
      </c>
      <c r="D12" s="9">
        <v>19</v>
      </c>
      <c r="E12" s="8">
        <v>50016</v>
      </c>
      <c r="F12" s="28">
        <v>2</v>
      </c>
      <c r="G12" s="28">
        <v>0.05</v>
      </c>
      <c r="H12" s="87">
        <v>403.88372802734375</v>
      </c>
      <c r="I12" s="42">
        <v>180</v>
      </c>
      <c r="J12" s="87">
        <v>90</v>
      </c>
      <c r="K12" s="28">
        <v>30</v>
      </c>
      <c r="L12" s="28">
        <v>21.47</v>
      </c>
      <c r="M12" s="13">
        <v>29.461702346801758</v>
      </c>
      <c r="N12" s="28">
        <v>37</v>
      </c>
      <c r="O12" s="13">
        <v>13.071602821350098</v>
      </c>
      <c r="P12" s="13">
        <v>10.15445613861084</v>
      </c>
      <c r="Q12" s="85">
        <v>9670.1585132107139</v>
      </c>
      <c r="R12" s="86">
        <v>83185.89417026937</v>
      </c>
      <c r="S12" s="7">
        <v>3.7415413856506348</v>
      </c>
      <c r="T12" s="86">
        <v>73349.794444359839</v>
      </c>
      <c r="U12" s="86">
        <f t="shared" si="43"/>
        <v>4314.6937908446962</v>
      </c>
      <c r="V12" s="7">
        <v>14</v>
      </c>
      <c r="W12" s="7">
        <v>14</v>
      </c>
      <c r="X12" s="6">
        <v>10</v>
      </c>
      <c r="Y12" s="6">
        <v>5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3"/>
      <c r="AO12" s="10">
        <v>681.69</v>
      </c>
      <c r="AP12" s="11">
        <v>30</v>
      </c>
      <c r="AQ12" s="12">
        <f t="shared" si="44"/>
        <v>19.309833938915684</v>
      </c>
      <c r="AR12" s="12">
        <f t="shared" si="45"/>
        <v>676.88372802734375</v>
      </c>
      <c r="AS12" s="9">
        <f t="shared" si="46"/>
        <v>19.309833938915684</v>
      </c>
      <c r="AT12" s="9">
        <f t="shared" si="47"/>
        <v>676.88372802734375</v>
      </c>
      <c r="AU12" s="9">
        <v>91.534271584358066</v>
      </c>
      <c r="AV12" s="9">
        <f t="shared" si="48"/>
        <v>30</v>
      </c>
      <c r="AW12" s="9">
        <f t="shared" ca="1" si="49"/>
        <v>1.9460481323003807</v>
      </c>
      <c r="AX12" s="9">
        <f t="shared" si="50"/>
        <v>180</v>
      </c>
      <c r="AY12" s="9">
        <f t="shared" si="51"/>
        <v>19.309833938915684</v>
      </c>
      <c r="AZ12" s="9">
        <f t="shared" si="52"/>
        <v>681.69</v>
      </c>
      <c r="BA12" s="13">
        <f t="shared" ca="1" si="53"/>
        <v>5425.7564623725993</v>
      </c>
      <c r="BB12" s="10">
        <f t="shared" si="54"/>
        <v>10.15445613861084</v>
      </c>
      <c r="BC12" s="9">
        <f t="shared" ca="1" si="55"/>
        <v>5425.7564623725993</v>
      </c>
      <c r="BD12" s="9">
        <f t="shared" si="56"/>
        <v>13.071602821350098</v>
      </c>
      <c r="BE12" s="9">
        <f t="shared" si="57"/>
        <v>21.47</v>
      </c>
      <c r="BF12" s="9">
        <f t="shared" si="58"/>
        <v>29.461702346801758</v>
      </c>
      <c r="BG12" s="7">
        <f t="shared" si="59"/>
        <v>21.47</v>
      </c>
      <c r="BH12" s="9">
        <f t="shared" si="60"/>
        <v>37</v>
      </c>
      <c r="BJ12" s="3"/>
      <c r="BK12" s="3"/>
      <c r="BL12" s="3"/>
      <c r="BM12" s="3"/>
      <c r="BP12" s="3"/>
      <c r="BT12" s="3"/>
      <c r="DF12" s="20">
        <v>0.21890000000000001</v>
      </c>
      <c r="DG12" s="15">
        <f t="shared" si="61"/>
        <v>1.0393170515696208</v>
      </c>
      <c r="DH12" s="15">
        <f t="shared" ca="1" si="62"/>
        <v>259.59779936887611</v>
      </c>
      <c r="DI12" s="100">
        <f t="shared" ca="1" si="63"/>
        <v>1.0259195761277482</v>
      </c>
      <c r="DJ12" s="20">
        <f t="shared" si="64"/>
        <v>1.4957776850667452</v>
      </c>
      <c r="DK12" s="25">
        <f t="shared" si="65"/>
        <v>0.30983393891568312</v>
      </c>
      <c r="DL12" s="26">
        <f t="shared" si="0"/>
        <v>0.02</v>
      </c>
      <c r="DM12" s="15">
        <f t="shared" si="1"/>
        <v>676.88372802734375</v>
      </c>
      <c r="DN12" s="41">
        <f t="shared" si="2"/>
        <v>473</v>
      </c>
      <c r="DO12" s="15">
        <f t="shared" ca="1" si="3"/>
        <v>417.28592865846764</v>
      </c>
      <c r="DP12" s="26">
        <f t="shared" si="4"/>
        <v>453</v>
      </c>
      <c r="DQ12" s="21">
        <f t="shared" ca="1" si="5"/>
        <v>2816.5993052117487</v>
      </c>
      <c r="DR12" s="21">
        <v>2.87E-2</v>
      </c>
      <c r="DS12" s="26">
        <f t="shared" si="6"/>
        <v>303</v>
      </c>
      <c r="DT12" s="102">
        <f t="shared" ca="1" si="7"/>
        <v>125.80344444444444</v>
      </c>
      <c r="DU12" s="15">
        <f t="shared" si="8"/>
        <v>165</v>
      </c>
      <c r="DV12" s="15">
        <f t="shared" ca="1" si="9"/>
        <v>690.58718083896258</v>
      </c>
      <c r="DW12" s="15">
        <f t="shared" ca="1" si="10"/>
        <v>2790.6388281929471</v>
      </c>
      <c r="DX12" s="15">
        <f t="shared" si="11"/>
        <v>1.0560614843773495</v>
      </c>
      <c r="DY12" s="15">
        <f t="shared" si="12"/>
        <v>0</v>
      </c>
      <c r="DZ12" s="15">
        <f t="shared" si="13"/>
        <v>0</v>
      </c>
      <c r="EA12" s="15">
        <f t="shared" si="14"/>
        <v>0</v>
      </c>
      <c r="EB12" s="15">
        <f t="shared" si="15"/>
        <v>302.46170234680176</v>
      </c>
      <c r="EC12" s="15">
        <f t="shared" ca="1" si="16"/>
        <v>123.38494228829278</v>
      </c>
      <c r="ED12" s="15">
        <f t="shared" ca="1" si="17"/>
        <v>154.93355555555553</v>
      </c>
      <c r="EE12" s="15">
        <f t="shared" ca="1" si="18"/>
        <v>54.790554652108092</v>
      </c>
      <c r="EF12" s="15">
        <f t="shared" ca="1" si="19"/>
        <v>42.581971657435105</v>
      </c>
      <c r="EG12" s="17">
        <f t="shared" si="66"/>
        <v>676.88372802734375</v>
      </c>
      <c r="EH12" s="17">
        <f t="shared" si="20"/>
        <v>303</v>
      </c>
      <c r="EI12" s="17">
        <f t="shared" si="67"/>
        <v>676.88372802734375</v>
      </c>
      <c r="EJ12" s="17">
        <f t="shared" si="68"/>
        <v>676.88372802734375</v>
      </c>
      <c r="EK12" s="17">
        <f t="shared" si="69"/>
        <v>303</v>
      </c>
      <c r="EL12" s="15">
        <f t="shared" ca="1" si="21"/>
        <v>125.80344444444444</v>
      </c>
      <c r="EM12" s="108">
        <v>104.83</v>
      </c>
      <c r="EN12" s="21">
        <f t="shared" ca="1" si="22"/>
        <v>0.43681333333333322</v>
      </c>
      <c r="EO12" s="109">
        <v>0.36720000000000003</v>
      </c>
      <c r="EP12" s="26">
        <f t="shared" si="23"/>
        <v>10.000062092517851</v>
      </c>
      <c r="EQ12" s="17">
        <f t="shared" si="70"/>
        <v>453</v>
      </c>
      <c r="ER12" s="15">
        <f t="shared" ca="1" si="24"/>
        <v>2816.5993052117487</v>
      </c>
      <c r="ES12" s="108">
        <v>104.83</v>
      </c>
      <c r="ET12" s="15">
        <f t="shared" ca="1" si="25"/>
        <v>6.5855309782608691</v>
      </c>
      <c r="EU12" s="109">
        <v>0.36720000000000003</v>
      </c>
      <c r="EV12" s="17">
        <f t="shared" ca="1" si="71"/>
        <v>690.28592865846758</v>
      </c>
      <c r="EW12" s="17">
        <f t="shared" si="72"/>
        <v>283.15445613861084</v>
      </c>
      <c r="EX12" s="15">
        <f t="shared" ca="1" si="26"/>
        <v>42.581971657435105</v>
      </c>
      <c r="EY12" s="108">
        <v>104.83</v>
      </c>
      <c r="EZ12" s="21">
        <f t="shared" ca="1" si="27"/>
        <v>0.14817602726618451</v>
      </c>
      <c r="FA12" s="109">
        <v>0.36720000000000003</v>
      </c>
      <c r="FB12" s="17">
        <f t="shared" si="73"/>
        <v>286.0716028213501</v>
      </c>
      <c r="FC12" s="15">
        <f t="shared" ca="1" si="28"/>
        <v>54.790554652108092</v>
      </c>
      <c r="FD12" s="108">
        <v>104.83</v>
      </c>
      <c r="FE12" s="21">
        <f t="shared" ca="1" si="29"/>
        <v>0.18885401711993746</v>
      </c>
      <c r="FF12" s="109">
        <v>0.36720000000000003</v>
      </c>
      <c r="FG12" s="17">
        <f t="shared" si="74"/>
        <v>302.46170234680176</v>
      </c>
      <c r="FH12" s="15">
        <f t="shared" ca="1" si="30"/>
        <v>123.38494228829278</v>
      </c>
      <c r="FI12" s="108">
        <v>104.83</v>
      </c>
      <c r="FJ12" s="21">
        <f t="shared" ca="1" si="31"/>
        <v>0.4174048493915134</v>
      </c>
      <c r="FK12" s="109">
        <v>0.36720000000000003</v>
      </c>
      <c r="FL12" s="17">
        <f t="shared" si="75"/>
        <v>310</v>
      </c>
      <c r="FM12" s="15">
        <f t="shared" ca="1" si="32"/>
        <v>154.93355555555553</v>
      </c>
      <c r="FN12" s="108">
        <v>104.83</v>
      </c>
      <c r="FO12" s="21">
        <f t="shared" ca="1" si="33"/>
        <v>0.52252222222222222</v>
      </c>
      <c r="FP12" s="106">
        <v>0.36720000000000003</v>
      </c>
      <c r="FQ12" s="15">
        <f t="shared" si="76"/>
        <v>15973.951240902055</v>
      </c>
      <c r="FR12" s="15">
        <f t="shared" si="34"/>
        <v>2832.2601073041474</v>
      </c>
      <c r="FS12" s="15">
        <f t="shared" si="35"/>
        <v>1869.2916708207374</v>
      </c>
      <c r="FT12" s="15">
        <f t="shared" si="77"/>
        <v>962.96843648341007</v>
      </c>
      <c r="FU12" s="15">
        <f t="shared" si="36"/>
        <v>4314.6937908446962</v>
      </c>
      <c r="FV12" s="15">
        <f t="shared" ca="1" si="78"/>
        <v>28.247828061493706</v>
      </c>
      <c r="FW12" s="15">
        <f t="shared" ca="1" si="37"/>
        <v>3003.9941761538857</v>
      </c>
      <c r="FX12" s="15">
        <f t="shared" ca="1" si="38"/>
        <v>2624.5035562893704</v>
      </c>
      <c r="FY12" s="15">
        <f t="shared" ca="1" si="79"/>
        <v>65.288600111110782</v>
      </c>
      <c r="FZ12" s="15">
        <f t="shared" ca="1" si="80"/>
        <v>65.288600111110782</v>
      </c>
      <c r="GA12" s="15">
        <f t="shared" ca="1" si="81"/>
        <v>21699.702382491807</v>
      </c>
      <c r="GB12" s="21">
        <f t="shared" ca="1" si="82"/>
        <v>55.714071341532339</v>
      </c>
      <c r="GC12" s="15">
        <f t="shared" ca="1" si="83"/>
        <v>22333.690799306696</v>
      </c>
      <c r="GD12" s="82">
        <f t="shared" si="39"/>
        <v>19.309833938915684</v>
      </c>
      <c r="GE12" s="82">
        <f t="shared" ca="1" si="84"/>
        <v>1.9460481323003807</v>
      </c>
      <c r="GF12" s="82">
        <f t="shared" ca="1" si="85"/>
        <v>5425.7564623725993</v>
      </c>
      <c r="GG12" s="110">
        <f t="shared" si="86"/>
        <v>0.27842744055800406</v>
      </c>
      <c r="GH12" s="110">
        <f t="shared" ca="1" si="87"/>
        <v>0.13549781153672161</v>
      </c>
      <c r="GI12" s="110">
        <f t="shared" si="88"/>
        <v>0.61118599106945459</v>
      </c>
      <c r="GJ12" s="110">
        <f t="shared" si="89"/>
        <v>0.32832104688671276</v>
      </c>
      <c r="GK12" s="110">
        <f t="shared" ca="1" si="90"/>
        <v>2.2880497011554732</v>
      </c>
      <c r="GL12" s="110">
        <f t="shared" ca="1" si="91"/>
        <v>8.5096820485482496</v>
      </c>
      <c r="GM12" s="114">
        <f t="shared" si="40"/>
        <v>45.765758487922795</v>
      </c>
      <c r="GN12" s="114">
        <f t="shared" ca="1" si="41"/>
        <v>10.013361400148474</v>
      </c>
      <c r="GO12" s="114">
        <f t="shared" ca="1" si="42"/>
        <v>-31788.966779903931</v>
      </c>
    </row>
    <row r="13" spans="1:197" x14ac:dyDescent="0.25">
      <c r="A13" s="6">
        <v>10</v>
      </c>
      <c r="B13" s="86">
        <v>26833.119643732905</v>
      </c>
      <c r="C13" s="86">
        <v>17</v>
      </c>
      <c r="D13" s="9">
        <v>19</v>
      </c>
      <c r="E13" s="8">
        <v>50016</v>
      </c>
      <c r="F13" s="28">
        <v>2</v>
      </c>
      <c r="G13" s="28">
        <v>0.05</v>
      </c>
      <c r="H13" s="87">
        <v>402.2110595703125</v>
      </c>
      <c r="I13" s="42">
        <v>180</v>
      </c>
      <c r="J13" s="87">
        <v>90</v>
      </c>
      <c r="K13" s="28">
        <v>30</v>
      </c>
      <c r="L13" s="28">
        <v>21.47</v>
      </c>
      <c r="M13" s="13">
        <v>29.242956161499023</v>
      </c>
      <c r="N13" s="28">
        <v>37</v>
      </c>
      <c r="O13" s="13">
        <v>14.024478912353516</v>
      </c>
      <c r="P13" s="13">
        <v>10.955245971679688</v>
      </c>
      <c r="Q13" s="85">
        <v>9716.3159677293152</v>
      </c>
      <c r="R13" s="86">
        <v>81585.83142401278</v>
      </c>
      <c r="S13" s="7">
        <v>3.2085807323455811</v>
      </c>
      <c r="T13" s="86">
        <v>73898.54333370924</v>
      </c>
      <c r="U13" s="86">
        <f t="shared" si="43"/>
        <v>4346.9731372770138</v>
      </c>
      <c r="V13" s="7">
        <v>14</v>
      </c>
      <c r="W13" s="7">
        <v>14</v>
      </c>
      <c r="X13" s="6">
        <v>10</v>
      </c>
      <c r="Y13" s="6">
        <v>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3"/>
      <c r="AO13" s="10">
        <v>681.69</v>
      </c>
      <c r="AP13" s="11">
        <v>30</v>
      </c>
      <c r="AQ13" s="12">
        <f t="shared" si="44"/>
        <v>19.311866816041711</v>
      </c>
      <c r="AR13" s="12">
        <f t="shared" si="45"/>
        <v>675.2110595703125</v>
      </c>
      <c r="AS13" s="9">
        <f t="shared" si="46"/>
        <v>19.311866816041711</v>
      </c>
      <c r="AT13" s="9">
        <f t="shared" si="47"/>
        <v>675.2110595703125</v>
      </c>
      <c r="AU13" s="9">
        <v>79.563801157521084</v>
      </c>
      <c r="AV13" s="9">
        <f t="shared" si="48"/>
        <v>30</v>
      </c>
      <c r="AW13" s="9">
        <f t="shared" ca="1" si="49"/>
        <v>1.9295143622456521</v>
      </c>
      <c r="AX13" s="9">
        <f t="shared" si="50"/>
        <v>180</v>
      </c>
      <c r="AY13" s="9">
        <f t="shared" si="51"/>
        <v>19.311866816041711</v>
      </c>
      <c r="AZ13" s="9">
        <f t="shared" si="52"/>
        <v>681.69</v>
      </c>
      <c r="BA13" s="13">
        <f t="shared" ca="1" si="53"/>
        <v>5380.4064819216119</v>
      </c>
      <c r="BB13" s="10">
        <f t="shared" si="54"/>
        <v>10.955245971679688</v>
      </c>
      <c r="BC13" s="9">
        <f t="shared" ca="1" si="55"/>
        <v>5380.4064819216119</v>
      </c>
      <c r="BD13" s="9">
        <f t="shared" si="56"/>
        <v>14.024478912353516</v>
      </c>
      <c r="BE13" s="9">
        <f t="shared" si="57"/>
        <v>21.47</v>
      </c>
      <c r="BF13" s="9">
        <f t="shared" si="58"/>
        <v>29.242956161499023</v>
      </c>
      <c r="BG13" s="7">
        <f t="shared" si="59"/>
        <v>21.47</v>
      </c>
      <c r="BH13" s="9">
        <f t="shared" si="60"/>
        <v>37</v>
      </c>
      <c r="BJ13" s="3"/>
      <c r="BK13" s="3"/>
      <c r="BL13" s="3"/>
      <c r="BM13" s="3"/>
      <c r="BP13" s="3"/>
      <c r="BT13" s="3"/>
      <c r="DF13" s="20">
        <v>0.21890000000000001</v>
      </c>
      <c r="DG13" s="15">
        <f t="shared" si="61"/>
        <v>0.89127242565155029</v>
      </c>
      <c r="DH13" s="15">
        <f t="shared" ca="1" si="62"/>
        <v>257.44596505400551</v>
      </c>
      <c r="DI13" s="100">
        <f t="shared" ca="1" si="63"/>
        <v>1.0255200036157845</v>
      </c>
      <c r="DJ13" s="20">
        <f t="shared" si="64"/>
        <v>1.3001661153858446</v>
      </c>
      <c r="DK13" s="25">
        <f t="shared" si="65"/>
        <v>0.31186681604171207</v>
      </c>
      <c r="DL13" s="26">
        <f t="shared" si="0"/>
        <v>0.02</v>
      </c>
      <c r="DM13" s="15">
        <f t="shared" si="1"/>
        <v>675.2110595703125</v>
      </c>
      <c r="DN13" s="41">
        <f t="shared" si="2"/>
        <v>473</v>
      </c>
      <c r="DO13" s="15">
        <f t="shared" ca="1" si="3"/>
        <v>417.76509451630699</v>
      </c>
      <c r="DP13" s="26">
        <f t="shared" si="4"/>
        <v>453</v>
      </c>
      <c r="DQ13" s="21">
        <f t="shared" ca="1" si="5"/>
        <v>2816.5993052117487</v>
      </c>
      <c r="DR13" s="21">
        <v>2.87E-2</v>
      </c>
      <c r="DS13" s="26">
        <f t="shared" si="6"/>
        <v>303</v>
      </c>
      <c r="DT13" s="102">
        <f t="shared" ca="1" si="7"/>
        <v>125.80344444444444</v>
      </c>
      <c r="DU13" s="15">
        <f t="shared" si="8"/>
        <v>165</v>
      </c>
      <c r="DV13" s="15">
        <f t="shared" ca="1" si="9"/>
        <v>690.58718083896258</v>
      </c>
      <c r="DW13" s="15">
        <f t="shared" ca="1" si="10"/>
        <v>2790.6388281929471</v>
      </c>
      <c r="DX13" s="15">
        <f t="shared" si="11"/>
        <v>1.0556784690790322</v>
      </c>
      <c r="DY13" s="15">
        <f t="shared" si="12"/>
        <v>0</v>
      </c>
      <c r="DZ13" s="15">
        <f t="shared" si="13"/>
        <v>0</v>
      </c>
      <c r="EA13" s="15">
        <f t="shared" si="14"/>
        <v>0</v>
      </c>
      <c r="EB13" s="15">
        <f t="shared" si="15"/>
        <v>302.24295616149902</v>
      </c>
      <c r="EC13" s="15">
        <f t="shared" ca="1" si="16"/>
        <v>122.46946519766914</v>
      </c>
      <c r="ED13" s="15">
        <f t="shared" ca="1" si="17"/>
        <v>154.93355555555553</v>
      </c>
      <c r="EE13" s="15">
        <f t="shared" ca="1" si="18"/>
        <v>58.778446968078619</v>
      </c>
      <c r="EF13" s="15">
        <f t="shared" ca="1" si="19"/>
        <v>45.933366085476351</v>
      </c>
      <c r="EG13" s="17">
        <f t="shared" si="66"/>
        <v>675.2110595703125</v>
      </c>
      <c r="EH13" s="17">
        <f t="shared" si="20"/>
        <v>303</v>
      </c>
      <c r="EI13" s="17">
        <f t="shared" si="67"/>
        <v>675.2110595703125</v>
      </c>
      <c r="EJ13" s="17">
        <f t="shared" si="68"/>
        <v>675.2110595703125</v>
      </c>
      <c r="EK13" s="17">
        <f t="shared" si="69"/>
        <v>303</v>
      </c>
      <c r="EL13" s="15">
        <f t="shared" ca="1" si="21"/>
        <v>125.80344444444444</v>
      </c>
      <c r="EM13" s="108">
        <v>104.83</v>
      </c>
      <c r="EN13" s="21">
        <f t="shared" ca="1" si="22"/>
        <v>0.43681333333333322</v>
      </c>
      <c r="EO13" s="109">
        <v>0.36720000000000003</v>
      </c>
      <c r="EP13" s="26">
        <f t="shared" si="23"/>
        <v>10.000062092517851</v>
      </c>
      <c r="EQ13" s="17">
        <f t="shared" si="70"/>
        <v>453</v>
      </c>
      <c r="ER13" s="15">
        <f t="shared" ca="1" si="24"/>
        <v>2816.5993052117487</v>
      </c>
      <c r="ES13" s="108">
        <v>104.83</v>
      </c>
      <c r="ET13" s="15">
        <f t="shared" ca="1" si="25"/>
        <v>6.5855309782608691</v>
      </c>
      <c r="EU13" s="109">
        <v>0.36720000000000003</v>
      </c>
      <c r="EV13" s="17">
        <f t="shared" ca="1" si="71"/>
        <v>690.76509451630704</v>
      </c>
      <c r="EW13" s="17">
        <f t="shared" si="72"/>
        <v>283.95524597167969</v>
      </c>
      <c r="EX13" s="15">
        <f t="shared" ca="1" si="26"/>
        <v>45.933366085476351</v>
      </c>
      <c r="EY13" s="108">
        <v>104.83</v>
      </c>
      <c r="EZ13" s="21">
        <f t="shared" ca="1" si="27"/>
        <v>0.15934259660508898</v>
      </c>
      <c r="FA13" s="109">
        <v>0.36720000000000003</v>
      </c>
      <c r="FB13" s="17">
        <f t="shared" si="73"/>
        <v>287.02447891235352</v>
      </c>
      <c r="FC13" s="15">
        <f t="shared" ca="1" si="28"/>
        <v>58.778446968078619</v>
      </c>
      <c r="FD13" s="108">
        <v>104.83</v>
      </c>
      <c r="FE13" s="21">
        <f t="shared" ca="1" si="29"/>
        <v>0.20214134483337404</v>
      </c>
      <c r="FF13" s="109">
        <v>0.36720000000000003</v>
      </c>
      <c r="FG13" s="17">
        <f t="shared" si="74"/>
        <v>302.24295616149902</v>
      </c>
      <c r="FH13" s="15">
        <f t="shared" ca="1" si="30"/>
        <v>122.46946519766914</v>
      </c>
      <c r="FI13" s="108">
        <v>104.83</v>
      </c>
      <c r="FJ13" s="21">
        <f t="shared" ca="1" si="31"/>
        <v>0.41435455536312527</v>
      </c>
      <c r="FK13" s="109">
        <v>0.36720000000000003</v>
      </c>
      <c r="FL13" s="17">
        <f t="shared" si="75"/>
        <v>310</v>
      </c>
      <c r="FM13" s="15">
        <f t="shared" ca="1" si="32"/>
        <v>154.93355555555553</v>
      </c>
      <c r="FN13" s="108">
        <v>104.83</v>
      </c>
      <c r="FO13" s="21">
        <f t="shared" ca="1" si="33"/>
        <v>0.52252222222222222</v>
      </c>
      <c r="FP13" s="106">
        <v>0.36720000000000003</v>
      </c>
      <c r="FQ13" s="15">
        <f t="shared" si="76"/>
        <v>16078.759255813453</v>
      </c>
      <c r="FR13" s="15">
        <f t="shared" si="34"/>
        <v>2811.3760463696999</v>
      </c>
      <c r="FS13" s="15">
        <f t="shared" si="35"/>
        <v>1855.5081906040023</v>
      </c>
      <c r="FT13" s="15">
        <f t="shared" si="77"/>
        <v>955.8678557656981</v>
      </c>
      <c r="FU13" s="15">
        <f t="shared" si="36"/>
        <v>4346.9731372770138</v>
      </c>
      <c r="FV13" s="15">
        <f t="shared" ca="1" si="78"/>
        <v>24.553694874222355</v>
      </c>
      <c r="FW13" s="15">
        <f t="shared" ca="1" si="37"/>
        <v>3010.517333260997</v>
      </c>
      <c r="FX13" s="15">
        <f t="shared" ca="1" si="38"/>
        <v>2250.6583984285326</v>
      </c>
      <c r="FY13" s="15">
        <f t="shared" ca="1" si="79"/>
        <v>65.288600111110782</v>
      </c>
      <c r="FZ13" s="15">
        <f t="shared" ca="1" si="80"/>
        <v>65.288600111110782</v>
      </c>
      <c r="GA13" s="15">
        <f t="shared" ca="1" si="81"/>
        <v>21312.970985694279</v>
      </c>
      <c r="GB13" s="21">
        <f t="shared" ca="1" si="82"/>
        <v>55.234905483692998</v>
      </c>
      <c r="GC13" s="15">
        <f t="shared" ca="1" si="83"/>
        <v>21974.437246969232</v>
      </c>
      <c r="GD13" s="82">
        <f t="shared" si="39"/>
        <v>19.311866816041711</v>
      </c>
      <c r="GE13" s="82">
        <f t="shared" ca="1" si="84"/>
        <v>1.9295143622456521</v>
      </c>
      <c r="GF13" s="82">
        <f t="shared" ca="1" si="85"/>
        <v>5380.4064819216119</v>
      </c>
      <c r="GG13" s="110">
        <f t="shared" si="86"/>
        <v>0.2786819454545314</v>
      </c>
      <c r="GH13" s="110">
        <f t="shared" ca="1" si="87"/>
        <v>0.11587357439687636</v>
      </c>
      <c r="GI13" s="110">
        <f t="shared" si="88"/>
        <v>0.62614709931724855</v>
      </c>
      <c r="GJ13" s="110">
        <f t="shared" si="89"/>
        <v>0.32764359547426269</v>
      </c>
      <c r="GK13" s="110">
        <f t="shared" ca="1" si="90"/>
        <v>1.9273481233519558</v>
      </c>
      <c r="GL13" s="110">
        <f t="shared" ca="1" si="91"/>
        <v>9.7635595265422541</v>
      </c>
      <c r="GM13" s="114">
        <f t="shared" si="40"/>
        <v>45.807854942868694</v>
      </c>
      <c r="GN13" s="114">
        <f t="shared" ca="1" si="41"/>
        <v>10.243840470246175</v>
      </c>
      <c r="GO13" s="114">
        <f t="shared" ca="1" si="42"/>
        <v>-41676.102900825703</v>
      </c>
    </row>
    <row r="14" spans="1:197" x14ac:dyDescent="0.25">
      <c r="A14" s="6">
        <v>11</v>
      </c>
      <c r="B14" s="86">
        <v>27531.029024712741</v>
      </c>
      <c r="C14" s="86">
        <v>17</v>
      </c>
      <c r="D14" s="9">
        <v>19</v>
      </c>
      <c r="E14" s="8">
        <v>50016</v>
      </c>
      <c r="F14" s="28">
        <v>2</v>
      </c>
      <c r="G14" s="28">
        <v>0.05</v>
      </c>
      <c r="H14" s="87">
        <v>409.17813110351562</v>
      </c>
      <c r="I14" s="42">
        <v>180</v>
      </c>
      <c r="J14" s="87">
        <v>90</v>
      </c>
      <c r="K14" s="28">
        <v>30</v>
      </c>
      <c r="L14" s="28">
        <v>21.47</v>
      </c>
      <c r="M14" s="13">
        <v>29.448348999023438</v>
      </c>
      <c r="N14" s="28">
        <v>37</v>
      </c>
      <c r="O14" s="13">
        <v>13.818885803222656</v>
      </c>
      <c r="P14" s="13">
        <v>10.644536018371582</v>
      </c>
      <c r="Q14" s="85">
        <v>9928.8214565441012</v>
      </c>
      <c r="R14" s="86">
        <v>81839.154071524739</v>
      </c>
      <c r="S14" s="7">
        <v>3.3313558101654053</v>
      </c>
      <c r="T14" s="86">
        <v>74469.032223656774</v>
      </c>
      <c r="U14" s="86">
        <f t="shared" si="43"/>
        <v>4380.5313072739282</v>
      </c>
      <c r="V14" s="7">
        <v>14</v>
      </c>
      <c r="W14" s="7">
        <v>14</v>
      </c>
      <c r="X14" s="6">
        <v>10</v>
      </c>
      <c r="Y14" s="6">
        <v>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3"/>
      <c r="AO14" s="10">
        <v>681.69</v>
      </c>
      <c r="AP14" s="11">
        <v>30</v>
      </c>
      <c r="AQ14" s="12">
        <f t="shared" si="44"/>
        <v>19.319978238769359</v>
      </c>
      <c r="AR14" s="12">
        <f t="shared" si="45"/>
        <v>682.17813110351562</v>
      </c>
      <c r="AS14" s="9">
        <f t="shared" si="46"/>
        <v>19.319978238769359</v>
      </c>
      <c r="AT14" s="9">
        <f t="shared" si="47"/>
        <v>682.17813110351562</v>
      </c>
      <c r="AU14" s="9">
        <v>82.830693139723735</v>
      </c>
      <c r="AV14" s="9">
        <f t="shared" si="48"/>
        <v>30</v>
      </c>
      <c r="AW14" s="9">
        <f t="shared" ca="1" si="49"/>
        <v>2.0001602439434589</v>
      </c>
      <c r="AX14" s="9">
        <f t="shared" si="50"/>
        <v>180</v>
      </c>
      <c r="AY14" s="9">
        <f t="shared" si="51"/>
        <v>19.319978238769359</v>
      </c>
      <c r="AZ14" s="9">
        <f t="shared" si="52"/>
        <v>681.69</v>
      </c>
      <c r="BA14" s="13">
        <f t="shared" ca="1" si="53"/>
        <v>5582.5736833070769</v>
      </c>
      <c r="BB14" s="10">
        <f t="shared" si="54"/>
        <v>10.644536018371582</v>
      </c>
      <c r="BC14" s="9">
        <f t="shared" ca="1" si="55"/>
        <v>5582.5736833070769</v>
      </c>
      <c r="BD14" s="9">
        <f t="shared" si="56"/>
        <v>13.818885803222656</v>
      </c>
      <c r="BE14" s="9">
        <f t="shared" si="57"/>
        <v>21.47</v>
      </c>
      <c r="BF14" s="9">
        <f t="shared" si="58"/>
        <v>29.448348999023438</v>
      </c>
      <c r="BG14" s="7">
        <f t="shared" si="59"/>
        <v>21.47</v>
      </c>
      <c r="BH14" s="9">
        <f t="shared" si="60"/>
        <v>37</v>
      </c>
      <c r="BJ14" s="3"/>
      <c r="BK14" s="3"/>
      <c r="BL14" s="3"/>
      <c r="BM14" s="3"/>
      <c r="BP14" s="3"/>
      <c r="BT14" s="3"/>
      <c r="DF14" s="20">
        <v>0.21890000000000001</v>
      </c>
      <c r="DG14" s="15">
        <f t="shared" si="61"/>
        <v>0.92537661393483484</v>
      </c>
      <c r="DH14" s="15">
        <f t="shared" ca="1" si="62"/>
        <v>266.41132932275161</v>
      </c>
      <c r="DI14" s="100">
        <f t="shared" ca="1" si="63"/>
        <v>1.0271954875683438</v>
      </c>
      <c r="DJ14" s="20">
        <f t="shared" si="64"/>
        <v>1.3535509737773679</v>
      </c>
      <c r="DK14" s="25">
        <f t="shared" si="65"/>
        <v>0.31997823876935821</v>
      </c>
      <c r="DL14" s="26">
        <f t="shared" si="0"/>
        <v>0.02</v>
      </c>
      <c r="DM14" s="15">
        <f t="shared" si="1"/>
        <v>682.17813110351562</v>
      </c>
      <c r="DN14" s="41">
        <f t="shared" si="2"/>
        <v>473</v>
      </c>
      <c r="DO14" s="15">
        <f t="shared" ca="1" si="3"/>
        <v>415.76680178076401</v>
      </c>
      <c r="DP14" s="26">
        <f t="shared" si="4"/>
        <v>453</v>
      </c>
      <c r="DQ14" s="21">
        <f t="shared" ca="1" si="5"/>
        <v>2816.5993052117487</v>
      </c>
      <c r="DR14" s="21">
        <v>2.87E-2</v>
      </c>
      <c r="DS14" s="26">
        <f t="shared" si="6"/>
        <v>303</v>
      </c>
      <c r="DT14" s="102">
        <f t="shared" ca="1" si="7"/>
        <v>125.80344444444444</v>
      </c>
      <c r="DU14" s="15">
        <f t="shared" si="8"/>
        <v>165</v>
      </c>
      <c r="DV14" s="15">
        <f t="shared" ca="1" si="9"/>
        <v>690.58718083896258</v>
      </c>
      <c r="DW14" s="15">
        <f t="shared" ca="1" si="10"/>
        <v>2790.6388281929471</v>
      </c>
      <c r="DX14" s="15">
        <f t="shared" si="11"/>
        <v>1.0572783392961231</v>
      </c>
      <c r="DY14" s="15">
        <f t="shared" si="12"/>
        <v>0</v>
      </c>
      <c r="DZ14" s="15">
        <f t="shared" si="13"/>
        <v>0</v>
      </c>
      <c r="EA14" s="15">
        <f t="shared" si="14"/>
        <v>0</v>
      </c>
      <c r="EB14" s="15">
        <f t="shared" si="15"/>
        <v>302.44834899902344</v>
      </c>
      <c r="EC14" s="15">
        <f t="shared" ca="1" si="16"/>
        <v>123.3290570441352</v>
      </c>
      <c r="ED14" s="15">
        <f t="shared" ca="1" si="17"/>
        <v>154.93355555555553</v>
      </c>
      <c r="EE14" s="15">
        <f t="shared" ca="1" si="18"/>
        <v>57.918016962687183</v>
      </c>
      <c r="EF14" s="15">
        <f t="shared" ca="1" si="19"/>
        <v>44.633010407553783</v>
      </c>
      <c r="EG14" s="17">
        <f t="shared" si="66"/>
        <v>682.17813110351562</v>
      </c>
      <c r="EH14" s="17">
        <f t="shared" si="20"/>
        <v>303</v>
      </c>
      <c r="EI14" s="17">
        <f t="shared" si="67"/>
        <v>682.17813110351562</v>
      </c>
      <c r="EJ14" s="17">
        <f t="shared" si="68"/>
        <v>682.17813110351562</v>
      </c>
      <c r="EK14" s="17">
        <f t="shared" si="69"/>
        <v>303</v>
      </c>
      <c r="EL14" s="15">
        <f t="shared" ca="1" si="21"/>
        <v>125.80344444444444</v>
      </c>
      <c r="EM14" s="108">
        <v>104.83</v>
      </c>
      <c r="EN14" s="21">
        <f t="shared" ca="1" si="22"/>
        <v>0.43681333333333322</v>
      </c>
      <c r="EO14" s="109">
        <v>0.36720000000000003</v>
      </c>
      <c r="EP14" s="26">
        <f t="shared" si="23"/>
        <v>10.000062092517851</v>
      </c>
      <c r="EQ14" s="17">
        <f t="shared" si="70"/>
        <v>453</v>
      </c>
      <c r="ER14" s="15">
        <f t="shared" ca="1" si="24"/>
        <v>2816.5993052117487</v>
      </c>
      <c r="ES14" s="108">
        <v>104.83</v>
      </c>
      <c r="ET14" s="15">
        <f t="shared" ca="1" si="25"/>
        <v>6.5855309782608691</v>
      </c>
      <c r="EU14" s="109">
        <v>0.36720000000000003</v>
      </c>
      <c r="EV14" s="17">
        <f t="shared" ca="1" si="71"/>
        <v>688.76680178076401</v>
      </c>
      <c r="EW14" s="17">
        <f t="shared" si="72"/>
        <v>283.64453601837158</v>
      </c>
      <c r="EX14" s="15">
        <f t="shared" ca="1" si="26"/>
        <v>44.633010407553783</v>
      </c>
      <c r="EY14" s="108">
        <v>104.83</v>
      </c>
      <c r="EZ14" s="21">
        <f t="shared" ca="1" si="27"/>
        <v>0.15500991892284818</v>
      </c>
      <c r="FA14" s="109">
        <v>0.36720000000000003</v>
      </c>
      <c r="FB14" s="17">
        <f t="shared" si="73"/>
        <v>286.81888580322266</v>
      </c>
      <c r="FC14" s="15">
        <f t="shared" ca="1" si="28"/>
        <v>57.918016962687183</v>
      </c>
      <c r="FD14" s="108">
        <v>104.83</v>
      </c>
      <c r="FE14" s="21">
        <f t="shared" ca="1" si="29"/>
        <v>0.19927446314493816</v>
      </c>
      <c r="FF14" s="109">
        <v>0.36720000000000003</v>
      </c>
      <c r="FG14" s="17">
        <f t="shared" si="74"/>
        <v>302.44834899902344</v>
      </c>
      <c r="FH14" s="15">
        <f t="shared" ca="1" si="30"/>
        <v>123.3290570441352</v>
      </c>
      <c r="FI14" s="108">
        <v>104.83</v>
      </c>
      <c r="FJ14" s="21">
        <f t="shared" ca="1" si="31"/>
        <v>0.41721864437527123</v>
      </c>
      <c r="FK14" s="109">
        <v>0.36720000000000003</v>
      </c>
      <c r="FL14" s="17">
        <f t="shared" si="75"/>
        <v>310</v>
      </c>
      <c r="FM14" s="15">
        <f t="shared" ca="1" si="32"/>
        <v>154.93355555555553</v>
      </c>
      <c r="FN14" s="108">
        <v>104.83</v>
      </c>
      <c r="FO14" s="21">
        <f t="shared" ca="1" si="33"/>
        <v>0.52252222222222222</v>
      </c>
      <c r="FP14" s="106">
        <v>0.36720000000000003</v>
      </c>
      <c r="FQ14" s="15">
        <f t="shared" si="76"/>
        <v>16496.955763269096</v>
      </c>
      <c r="FR14" s="15">
        <f t="shared" si="34"/>
        <v>2901.1955204486208</v>
      </c>
      <c r="FS14" s="15">
        <f t="shared" si="35"/>
        <v>1914.78904349609</v>
      </c>
      <c r="FT14" s="15">
        <f t="shared" si="77"/>
        <v>986.40647695253097</v>
      </c>
      <c r="FU14" s="15">
        <f t="shared" si="36"/>
        <v>4380.5313072739282</v>
      </c>
      <c r="FV14" s="15">
        <f t="shared" ca="1" si="78"/>
        <v>25.561870297606646</v>
      </c>
      <c r="FW14" s="15">
        <f t="shared" ca="1" si="37"/>
        <v>2985.9160088394201</v>
      </c>
      <c r="FX14" s="15">
        <f t="shared" ca="1" si="38"/>
        <v>2336.7789554795941</v>
      </c>
      <c r="FY14" s="15">
        <f t="shared" ca="1" si="79"/>
        <v>65.288600111110782</v>
      </c>
      <c r="FZ14" s="15">
        <f t="shared" ca="1" si="80"/>
        <v>65.288600111110782</v>
      </c>
      <c r="GA14" s="15">
        <f t="shared" ca="1" si="81"/>
        <v>22159.772953240627</v>
      </c>
      <c r="GB14" s="21">
        <f t="shared" ca="1" si="82"/>
        <v>57.233198219235959</v>
      </c>
      <c r="GC14" s="15">
        <f t="shared" ca="1" si="83"/>
        <v>22869.59911837093</v>
      </c>
      <c r="GD14" s="82">
        <f t="shared" si="39"/>
        <v>19.319978238769359</v>
      </c>
      <c r="GE14" s="82">
        <f t="shared" ca="1" si="84"/>
        <v>2.0001602439434589</v>
      </c>
      <c r="GF14" s="82">
        <f t="shared" ca="1" si="85"/>
        <v>5582.5736833070769</v>
      </c>
      <c r="GG14" s="110">
        <f t="shared" si="86"/>
        <v>0.27371423772571035</v>
      </c>
      <c r="GH14" s="110">
        <f t="shared" ca="1" si="87"/>
        <v>0.11695042191875088</v>
      </c>
      <c r="GI14" s="110">
        <f t="shared" si="88"/>
        <v>0.63786101099344583</v>
      </c>
      <c r="GJ14" s="110">
        <f t="shared" si="89"/>
        <v>0.32219833455706598</v>
      </c>
      <c r="GK14" s="110">
        <f t="shared" ca="1" si="90"/>
        <v>2.1577433487926143</v>
      </c>
      <c r="GL14" s="110">
        <f t="shared" ca="1" si="91"/>
        <v>9.786804637530313</v>
      </c>
      <c r="GM14" s="114">
        <f t="shared" si="40"/>
        <v>46.604012106437374</v>
      </c>
      <c r="GN14" s="114">
        <f t="shared" ca="1" si="41"/>
        <v>10.098881903891419</v>
      </c>
      <c r="GO14" s="114">
        <f t="shared" ca="1" si="42"/>
        <v>-30354.523515590117</v>
      </c>
    </row>
    <row r="15" spans="1:197" x14ac:dyDescent="0.25">
      <c r="A15" s="6">
        <v>12</v>
      </c>
      <c r="B15" s="86">
        <v>27119.018819026649</v>
      </c>
      <c r="C15" s="86">
        <v>17</v>
      </c>
      <c r="D15" s="9">
        <v>19</v>
      </c>
      <c r="E15" s="8">
        <v>50016</v>
      </c>
      <c r="F15" s="28">
        <v>2</v>
      </c>
      <c r="G15" s="28">
        <v>0.05</v>
      </c>
      <c r="H15" s="87">
        <v>409.95126342773437</v>
      </c>
      <c r="I15" s="42">
        <v>180</v>
      </c>
      <c r="J15" s="87">
        <v>90</v>
      </c>
      <c r="K15" s="28">
        <v>30</v>
      </c>
      <c r="L15" s="28">
        <v>21.47</v>
      </c>
      <c r="M15" s="13">
        <v>28.844648361206055</v>
      </c>
      <c r="N15" s="28">
        <v>37</v>
      </c>
      <c r="O15" s="13">
        <v>18.633186340332031</v>
      </c>
      <c r="P15" s="13">
        <v>16.637105941772461</v>
      </c>
      <c r="Q15" s="85">
        <v>0</v>
      </c>
      <c r="R15" s="86">
        <v>442.7708293646574</v>
      </c>
      <c r="S15" s="7">
        <v>3.7939798831939697</v>
      </c>
      <c r="T15" s="86">
        <v>73806.783055476844</v>
      </c>
      <c r="U15" s="86">
        <f t="shared" si="43"/>
        <v>4341.5754738515789</v>
      </c>
      <c r="V15" s="7">
        <v>14</v>
      </c>
      <c r="W15" s="7">
        <v>14</v>
      </c>
      <c r="X15" s="6">
        <v>10</v>
      </c>
      <c r="Y15" s="6">
        <v>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3"/>
      <c r="AO15" s="10">
        <v>681.69</v>
      </c>
      <c r="AP15" s="11">
        <v>30</v>
      </c>
      <c r="AQ15" s="12">
        <f t="shared" si="44"/>
        <v>19.315189667305063</v>
      </c>
      <c r="AR15" s="12">
        <f t="shared" si="45"/>
        <v>682.95126342773437</v>
      </c>
      <c r="AS15" s="9">
        <f t="shared" si="46"/>
        <v>19.315189667305063</v>
      </c>
      <c r="AT15" s="9">
        <f t="shared" si="47"/>
        <v>682.95126342773437</v>
      </c>
      <c r="AU15" s="9">
        <v>93.634096030960791</v>
      </c>
      <c r="AV15" s="9">
        <f t="shared" si="48"/>
        <v>30</v>
      </c>
      <c r="AW15" s="9">
        <f t="shared" ca="1" si="49"/>
        <v>2.0074260618053028</v>
      </c>
      <c r="AX15" s="9">
        <f t="shared" si="50"/>
        <v>180</v>
      </c>
      <c r="AY15" s="9">
        <f t="shared" si="51"/>
        <v>19.315189667305063</v>
      </c>
      <c r="AZ15" s="9">
        <f t="shared" si="52"/>
        <v>681.69</v>
      </c>
      <c r="BA15" s="13">
        <f t="shared" ca="1" si="53"/>
        <v>5566.3952381419722</v>
      </c>
      <c r="BB15" s="10">
        <f t="shared" si="54"/>
        <v>16.637105941772461</v>
      </c>
      <c r="BC15" s="9">
        <f t="shared" ca="1" si="55"/>
        <v>5566.3952381419722</v>
      </c>
      <c r="BD15" s="9">
        <f t="shared" si="56"/>
        <v>18.633186340332031</v>
      </c>
      <c r="BE15" s="9">
        <f t="shared" si="57"/>
        <v>21.47</v>
      </c>
      <c r="BF15" s="9">
        <f t="shared" si="58"/>
        <v>28.844648361206055</v>
      </c>
      <c r="BG15" s="7">
        <f t="shared" si="59"/>
        <v>21.47</v>
      </c>
      <c r="BH15" s="9">
        <f t="shared" si="60"/>
        <v>37</v>
      </c>
      <c r="BJ15" s="3"/>
      <c r="BK15" s="3"/>
      <c r="BL15" s="3"/>
      <c r="BM15" s="3"/>
      <c r="BP15" s="3"/>
      <c r="BT15" s="3"/>
      <c r="DF15" s="20">
        <v>0.21890000000000001</v>
      </c>
      <c r="DG15" s="15">
        <f t="shared" si="61"/>
        <v>1.0538833008872139</v>
      </c>
      <c r="DH15" s="15">
        <f t="shared" ca="1" si="62"/>
        <v>267.40660863494367</v>
      </c>
      <c r="DI15" s="100">
        <f t="shared" ca="1" si="63"/>
        <v>1.0273832184338634</v>
      </c>
      <c r="DJ15" s="20">
        <f t="shared" si="64"/>
        <v>1.5300912869059355</v>
      </c>
      <c r="DK15" s="25">
        <f t="shared" si="65"/>
        <v>0.31518966730506248</v>
      </c>
      <c r="DL15" s="26">
        <f t="shared" si="0"/>
        <v>0.02</v>
      </c>
      <c r="DM15" s="15">
        <f t="shared" si="1"/>
        <v>682.95126342773437</v>
      </c>
      <c r="DN15" s="41">
        <f t="shared" si="2"/>
        <v>473</v>
      </c>
      <c r="DO15" s="15">
        <f t="shared" ca="1" si="3"/>
        <v>415.54465479279071</v>
      </c>
      <c r="DP15" s="26">
        <f t="shared" si="4"/>
        <v>453</v>
      </c>
      <c r="DQ15" s="21">
        <f t="shared" ca="1" si="5"/>
        <v>2816.5993052117487</v>
      </c>
      <c r="DR15" s="21">
        <v>2.87E-2</v>
      </c>
      <c r="DS15" s="26">
        <f t="shared" si="6"/>
        <v>303</v>
      </c>
      <c r="DT15" s="102">
        <f t="shared" ca="1" si="7"/>
        <v>125.80344444444444</v>
      </c>
      <c r="DU15" s="15">
        <f t="shared" si="8"/>
        <v>165</v>
      </c>
      <c r="DV15" s="15">
        <f t="shared" ca="1" si="9"/>
        <v>690.58718083896258</v>
      </c>
      <c r="DW15" s="15">
        <f t="shared" ca="1" si="10"/>
        <v>2790.6388281929471</v>
      </c>
      <c r="DX15" s="15">
        <f t="shared" si="11"/>
        <v>1.0574566046229719</v>
      </c>
      <c r="DY15" s="15">
        <f t="shared" si="12"/>
        <v>0</v>
      </c>
      <c r="DZ15" s="15">
        <f t="shared" si="13"/>
        <v>0</v>
      </c>
      <c r="EA15" s="15">
        <f t="shared" si="14"/>
        <v>0</v>
      </c>
      <c r="EB15" s="15">
        <f t="shared" si="15"/>
        <v>301.84464836120605</v>
      </c>
      <c r="EC15" s="15">
        <f t="shared" ca="1" si="16"/>
        <v>120.80250279702081</v>
      </c>
      <c r="ED15" s="15">
        <f t="shared" ca="1" si="17"/>
        <v>154.93355555555553</v>
      </c>
      <c r="EE15" s="15">
        <f t="shared" ca="1" si="18"/>
        <v>78.066399632771819</v>
      </c>
      <c r="EF15" s="15">
        <f t="shared" ca="1" si="19"/>
        <v>69.712581378089055</v>
      </c>
      <c r="EG15" s="17">
        <f t="shared" si="66"/>
        <v>682.95126342773437</v>
      </c>
      <c r="EH15" s="17">
        <f t="shared" si="20"/>
        <v>303</v>
      </c>
      <c r="EI15" s="17">
        <f t="shared" si="67"/>
        <v>682.95126342773437</v>
      </c>
      <c r="EJ15" s="17">
        <f t="shared" si="68"/>
        <v>682.95126342773437</v>
      </c>
      <c r="EK15" s="17">
        <f t="shared" si="69"/>
        <v>303</v>
      </c>
      <c r="EL15" s="15">
        <f t="shared" ca="1" si="21"/>
        <v>125.80344444444444</v>
      </c>
      <c r="EM15" s="108">
        <v>104.83</v>
      </c>
      <c r="EN15" s="21">
        <f t="shared" ca="1" si="22"/>
        <v>0.43681333333333322</v>
      </c>
      <c r="EO15" s="109">
        <v>0.36720000000000003</v>
      </c>
      <c r="EP15" s="26">
        <f t="shared" si="23"/>
        <v>10.000062092517851</v>
      </c>
      <c r="EQ15" s="17">
        <f t="shared" si="70"/>
        <v>453</v>
      </c>
      <c r="ER15" s="15">
        <f t="shared" ca="1" si="24"/>
        <v>2816.5993052117487</v>
      </c>
      <c r="ES15" s="108">
        <v>104.83</v>
      </c>
      <c r="ET15" s="15">
        <f t="shared" ca="1" si="25"/>
        <v>6.5855309782608691</v>
      </c>
      <c r="EU15" s="109">
        <v>0.36720000000000003</v>
      </c>
      <c r="EV15" s="17">
        <f t="shared" ca="1" si="71"/>
        <v>688.54465479279065</v>
      </c>
      <c r="EW15" s="17">
        <f t="shared" si="72"/>
        <v>289.63710594177246</v>
      </c>
      <c r="EX15" s="15">
        <f t="shared" ca="1" si="26"/>
        <v>69.712581378089055</v>
      </c>
      <c r="EY15" s="108">
        <v>104.83</v>
      </c>
      <c r="EZ15" s="21">
        <f t="shared" ca="1" si="27"/>
        <v>0.23857297729916044</v>
      </c>
      <c r="FA15" s="109">
        <v>0.36720000000000003</v>
      </c>
      <c r="FB15" s="17">
        <f t="shared" si="73"/>
        <v>291.63318634033203</v>
      </c>
      <c r="FC15" s="15">
        <f t="shared" ca="1" si="28"/>
        <v>78.066399632771819</v>
      </c>
      <c r="FD15" s="108">
        <v>104.83</v>
      </c>
      <c r="FE15" s="21">
        <f t="shared" ca="1" si="29"/>
        <v>0.26640720952351887</v>
      </c>
      <c r="FF15" s="109">
        <v>0.36720000000000003</v>
      </c>
      <c r="FG15" s="17">
        <f t="shared" si="74"/>
        <v>301.84464836120605</v>
      </c>
      <c r="FH15" s="15">
        <f t="shared" ca="1" si="30"/>
        <v>120.80250279702081</v>
      </c>
      <c r="FI15" s="108">
        <v>104.83</v>
      </c>
      <c r="FJ15" s="21">
        <f t="shared" ca="1" si="31"/>
        <v>0.4088003743701511</v>
      </c>
      <c r="FK15" s="109">
        <v>0.36720000000000003</v>
      </c>
      <c r="FL15" s="17">
        <f t="shared" si="75"/>
        <v>310</v>
      </c>
      <c r="FM15" s="15">
        <f t="shared" ca="1" si="32"/>
        <v>154.93355555555553</v>
      </c>
      <c r="FN15" s="108">
        <v>104.83</v>
      </c>
      <c r="FO15" s="21">
        <f t="shared" ca="1" si="33"/>
        <v>0.52252222222222222</v>
      </c>
      <c r="FP15" s="106">
        <v>0.36720000000000003</v>
      </c>
      <c r="FQ15" s="15">
        <f t="shared" si="76"/>
        <v>16250.073813047848</v>
      </c>
      <c r="FR15" s="15">
        <f t="shared" si="34"/>
        <v>2910.3703952136489</v>
      </c>
      <c r="FS15" s="15">
        <f t="shared" si="35"/>
        <v>1920.8444608410084</v>
      </c>
      <c r="FT15" s="15">
        <f t="shared" si="77"/>
        <v>989.52593437264068</v>
      </c>
      <c r="FU15" s="15">
        <f t="shared" si="36"/>
        <v>4341.5754738515789</v>
      </c>
      <c r="FV15" s="15">
        <f t="shared" ca="1" si="78"/>
        <v>28.895841957275785</v>
      </c>
      <c r="FW15" s="15">
        <f t="shared" ca="1" si="37"/>
        <v>2982.3060746063911</v>
      </c>
      <c r="FX15" s="15">
        <f t="shared" ca="1" si="38"/>
        <v>2661.286531299821</v>
      </c>
      <c r="FY15" s="15">
        <f t="shared" ca="1" si="79"/>
        <v>65.288600111110782</v>
      </c>
      <c r="FZ15" s="15">
        <f t="shared" ca="1" si="80"/>
        <v>65.288600111110782</v>
      </c>
      <c r="GA15" s="15">
        <f t="shared" ca="1" si="81"/>
        <v>21022.132571366161</v>
      </c>
      <c r="GB15" s="21">
        <f t="shared" ca="1" si="82"/>
        <v>57.455345207209284</v>
      </c>
      <c r="GC15" s="15">
        <f t="shared" ca="1" si="83"/>
        <v>21467.188744631545</v>
      </c>
      <c r="GD15" s="82">
        <f t="shared" si="39"/>
        <v>19.315189667305063</v>
      </c>
      <c r="GE15" s="82">
        <f t="shared" ca="1" si="84"/>
        <v>2.0074260618053028</v>
      </c>
      <c r="GF15" s="82">
        <f t="shared" ca="1" si="85"/>
        <v>5566.3952381419722</v>
      </c>
      <c r="GG15" s="110">
        <f t="shared" si="86"/>
        <v>0.27540157970561396</v>
      </c>
      <c r="GH15" s="110">
        <f t="shared" ca="1" si="87"/>
        <v>0.134582545441047</v>
      </c>
      <c r="GI15" s="110">
        <f t="shared" si="88"/>
        <v>0</v>
      </c>
      <c r="GJ15" s="110">
        <f t="shared" si="89"/>
        <v>0.32546266868626278</v>
      </c>
      <c r="GK15" s="110">
        <f t="shared" ca="1" si="90"/>
        <v>2.4799678624312347</v>
      </c>
      <c r="GL15" s="110">
        <f t="shared" ca="1" si="91"/>
        <v>8.0664702925267413</v>
      </c>
      <c r="GM15" s="114">
        <f t="shared" si="40"/>
        <v>46.206546941110204</v>
      </c>
      <c r="GN15" s="114">
        <f t="shared" ca="1" si="41"/>
        <v>10.59761648760659</v>
      </c>
      <c r="GO15" s="114">
        <f t="shared" ca="1" si="42"/>
        <v>-18174.116426577355</v>
      </c>
    </row>
    <row r="16" spans="1:197" x14ac:dyDescent="0.25">
      <c r="A16" s="6">
        <v>13</v>
      </c>
      <c r="B16" s="86">
        <v>27966.350686222315</v>
      </c>
      <c r="C16" s="86">
        <v>17</v>
      </c>
      <c r="D16" s="9">
        <v>19</v>
      </c>
      <c r="E16" s="8">
        <v>50016</v>
      </c>
      <c r="F16" s="28">
        <v>2</v>
      </c>
      <c r="G16" s="28">
        <v>0.05</v>
      </c>
      <c r="H16" s="87">
        <v>373.70944213867187</v>
      </c>
      <c r="I16" s="42">
        <v>180</v>
      </c>
      <c r="J16" s="87">
        <v>90</v>
      </c>
      <c r="K16" s="28">
        <v>30</v>
      </c>
      <c r="L16" s="28">
        <v>21.47</v>
      </c>
      <c r="M16" s="13">
        <v>29.142866134643555</v>
      </c>
      <c r="N16" s="28">
        <v>37</v>
      </c>
      <c r="O16" s="13">
        <v>17.534656524658203</v>
      </c>
      <c r="P16" s="13">
        <v>14.995587348937988</v>
      </c>
      <c r="Q16" s="85">
        <v>4891.7403592728078</v>
      </c>
      <c r="R16" s="86">
        <v>45135.338946118951</v>
      </c>
      <c r="S16" s="7">
        <v>3.1122078895568848</v>
      </c>
      <c r="T16" s="86">
        <v>78690.266665451229</v>
      </c>
      <c r="U16" s="86">
        <f t="shared" si="43"/>
        <v>4628.8392156147784</v>
      </c>
      <c r="V16" s="7">
        <v>14</v>
      </c>
      <c r="W16" s="7">
        <v>14</v>
      </c>
      <c r="X16" s="6">
        <v>10</v>
      </c>
      <c r="Y16" s="6">
        <v>5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3"/>
      <c r="AO16" s="10">
        <v>681.69</v>
      </c>
      <c r="AP16" s="11">
        <v>30</v>
      </c>
      <c r="AQ16" s="12">
        <f t="shared" si="44"/>
        <v>19.325037746658545</v>
      </c>
      <c r="AR16" s="12">
        <f t="shared" si="45"/>
        <v>646.70944213867188</v>
      </c>
      <c r="AS16" s="9">
        <f t="shared" si="46"/>
        <v>19.325037746658545</v>
      </c>
      <c r="AT16" s="9">
        <f t="shared" si="47"/>
        <v>646.70944213867188</v>
      </c>
      <c r="AU16" s="9">
        <v>76.838543356687296</v>
      </c>
      <c r="AV16" s="9">
        <f t="shared" si="48"/>
        <v>30</v>
      </c>
      <c r="AW16" s="9">
        <f t="shared" ca="1" si="49"/>
        <v>1.6474125854071033</v>
      </c>
      <c r="AX16" s="9">
        <f t="shared" si="50"/>
        <v>180</v>
      </c>
      <c r="AY16" s="9">
        <f t="shared" si="51"/>
        <v>19.325037746658545</v>
      </c>
      <c r="AZ16" s="9">
        <f t="shared" si="52"/>
        <v>681.69</v>
      </c>
      <c r="BA16" s="13">
        <f t="shared" ca="1" si="53"/>
        <v>4573.6623612024378</v>
      </c>
      <c r="BB16" s="10">
        <f t="shared" si="54"/>
        <v>14.995587348937988</v>
      </c>
      <c r="BC16" s="9">
        <f t="shared" ca="1" si="55"/>
        <v>4573.6623612024378</v>
      </c>
      <c r="BD16" s="9">
        <f t="shared" si="56"/>
        <v>17.534656524658203</v>
      </c>
      <c r="BE16" s="9">
        <f t="shared" si="57"/>
        <v>21.47</v>
      </c>
      <c r="BF16" s="9">
        <f t="shared" si="58"/>
        <v>29.142866134643555</v>
      </c>
      <c r="BG16" s="7">
        <f t="shared" si="59"/>
        <v>21.47</v>
      </c>
      <c r="BH16" s="9">
        <f t="shared" si="60"/>
        <v>37</v>
      </c>
      <c r="BJ16" s="3"/>
      <c r="BK16" s="3"/>
      <c r="BL16" s="3"/>
      <c r="BM16" s="3"/>
      <c r="BP16" s="3"/>
      <c r="BT16" s="3"/>
      <c r="DF16" s="20">
        <v>0.21890000000000001</v>
      </c>
      <c r="DG16" s="15">
        <f t="shared" si="61"/>
        <v>0.8645021915435791</v>
      </c>
      <c r="DH16" s="15">
        <f t="shared" ca="1" si="62"/>
        <v>220.83666908957247</v>
      </c>
      <c r="DI16" s="100">
        <f t="shared" ca="1" si="63"/>
        <v>1.0189788112313833</v>
      </c>
      <c r="DJ16" s="20">
        <f t="shared" si="64"/>
        <v>1.2556321967345723</v>
      </c>
      <c r="DK16" s="25">
        <f t="shared" si="65"/>
        <v>0.32503774665854568</v>
      </c>
      <c r="DL16" s="26">
        <f t="shared" si="0"/>
        <v>0.02</v>
      </c>
      <c r="DM16" s="15">
        <f t="shared" si="1"/>
        <v>646.70944213867188</v>
      </c>
      <c r="DN16" s="41">
        <f t="shared" si="2"/>
        <v>473</v>
      </c>
      <c r="DO16" s="15">
        <f t="shared" ca="1" si="3"/>
        <v>425.87277304909941</v>
      </c>
      <c r="DP16" s="26">
        <f t="shared" si="4"/>
        <v>453</v>
      </c>
      <c r="DQ16" s="21">
        <f t="shared" ca="1" si="5"/>
        <v>2816.5993052117487</v>
      </c>
      <c r="DR16" s="21">
        <v>2.87E-2</v>
      </c>
      <c r="DS16" s="26">
        <f t="shared" si="6"/>
        <v>303</v>
      </c>
      <c r="DT16" s="102">
        <f t="shared" ca="1" si="7"/>
        <v>125.80344444444444</v>
      </c>
      <c r="DU16" s="15">
        <f t="shared" si="8"/>
        <v>165</v>
      </c>
      <c r="DV16" s="15">
        <f t="shared" ca="1" si="9"/>
        <v>690.58718083896258</v>
      </c>
      <c r="DW16" s="15">
        <f t="shared" ca="1" si="10"/>
        <v>2790.6388281929471</v>
      </c>
      <c r="DX16" s="15">
        <f t="shared" si="11"/>
        <v>1.0492611158364358</v>
      </c>
      <c r="DY16" s="15">
        <f t="shared" si="12"/>
        <v>0</v>
      </c>
      <c r="DZ16" s="15">
        <f t="shared" si="13"/>
        <v>0</v>
      </c>
      <c r="EA16" s="15">
        <f t="shared" si="14"/>
        <v>0</v>
      </c>
      <c r="EB16" s="15">
        <f t="shared" si="15"/>
        <v>302.14286613464355</v>
      </c>
      <c r="EC16" s="15">
        <f t="shared" ca="1" si="16"/>
        <v>122.0505773141649</v>
      </c>
      <c r="ED16" s="15">
        <f t="shared" ca="1" si="17"/>
        <v>154.93355555555553</v>
      </c>
      <c r="EE16" s="15">
        <f t="shared" ca="1" si="18"/>
        <v>73.468930295308439</v>
      </c>
      <c r="EF16" s="15">
        <f t="shared" ca="1" si="19"/>
        <v>62.842643676122037</v>
      </c>
      <c r="EG16" s="17">
        <f t="shared" si="66"/>
        <v>646.70944213867188</v>
      </c>
      <c r="EH16" s="17">
        <f t="shared" si="20"/>
        <v>303</v>
      </c>
      <c r="EI16" s="17">
        <f t="shared" si="67"/>
        <v>646.70944213867188</v>
      </c>
      <c r="EJ16" s="17">
        <f t="shared" si="68"/>
        <v>646.70944213867188</v>
      </c>
      <c r="EK16" s="17">
        <f t="shared" si="69"/>
        <v>303</v>
      </c>
      <c r="EL16" s="15">
        <f t="shared" ca="1" si="21"/>
        <v>125.80344444444444</v>
      </c>
      <c r="EM16" s="108">
        <v>104.83</v>
      </c>
      <c r="EN16" s="21">
        <f t="shared" ca="1" si="22"/>
        <v>0.43681333333333322</v>
      </c>
      <c r="EO16" s="109">
        <v>0.36720000000000003</v>
      </c>
      <c r="EP16" s="26">
        <f t="shared" si="23"/>
        <v>10.000062092517851</v>
      </c>
      <c r="EQ16" s="17">
        <f t="shared" si="70"/>
        <v>453</v>
      </c>
      <c r="ER16" s="15">
        <f t="shared" ca="1" si="24"/>
        <v>2816.5993052117487</v>
      </c>
      <c r="ES16" s="108">
        <v>104.83</v>
      </c>
      <c r="ET16" s="15">
        <f t="shared" ca="1" si="25"/>
        <v>6.5855309782608691</v>
      </c>
      <c r="EU16" s="109">
        <v>0.36720000000000003</v>
      </c>
      <c r="EV16" s="17">
        <f t="shared" ca="1" si="71"/>
        <v>698.87277304909935</v>
      </c>
      <c r="EW16" s="17">
        <f t="shared" si="72"/>
        <v>287.99558734893799</v>
      </c>
      <c r="EX16" s="15">
        <f t="shared" ca="1" si="26"/>
        <v>62.842643676122037</v>
      </c>
      <c r="EY16" s="108">
        <v>104.83</v>
      </c>
      <c r="EZ16" s="21">
        <f t="shared" ca="1" si="27"/>
        <v>0.2156829124768575</v>
      </c>
      <c r="FA16" s="109">
        <v>0.36720000000000003</v>
      </c>
      <c r="FB16" s="17">
        <f t="shared" si="73"/>
        <v>290.5346565246582</v>
      </c>
      <c r="FC16" s="15">
        <f t="shared" ca="1" si="28"/>
        <v>73.468930295308439</v>
      </c>
      <c r="FD16" s="108">
        <v>104.83</v>
      </c>
      <c r="FE16" s="21">
        <f t="shared" ca="1" si="29"/>
        <v>0.25108882153828938</v>
      </c>
      <c r="FF16" s="109">
        <v>0.36720000000000003</v>
      </c>
      <c r="FG16" s="17">
        <f t="shared" si="74"/>
        <v>302.14286613464355</v>
      </c>
      <c r="FH16" s="15">
        <f t="shared" ca="1" si="30"/>
        <v>122.0505773141649</v>
      </c>
      <c r="FI16" s="108">
        <v>104.83</v>
      </c>
      <c r="FJ16" s="21">
        <f t="shared" ca="1" si="31"/>
        <v>0.4129588555441962</v>
      </c>
      <c r="FK16" s="109">
        <v>0.36720000000000003</v>
      </c>
      <c r="FL16" s="17">
        <f t="shared" si="75"/>
        <v>310</v>
      </c>
      <c r="FM16" s="15">
        <f t="shared" ca="1" si="32"/>
        <v>154.93355555555553</v>
      </c>
      <c r="FN16" s="108">
        <v>104.83</v>
      </c>
      <c r="FO16" s="21">
        <f t="shared" ca="1" si="33"/>
        <v>0.52252222222222222</v>
      </c>
      <c r="FP16" s="106">
        <v>0.36720000000000003</v>
      </c>
      <c r="FQ16" s="15">
        <f t="shared" si="76"/>
        <v>16757.806245329532</v>
      </c>
      <c r="FR16" s="15">
        <f t="shared" si="34"/>
        <v>2460.9654852292038</v>
      </c>
      <c r="FS16" s="15">
        <f t="shared" si="35"/>
        <v>1624.2372202512747</v>
      </c>
      <c r="FT16" s="15">
        <f t="shared" si="77"/>
        <v>836.72826497792937</v>
      </c>
      <c r="FU16" s="15">
        <f t="shared" si="36"/>
        <v>4628.8392156147784</v>
      </c>
      <c r="FV16" s="15">
        <f t="shared" ca="1" si="78"/>
        <v>23.712669841207806</v>
      </c>
      <c r="FW16" s="15">
        <f t="shared" ca="1" si="37"/>
        <v>3118.3518765545709</v>
      </c>
      <c r="FX16" s="15">
        <f t="shared" ca="1" si="38"/>
        <v>2183.0576845626701</v>
      </c>
      <c r="FY16" s="15">
        <f t="shared" ca="1" si="79"/>
        <v>65.288600111110782</v>
      </c>
      <c r="FZ16" s="15">
        <f t="shared" ca="1" si="80"/>
        <v>65.288600111110782</v>
      </c>
      <c r="GA16" s="15">
        <f t="shared" ca="1" si="81"/>
        <v>17474.213858097261</v>
      </c>
      <c r="GB16" s="21">
        <f t="shared" ca="1" si="82"/>
        <v>47.127226950900614</v>
      </c>
      <c r="GC16" s="15">
        <f t="shared" ca="1" si="83"/>
        <v>17939.372821018802</v>
      </c>
      <c r="GD16" s="82">
        <f t="shared" si="39"/>
        <v>19.325037746658545</v>
      </c>
      <c r="GE16" s="82">
        <f t="shared" ca="1" si="84"/>
        <v>1.6474125854071033</v>
      </c>
      <c r="GF16" s="82">
        <f t="shared" ca="1" si="85"/>
        <v>4573.6623612024378</v>
      </c>
      <c r="GG16" s="110">
        <f t="shared" si="86"/>
        <v>0.28472745141002709</v>
      </c>
      <c r="GH16" s="110">
        <f t="shared" ca="1" si="87"/>
        <v>0.11289071019105008</v>
      </c>
      <c r="GI16" s="110">
        <f t="shared" si="88"/>
        <v>0.56981801697376244</v>
      </c>
      <c r="GJ16" s="110">
        <f t="shared" si="89"/>
        <v>0.32376657845507789</v>
      </c>
      <c r="GK16" s="110">
        <f t="shared" ca="1" si="90"/>
        <v>1.4452338082701521</v>
      </c>
      <c r="GL16" s="110">
        <f t="shared" ca="1" si="91"/>
        <v>8.217544111580624</v>
      </c>
      <c r="GM16" s="114">
        <f t="shared" si="40"/>
        <v>45.771727312623042</v>
      </c>
      <c r="GN16" s="114">
        <f t="shared" ca="1" si="41"/>
        <v>13.077897971981033</v>
      </c>
      <c r="GO16" s="114">
        <f t="shared" ca="1" si="42"/>
        <v>-42505.39865626824</v>
      </c>
    </row>
    <row r="17" spans="1:197" x14ac:dyDescent="0.25">
      <c r="A17" s="6">
        <v>14</v>
      </c>
      <c r="B17" s="86">
        <v>31161.282697722316</v>
      </c>
      <c r="C17" s="86">
        <v>17</v>
      </c>
      <c r="D17" s="9">
        <v>19</v>
      </c>
      <c r="E17" s="8">
        <v>50016</v>
      </c>
      <c r="F17" s="28">
        <v>2</v>
      </c>
      <c r="G17" s="28">
        <v>0.05</v>
      </c>
      <c r="H17" s="87">
        <v>410.66647338867187</v>
      </c>
      <c r="I17" s="42">
        <v>180</v>
      </c>
      <c r="J17" s="87">
        <v>90</v>
      </c>
      <c r="K17" s="28">
        <v>30</v>
      </c>
      <c r="L17" s="28">
        <v>21.47</v>
      </c>
      <c r="M17" s="13">
        <v>29.293651580810547</v>
      </c>
      <c r="N17" s="28">
        <v>37</v>
      </c>
      <c r="O17" s="13">
        <v>15.8408203125</v>
      </c>
      <c r="P17" s="13">
        <v>12.275797843933105</v>
      </c>
      <c r="Q17" s="85">
        <v>9762.0577556267381</v>
      </c>
      <c r="R17" s="86">
        <v>85995.48178049922</v>
      </c>
      <c r="S17" s="7">
        <v>3.3033151626586914</v>
      </c>
      <c r="T17" s="86">
        <v>78486.993332110345</v>
      </c>
      <c r="U17" s="86">
        <f t="shared" si="43"/>
        <v>4616.8819607123733</v>
      </c>
      <c r="V17" s="7">
        <v>14</v>
      </c>
      <c r="W17" s="7">
        <v>14</v>
      </c>
      <c r="X17" s="6">
        <v>10</v>
      </c>
      <c r="Y17" s="6">
        <v>5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3"/>
      <c r="AO17" s="10">
        <v>681.69</v>
      </c>
      <c r="AP17" s="11">
        <v>30</v>
      </c>
      <c r="AQ17" s="12">
        <f t="shared" si="44"/>
        <v>19.362170710962566</v>
      </c>
      <c r="AR17" s="12">
        <f t="shared" si="45"/>
        <v>683.66647338867187</v>
      </c>
      <c r="AS17" s="9">
        <f t="shared" si="46"/>
        <v>19.362170710962566</v>
      </c>
      <c r="AT17" s="9">
        <f t="shared" si="47"/>
        <v>683.66647338867187</v>
      </c>
      <c r="AU17" s="9">
        <v>84.801154646236682</v>
      </c>
      <c r="AV17" s="9">
        <f t="shared" si="48"/>
        <v>30</v>
      </c>
      <c r="AW17" s="9">
        <f t="shared" ca="1" si="49"/>
        <v>2.0195088179530751</v>
      </c>
      <c r="AX17" s="9">
        <f t="shared" si="50"/>
        <v>180</v>
      </c>
      <c r="AY17" s="9">
        <f t="shared" si="51"/>
        <v>19.362170710962566</v>
      </c>
      <c r="AZ17" s="9">
        <f t="shared" si="52"/>
        <v>681.69</v>
      </c>
      <c r="BA17" s="13">
        <f t="shared" ca="1" si="53"/>
        <v>5641.7364020212772</v>
      </c>
      <c r="BB17" s="10">
        <f t="shared" si="54"/>
        <v>12.275797843933105</v>
      </c>
      <c r="BC17" s="9">
        <f t="shared" ca="1" si="55"/>
        <v>5641.7364020212772</v>
      </c>
      <c r="BD17" s="9">
        <f t="shared" si="56"/>
        <v>15.8408203125</v>
      </c>
      <c r="BE17" s="9">
        <f t="shared" si="57"/>
        <v>21.47</v>
      </c>
      <c r="BF17" s="9">
        <f t="shared" si="58"/>
        <v>29.293651580810547</v>
      </c>
      <c r="BG17" s="7">
        <f t="shared" si="59"/>
        <v>21.47</v>
      </c>
      <c r="BH17" s="9">
        <f t="shared" si="60"/>
        <v>37</v>
      </c>
      <c r="BJ17" s="3"/>
      <c r="BK17" s="3"/>
      <c r="BL17" s="3"/>
      <c r="BM17" s="3"/>
      <c r="BP17" s="3"/>
      <c r="BT17" s="3"/>
      <c r="DF17" s="20">
        <v>0.21890000000000001</v>
      </c>
      <c r="DG17" s="15">
        <f t="shared" si="61"/>
        <v>0.91758754518296992</v>
      </c>
      <c r="DH17" s="15">
        <f t="shared" ca="1" si="62"/>
        <v>268.32739322985014</v>
      </c>
      <c r="DI17" s="100">
        <f t="shared" ca="1" si="63"/>
        <v>1.027557203360753</v>
      </c>
      <c r="DJ17" s="20">
        <f t="shared" si="64"/>
        <v>1.385750632983797</v>
      </c>
      <c r="DK17" s="25">
        <f t="shared" si="65"/>
        <v>0.36217071096256631</v>
      </c>
      <c r="DL17" s="26">
        <f t="shared" si="0"/>
        <v>0.02</v>
      </c>
      <c r="DM17" s="15">
        <f t="shared" si="1"/>
        <v>683.66647338867187</v>
      </c>
      <c r="DN17" s="41">
        <f t="shared" si="2"/>
        <v>473</v>
      </c>
      <c r="DO17" s="15">
        <f t="shared" ca="1" si="3"/>
        <v>415.33908015882173</v>
      </c>
      <c r="DP17" s="26">
        <f t="shared" si="4"/>
        <v>453</v>
      </c>
      <c r="DQ17" s="21">
        <f t="shared" ca="1" si="5"/>
        <v>2816.5993052117487</v>
      </c>
      <c r="DR17" s="21">
        <v>2.87E-2</v>
      </c>
      <c r="DS17" s="26">
        <f t="shared" si="6"/>
        <v>303</v>
      </c>
      <c r="DT17" s="102">
        <f t="shared" ca="1" si="7"/>
        <v>125.80344444444444</v>
      </c>
      <c r="DU17" s="15">
        <f t="shared" si="8"/>
        <v>165</v>
      </c>
      <c r="DV17" s="15">
        <f t="shared" ca="1" si="9"/>
        <v>690.58718083896258</v>
      </c>
      <c r="DW17" s="15">
        <f t="shared" ca="1" si="10"/>
        <v>2790.6388281929471</v>
      </c>
      <c r="DX17" s="15">
        <f t="shared" si="11"/>
        <v>1.0576216429698118</v>
      </c>
      <c r="DY17" s="15">
        <f t="shared" si="12"/>
        <v>0</v>
      </c>
      <c r="DZ17" s="15">
        <f t="shared" si="13"/>
        <v>0</v>
      </c>
      <c r="EA17" s="15">
        <f t="shared" si="14"/>
        <v>0</v>
      </c>
      <c r="EB17" s="15">
        <f t="shared" si="15"/>
        <v>302.29365158081055</v>
      </c>
      <c r="EC17" s="15">
        <f t="shared" ca="1" si="16"/>
        <v>122.68163116031222</v>
      </c>
      <c r="ED17" s="15">
        <f t="shared" ca="1" si="17"/>
        <v>154.93355555555553</v>
      </c>
      <c r="EE17" s="15">
        <f t="shared" ca="1" si="18"/>
        <v>66.380037543402779</v>
      </c>
      <c r="EF17" s="15">
        <f t="shared" ca="1" si="19"/>
        <v>51.46002239884271</v>
      </c>
      <c r="EG17" s="17">
        <f t="shared" si="66"/>
        <v>683.66647338867187</v>
      </c>
      <c r="EH17" s="17">
        <f t="shared" si="20"/>
        <v>303</v>
      </c>
      <c r="EI17" s="17">
        <f t="shared" si="67"/>
        <v>683.66647338867187</v>
      </c>
      <c r="EJ17" s="17">
        <f t="shared" si="68"/>
        <v>683.66647338867187</v>
      </c>
      <c r="EK17" s="17">
        <f t="shared" si="69"/>
        <v>303</v>
      </c>
      <c r="EL17" s="15">
        <f t="shared" ca="1" si="21"/>
        <v>125.80344444444444</v>
      </c>
      <c r="EM17" s="108">
        <v>104.83</v>
      </c>
      <c r="EN17" s="21">
        <f t="shared" ca="1" si="22"/>
        <v>0.43681333333333322</v>
      </c>
      <c r="EO17" s="109">
        <v>0.36720000000000003</v>
      </c>
      <c r="EP17" s="26">
        <f t="shared" si="23"/>
        <v>10.000062092517851</v>
      </c>
      <c r="EQ17" s="17">
        <f t="shared" si="70"/>
        <v>453</v>
      </c>
      <c r="ER17" s="15">
        <f t="shared" ca="1" si="24"/>
        <v>2816.5993052117487</v>
      </c>
      <c r="ES17" s="108">
        <v>104.83</v>
      </c>
      <c r="ET17" s="15">
        <f t="shared" ca="1" si="25"/>
        <v>6.5855309782608691</v>
      </c>
      <c r="EU17" s="109">
        <v>0.36720000000000003</v>
      </c>
      <c r="EV17" s="17">
        <f t="shared" ca="1" si="71"/>
        <v>688.33908015882173</v>
      </c>
      <c r="EW17" s="17">
        <f t="shared" si="72"/>
        <v>285.27579784393311</v>
      </c>
      <c r="EX17" s="15">
        <f t="shared" ca="1" si="26"/>
        <v>51.46002239884271</v>
      </c>
      <c r="EY17" s="108">
        <v>104.83</v>
      </c>
      <c r="EZ17" s="21">
        <f t="shared" ca="1" si="27"/>
        <v>0.17775695882373385</v>
      </c>
      <c r="FA17" s="109">
        <v>0.36720000000000003</v>
      </c>
      <c r="FB17" s="17">
        <f t="shared" si="73"/>
        <v>288.8408203125</v>
      </c>
      <c r="FC17" s="15">
        <f t="shared" ca="1" si="28"/>
        <v>66.380037543402779</v>
      </c>
      <c r="FD17" s="108">
        <v>104.83</v>
      </c>
      <c r="FE17" s="21">
        <f t="shared" ca="1" si="29"/>
        <v>0.22746921657986111</v>
      </c>
      <c r="FF17" s="109">
        <v>0.36720000000000003</v>
      </c>
      <c r="FG17" s="17">
        <f t="shared" si="74"/>
        <v>302.29365158081055</v>
      </c>
      <c r="FH17" s="15">
        <f t="shared" ca="1" si="30"/>
        <v>122.68163116031222</v>
      </c>
      <c r="FI17" s="108">
        <v>104.83</v>
      </c>
      <c r="FJ17" s="21">
        <f t="shared" ca="1" si="31"/>
        <v>0.41506147482130262</v>
      </c>
      <c r="FK17" s="109">
        <v>0.36720000000000003</v>
      </c>
      <c r="FL17" s="17">
        <f t="shared" si="75"/>
        <v>310</v>
      </c>
      <c r="FM17" s="15">
        <f t="shared" ca="1" si="32"/>
        <v>154.93355555555553</v>
      </c>
      <c r="FN17" s="108">
        <v>104.83</v>
      </c>
      <c r="FO17" s="21">
        <f t="shared" ca="1" si="33"/>
        <v>0.52252222222222222</v>
      </c>
      <c r="FP17" s="106">
        <v>0.36720000000000003</v>
      </c>
      <c r="FQ17" s="15">
        <f t="shared" si="76"/>
        <v>18672.251652112431</v>
      </c>
      <c r="FR17" s="15">
        <f t="shared" si="34"/>
        <v>2926.635053376925</v>
      </c>
      <c r="FS17" s="15">
        <f t="shared" si="35"/>
        <v>1931.5791352287706</v>
      </c>
      <c r="FT17" s="15">
        <f t="shared" si="77"/>
        <v>995.05591814815455</v>
      </c>
      <c r="FU17" s="15">
        <f t="shared" si="36"/>
        <v>4616.8819607123733</v>
      </c>
      <c r="FV17" s="15">
        <f t="shared" ca="1" si="78"/>
        <v>26.169962292816024</v>
      </c>
      <c r="FW17" s="15">
        <f t="shared" ca="1" si="37"/>
        <v>2986.8986988598203</v>
      </c>
      <c r="FX17" s="15">
        <f t="shared" ca="1" si="38"/>
        <v>2317.1098481474482</v>
      </c>
      <c r="FY17" s="15">
        <f t="shared" ca="1" si="79"/>
        <v>65.288600111110782</v>
      </c>
      <c r="FZ17" s="15">
        <f t="shared" ca="1" si="80"/>
        <v>65.288600111110782</v>
      </c>
      <c r="GA17" s="15">
        <f t="shared" ca="1" si="81"/>
        <v>21937.694085481726</v>
      </c>
      <c r="GB17" s="21">
        <f t="shared" ca="1" si="82"/>
        <v>57.660919841178291</v>
      </c>
      <c r="GC17" s="15">
        <f t="shared" ca="1" si="83"/>
        <v>22743.32815115897</v>
      </c>
      <c r="GD17" s="82">
        <f t="shared" si="39"/>
        <v>19.362170710962566</v>
      </c>
      <c r="GE17" s="82">
        <f t="shared" ca="1" si="84"/>
        <v>2.0195088179530751</v>
      </c>
      <c r="GF17" s="82">
        <f t="shared" ca="1" si="85"/>
        <v>5641.7364020212772</v>
      </c>
      <c r="GG17" s="110">
        <f t="shared" si="86"/>
        <v>0.25487456005681614</v>
      </c>
      <c r="GH17" s="110">
        <f t="shared" ca="1" si="87"/>
        <v>0.10527655769812484</v>
      </c>
      <c r="GI17" s="110">
        <f t="shared" si="88"/>
        <v>0.59683629570209562</v>
      </c>
      <c r="GJ17" s="110">
        <f t="shared" si="89"/>
        <v>0.29321696814865572</v>
      </c>
      <c r="GK17" s="110">
        <f t="shared" ca="1" si="90"/>
        <v>2.1708494420137252</v>
      </c>
      <c r="GL17" s="110">
        <f t="shared" ca="1" si="91"/>
        <v>9.8153862534149958</v>
      </c>
      <c r="GM17" s="114">
        <f t="shared" si="40"/>
        <v>50.763571005442955</v>
      </c>
      <c r="GN17" s="114">
        <f t="shared" ca="1" si="41"/>
        <v>11.493987220874391</v>
      </c>
      <c r="GO17" s="114">
        <f t="shared" ca="1" si="42"/>
        <v>-1441.7710541454726</v>
      </c>
    </row>
    <row r="18" spans="1:197" x14ac:dyDescent="0.25">
      <c r="A18" s="6">
        <v>15</v>
      </c>
      <c r="B18" s="86">
        <v>27920.710222125053</v>
      </c>
      <c r="C18" s="86">
        <v>17</v>
      </c>
      <c r="D18" s="9">
        <v>19</v>
      </c>
      <c r="E18" s="8">
        <v>50016</v>
      </c>
      <c r="F18" s="28">
        <v>2</v>
      </c>
      <c r="G18" s="28">
        <v>0.05</v>
      </c>
      <c r="H18" s="87">
        <v>403.49813842773437</v>
      </c>
      <c r="I18" s="42">
        <v>180</v>
      </c>
      <c r="J18" s="87">
        <v>90</v>
      </c>
      <c r="K18" s="28">
        <v>30</v>
      </c>
      <c r="L18" s="28">
        <v>21.47</v>
      </c>
      <c r="M18" s="13">
        <v>29.437896728515625</v>
      </c>
      <c r="N18" s="28">
        <v>37</v>
      </c>
      <c r="O18" s="13">
        <v>14.347799301147461</v>
      </c>
      <c r="P18" s="13">
        <v>11.082705497741699</v>
      </c>
      <c r="Q18" s="85">
        <v>10074.73493941687</v>
      </c>
      <c r="R18" s="86">
        <v>92029.298903629184</v>
      </c>
      <c r="S18" s="7">
        <v>3.2402894496917725</v>
      </c>
      <c r="T18" s="86">
        <v>78284.25888800621</v>
      </c>
      <c r="U18" s="86">
        <f t="shared" si="43"/>
        <v>4604.9564051768357</v>
      </c>
      <c r="V18" s="7">
        <v>14</v>
      </c>
      <c r="W18" s="7">
        <v>14</v>
      </c>
      <c r="X18" s="6">
        <v>10</v>
      </c>
      <c r="Y18" s="6">
        <v>5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3"/>
      <c r="AO18" s="10">
        <v>681.69</v>
      </c>
      <c r="AP18" s="11">
        <v>30</v>
      </c>
      <c r="AQ18" s="12">
        <f t="shared" si="44"/>
        <v>19.32450729226451</v>
      </c>
      <c r="AR18" s="12">
        <f t="shared" si="45"/>
        <v>676.49813842773437</v>
      </c>
      <c r="AS18" s="9">
        <f t="shared" si="46"/>
        <v>19.32450729226451</v>
      </c>
      <c r="AT18" s="9">
        <f t="shared" si="47"/>
        <v>676.49813842773437</v>
      </c>
      <c r="AU18" s="9">
        <v>80.884065882652067</v>
      </c>
      <c r="AV18" s="9">
        <f t="shared" si="48"/>
        <v>30</v>
      </c>
      <c r="AW18" s="9">
        <f t="shared" ca="1" si="49"/>
        <v>1.9436645842312184</v>
      </c>
      <c r="AX18" s="9">
        <f t="shared" si="50"/>
        <v>180</v>
      </c>
      <c r="AY18" s="9">
        <f t="shared" si="51"/>
        <v>19.32450729226451</v>
      </c>
      <c r="AZ18" s="9">
        <f t="shared" si="52"/>
        <v>681.69</v>
      </c>
      <c r="BA18" s="13">
        <f t="shared" ca="1" si="53"/>
        <v>5424.7988373206308</v>
      </c>
      <c r="BB18" s="10">
        <f t="shared" si="54"/>
        <v>11.082705497741699</v>
      </c>
      <c r="BC18" s="9">
        <f t="shared" ca="1" si="55"/>
        <v>5424.7988373206308</v>
      </c>
      <c r="BD18" s="9">
        <f t="shared" si="56"/>
        <v>14.347799301147461</v>
      </c>
      <c r="BE18" s="9">
        <f t="shared" si="57"/>
        <v>21.47</v>
      </c>
      <c r="BF18" s="9">
        <f t="shared" si="58"/>
        <v>29.437896728515625</v>
      </c>
      <c r="BG18" s="7">
        <f t="shared" si="59"/>
        <v>21.47</v>
      </c>
      <c r="BH18" s="9">
        <f t="shared" si="60"/>
        <v>37</v>
      </c>
      <c r="BJ18" s="3"/>
      <c r="BK18" s="3"/>
      <c r="BL18" s="3"/>
      <c r="BM18" s="3"/>
      <c r="BP18" s="3"/>
      <c r="BT18" s="3"/>
      <c r="DF18" s="20">
        <v>0.21890000000000001</v>
      </c>
      <c r="DG18" s="15">
        <f t="shared" si="61"/>
        <v>0.90008040269215905</v>
      </c>
      <c r="DH18" s="15">
        <f t="shared" ca="1" si="62"/>
        <v>259.10171774963482</v>
      </c>
      <c r="DI18" s="100">
        <f t="shared" ca="1" si="63"/>
        <v>1.0258273143255574</v>
      </c>
      <c r="DJ18" s="20">
        <f t="shared" si="64"/>
        <v>1.3217407942471024</v>
      </c>
      <c r="DK18" s="25">
        <f t="shared" si="65"/>
        <v>0.32450729226451092</v>
      </c>
      <c r="DL18" s="26">
        <f t="shared" si="0"/>
        <v>0.02</v>
      </c>
      <c r="DM18" s="15">
        <f t="shared" si="1"/>
        <v>676.49813842773437</v>
      </c>
      <c r="DN18" s="41">
        <f t="shared" si="2"/>
        <v>473</v>
      </c>
      <c r="DO18" s="15">
        <f t="shared" ca="1" si="3"/>
        <v>417.39642067809956</v>
      </c>
      <c r="DP18" s="26">
        <f t="shared" si="4"/>
        <v>453</v>
      </c>
      <c r="DQ18" s="21">
        <f t="shared" ca="1" si="5"/>
        <v>2816.5993052117487</v>
      </c>
      <c r="DR18" s="21">
        <v>2.87E-2</v>
      </c>
      <c r="DS18" s="26">
        <f t="shared" si="6"/>
        <v>303</v>
      </c>
      <c r="DT18" s="102">
        <f t="shared" ca="1" si="7"/>
        <v>125.80344444444444</v>
      </c>
      <c r="DU18" s="15">
        <f t="shared" si="8"/>
        <v>165</v>
      </c>
      <c r="DV18" s="15">
        <f t="shared" ca="1" si="9"/>
        <v>690.58718083896258</v>
      </c>
      <c r="DW18" s="15">
        <f t="shared" ca="1" si="10"/>
        <v>2790.6388281929471</v>
      </c>
      <c r="DX18" s="15">
        <f t="shared" si="11"/>
        <v>1.0559731291667729</v>
      </c>
      <c r="DY18" s="15">
        <f t="shared" si="12"/>
        <v>0</v>
      </c>
      <c r="DZ18" s="15">
        <f t="shared" si="13"/>
        <v>0</v>
      </c>
      <c r="EA18" s="15">
        <f t="shared" si="14"/>
        <v>0</v>
      </c>
      <c r="EB18" s="15">
        <f t="shared" si="15"/>
        <v>302.43789672851562</v>
      </c>
      <c r="EC18" s="15">
        <f t="shared" ca="1" si="16"/>
        <v>123.28531313069661</v>
      </c>
      <c r="ED18" s="15">
        <f t="shared" ca="1" si="17"/>
        <v>154.93355555555553</v>
      </c>
      <c r="EE18" s="15">
        <f t="shared" ca="1" si="18"/>
        <v>60.131578719668923</v>
      </c>
      <c r="EF18" s="15">
        <f t="shared" ca="1" si="19"/>
        <v>46.466798364215435</v>
      </c>
      <c r="EG18" s="17">
        <f t="shared" si="66"/>
        <v>676.49813842773437</v>
      </c>
      <c r="EH18" s="17">
        <f t="shared" si="20"/>
        <v>303</v>
      </c>
      <c r="EI18" s="17">
        <f t="shared" si="67"/>
        <v>676.49813842773437</v>
      </c>
      <c r="EJ18" s="17">
        <f t="shared" si="68"/>
        <v>676.49813842773437</v>
      </c>
      <c r="EK18" s="17">
        <f t="shared" si="69"/>
        <v>303</v>
      </c>
      <c r="EL18" s="15">
        <f t="shared" ca="1" si="21"/>
        <v>125.80344444444444</v>
      </c>
      <c r="EM18" s="108">
        <v>104.83</v>
      </c>
      <c r="EN18" s="21">
        <f t="shared" ca="1" si="22"/>
        <v>0.43681333333333322</v>
      </c>
      <c r="EO18" s="109">
        <v>0.36720000000000003</v>
      </c>
      <c r="EP18" s="26">
        <f t="shared" si="23"/>
        <v>10.000062092517851</v>
      </c>
      <c r="EQ18" s="17">
        <f t="shared" si="70"/>
        <v>453</v>
      </c>
      <c r="ER18" s="15">
        <f t="shared" ca="1" si="24"/>
        <v>2816.5993052117487</v>
      </c>
      <c r="ES18" s="108">
        <v>104.83</v>
      </c>
      <c r="ET18" s="15">
        <f t="shared" ca="1" si="25"/>
        <v>6.5855309782608691</v>
      </c>
      <c r="EU18" s="109">
        <v>0.36720000000000003</v>
      </c>
      <c r="EV18" s="17">
        <f t="shared" ca="1" si="71"/>
        <v>690.3964206780995</v>
      </c>
      <c r="EW18" s="17">
        <f t="shared" si="72"/>
        <v>284.0827054977417</v>
      </c>
      <c r="EX18" s="15">
        <f t="shared" ca="1" si="26"/>
        <v>46.466798364215435</v>
      </c>
      <c r="EY18" s="108">
        <v>104.83</v>
      </c>
      <c r="EZ18" s="21">
        <f t="shared" ca="1" si="27"/>
        <v>0.16111994888517592</v>
      </c>
      <c r="FA18" s="109">
        <v>0.36720000000000003</v>
      </c>
      <c r="FB18" s="17">
        <f t="shared" si="73"/>
        <v>287.34779930114746</v>
      </c>
      <c r="FC18" s="15">
        <f t="shared" ca="1" si="28"/>
        <v>60.131578719668923</v>
      </c>
      <c r="FD18" s="108">
        <v>104.83</v>
      </c>
      <c r="FE18" s="21">
        <f t="shared" ca="1" si="29"/>
        <v>0.20664986803266738</v>
      </c>
      <c r="FF18" s="109">
        <v>0.36720000000000003</v>
      </c>
      <c r="FG18" s="17">
        <f t="shared" si="74"/>
        <v>302.43789672851562</v>
      </c>
      <c r="FH18" s="15">
        <f t="shared" ca="1" si="30"/>
        <v>123.28531313069661</v>
      </c>
      <c r="FI18" s="108">
        <v>104.83</v>
      </c>
      <c r="FJ18" s="21">
        <f t="shared" ca="1" si="31"/>
        <v>0.41707289326985675</v>
      </c>
      <c r="FK18" s="109">
        <v>0.36720000000000003</v>
      </c>
      <c r="FL18" s="17">
        <f t="shared" si="75"/>
        <v>310</v>
      </c>
      <c r="FM18" s="15">
        <f t="shared" ca="1" si="32"/>
        <v>154.93355555555553</v>
      </c>
      <c r="FN18" s="108">
        <v>104.83</v>
      </c>
      <c r="FO18" s="21">
        <f t="shared" ca="1" si="33"/>
        <v>0.52252222222222222</v>
      </c>
      <c r="FP18" s="106">
        <v>0.36720000000000003</v>
      </c>
      <c r="FQ18" s="15">
        <f t="shared" si="76"/>
        <v>16730.457877182755</v>
      </c>
      <c r="FR18" s="15">
        <f t="shared" si="34"/>
        <v>2829.5210857591333</v>
      </c>
      <c r="FS18" s="15">
        <f t="shared" si="35"/>
        <v>1867.4839166010277</v>
      </c>
      <c r="FT18" s="15">
        <f t="shared" si="77"/>
        <v>962.03716915810526</v>
      </c>
      <c r="FU18" s="15">
        <f t="shared" si="36"/>
        <v>4604.9564051768357</v>
      </c>
      <c r="FV18" s="15">
        <f t="shared" ca="1" si="78"/>
        <v>24.961133643391829</v>
      </c>
      <c r="FW18" s="15">
        <f t="shared" ca="1" si="37"/>
        <v>3007.7086809181565</v>
      </c>
      <c r="FX18" s="15">
        <f t="shared" ca="1" si="38"/>
        <v>2272.9004727136421</v>
      </c>
      <c r="FY18" s="15">
        <f t="shared" ca="1" si="79"/>
        <v>65.288600111110782</v>
      </c>
      <c r="FZ18" s="15">
        <f t="shared" ca="1" si="80"/>
        <v>65.288600111110782</v>
      </c>
      <c r="GA18" s="15">
        <f t="shared" ca="1" si="81"/>
        <v>21418.563484494407</v>
      </c>
      <c r="GB18" s="21">
        <f t="shared" ca="1" si="82"/>
        <v>55.603579321900447</v>
      </c>
      <c r="GC18" s="15">
        <f t="shared" ca="1" si="83"/>
        <v>22128.046593736584</v>
      </c>
      <c r="GD18" s="82">
        <f t="shared" si="39"/>
        <v>19.32450729226451</v>
      </c>
      <c r="GE18" s="82">
        <f t="shared" ca="1" si="84"/>
        <v>1.9436645842312184</v>
      </c>
      <c r="GF18" s="82">
        <f t="shared" ca="1" si="85"/>
        <v>5424.7988373206308</v>
      </c>
      <c r="GG18" s="110">
        <f t="shared" si="86"/>
        <v>0.28372140782411126</v>
      </c>
      <c r="GH18" s="110">
        <f t="shared" ca="1" si="87"/>
        <v>0.11334980942189311</v>
      </c>
      <c r="GI18" s="110">
        <f t="shared" si="88"/>
        <v>0.57556848036840536</v>
      </c>
      <c r="GJ18" s="110">
        <f t="shared" si="89"/>
        <v>0.3312695017804792</v>
      </c>
      <c r="GK18" s="110">
        <f t="shared" ca="1" si="90"/>
        <v>1.9714879113474812</v>
      </c>
      <c r="GL18" s="110">
        <f t="shared" ca="1" si="91"/>
        <v>9.7355985708066015</v>
      </c>
      <c r="GM18" s="114">
        <f t="shared" si="40"/>
        <v>45.186450671763438</v>
      </c>
      <c r="GN18" s="114">
        <f t="shared" ca="1" si="41"/>
        <v>10.585046867483419</v>
      </c>
      <c r="GO18" s="114">
        <f t="shared" ca="1" si="42"/>
        <v>-34699.761000343278</v>
      </c>
    </row>
    <row r="19" spans="1:197" x14ac:dyDescent="0.25">
      <c r="A19" s="6">
        <v>16</v>
      </c>
      <c r="B19" s="86">
        <v>28257.674872256815</v>
      </c>
      <c r="C19" s="86">
        <v>17</v>
      </c>
      <c r="D19" s="9">
        <v>19</v>
      </c>
      <c r="E19" s="8">
        <v>50016</v>
      </c>
      <c r="F19" s="28">
        <v>2</v>
      </c>
      <c r="G19" s="28">
        <v>0.05</v>
      </c>
      <c r="H19" s="87">
        <v>400.0545654296875</v>
      </c>
      <c r="I19" s="42">
        <v>180</v>
      </c>
      <c r="J19" s="87">
        <v>90</v>
      </c>
      <c r="K19" s="28">
        <v>30</v>
      </c>
      <c r="L19" s="28">
        <v>21.47</v>
      </c>
      <c r="M19" s="13">
        <v>29.614946365356445</v>
      </c>
      <c r="N19" s="28">
        <v>37</v>
      </c>
      <c r="O19" s="13">
        <v>14.910124778747559</v>
      </c>
      <c r="P19" s="13">
        <v>11.334616661071777</v>
      </c>
      <c r="Q19" s="85">
        <v>10583.85187461786</v>
      </c>
      <c r="R19" s="86">
        <v>89326.085243940353</v>
      </c>
      <c r="S19" s="7">
        <v>3.1114490032196045</v>
      </c>
      <c r="T19" s="86">
        <v>79704.449443779886</v>
      </c>
      <c r="U19" s="86">
        <f t="shared" si="43"/>
        <v>4688.4970261046992</v>
      </c>
      <c r="V19" s="7">
        <v>14</v>
      </c>
      <c r="W19" s="7">
        <v>14</v>
      </c>
      <c r="X19" s="6">
        <v>10</v>
      </c>
      <c r="Y19" s="6">
        <v>5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3"/>
      <c r="AO19" s="10">
        <v>681.69</v>
      </c>
      <c r="AP19" s="11">
        <v>30</v>
      </c>
      <c r="AQ19" s="12">
        <f t="shared" si="44"/>
        <v>19.328423649883398</v>
      </c>
      <c r="AR19" s="12">
        <f t="shared" si="45"/>
        <v>673.0545654296875</v>
      </c>
      <c r="AS19" s="9">
        <f t="shared" si="46"/>
        <v>19.328423649883398</v>
      </c>
      <c r="AT19" s="9">
        <f t="shared" si="47"/>
        <v>673.0545654296875</v>
      </c>
      <c r="AU19" s="9">
        <v>78.510348733485444</v>
      </c>
      <c r="AV19" s="9">
        <f t="shared" si="48"/>
        <v>30</v>
      </c>
      <c r="AW19" s="9">
        <f t="shared" ca="1" si="49"/>
        <v>1.9095889295978394</v>
      </c>
      <c r="AX19" s="9">
        <f t="shared" si="50"/>
        <v>180</v>
      </c>
      <c r="AY19" s="9">
        <f t="shared" si="51"/>
        <v>19.328423649883398</v>
      </c>
      <c r="AZ19" s="9">
        <f t="shared" si="52"/>
        <v>681.69</v>
      </c>
      <c r="BA19" s="13">
        <f t="shared" ca="1" si="53"/>
        <v>5334.2015183906988</v>
      </c>
      <c r="BB19" s="10">
        <f t="shared" si="54"/>
        <v>11.334616661071777</v>
      </c>
      <c r="BC19" s="9">
        <f t="shared" ca="1" si="55"/>
        <v>5334.2015183906988</v>
      </c>
      <c r="BD19" s="9">
        <f t="shared" si="56"/>
        <v>14.910124778747559</v>
      </c>
      <c r="BE19" s="9">
        <f t="shared" si="57"/>
        <v>21.47</v>
      </c>
      <c r="BF19" s="9">
        <f t="shared" si="58"/>
        <v>29.614946365356445</v>
      </c>
      <c r="BG19" s="7">
        <f t="shared" si="59"/>
        <v>21.47</v>
      </c>
      <c r="BH19" s="9">
        <f t="shared" si="60"/>
        <v>37</v>
      </c>
      <c r="BJ19" s="3"/>
      <c r="BK19" s="3"/>
      <c r="BL19" s="3"/>
      <c r="BM19" s="3"/>
      <c r="BP19" s="3"/>
      <c r="BT19" s="3"/>
      <c r="DF19" s="20">
        <v>0.21890000000000001</v>
      </c>
      <c r="DG19" s="15">
        <f t="shared" si="61"/>
        <v>0.86429138978322351</v>
      </c>
      <c r="DH19" s="15">
        <f t="shared" ca="1" si="62"/>
        <v>254.67225307745781</v>
      </c>
      <c r="DI19" s="100">
        <f t="shared" ca="1" si="63"/>
        <v>1.0250073705474696</v>
      </c>
      <c r="DJ19" s="20">
        <f t="shared" si="64"/>
        <v>1.2829514634213093</v>
      </c>
      <c r="DK19" s="25">
        <f t="shared" si="65"/>
        <v>0.32842364988339651</v>
      </c>
      <c r="DL19" s="26">
        <f t="shared" si="0"/>
        <v>0.02</v>
      </c>
      <c r="DM19" s="15">
        <f t="shared" si="1"/>
        <v>673.0545654296875</v>
      </c>
      <c r="DN19" s="41">
        <f t="shared" si="2"/>
        <v>473</v>
      </c>
      <c r="DO19" s="15">
        <f t="shared" ca="1" si="3"/>
        <v>418.38231235222969</v>
      </c>
      <c r="DP19" s="26">
        <f t="shared" si="4"/>
        <v>453</v>
      </c>
      <c r="DQ19" s="21">
        <f t="shared" ca="1" si="5"/>
        <v>2816.5993052117487</v>
      </c>
      <c r="DR19" s="21">
        <v>2.87E-2</v>
      </c>
      <c r="DS19" s="26">
        <f t="shared" si="6"/>
        <v>303</v>
      </c>
      <c r="DT19" s="102">
        <f t="shared" ca="1" si="7"/>
        <v>125.80344444444444</v>
      </c>
      <c r="DU19" s="15">
        <f t="shared" si="8"/>
        <v>165</v>
      </c>
      <c r="DV19" s="15">
        <f t="shared" ca="1" si="9"/>
        <v>690.58718083896258</v>
      </c>
      <c r="DW19" s="15">
        <f t="shared" ca="1" si="10"/>
        <v>2790.6388281929471</v>
      </c>
      <c r="DX19" s="15">
        <f t="shared" si="11"/>
        <v>1.0551856858459037</v>
      </c>
      <c r="DY19" s="15">
        <f t="shared" si="12"/>
        <v>0</v>
      </c>
      <c r="DZ19" s="15">
        <f t="shared" si="13"/>
        <v>0</v>
      </c>
      <c r="EA19" s="15">
        <f t="shared" si="14"/>
        <v>0</v>
      </c>
      <c r="EB19" s="15">
        <f t="shared" si="15"/>
        <v>302.61494636535645</v>
      </c>
      <c r="EC19" s="15">
        <f t="shared" ca="1" si="16"/>
        <v>124.02628553305732</v>
      </c>
      <c r="ED19" s="15">
        <f t="shared" ca="1" si="17"/>
        <v>154.93355555555553</v>
      </c>
      <c r="EE19" s="15">
        <f t="shared" ca="1" si="18"/>
        <v>62.484973324033952</v>
      </c>
      <c r="EF19" s="15">
        <f t="shared" ca="1" si="19"/>
        <v>47.521074572881069</v>
      </c>
      <c r="EG19" s="17">
        <f t="shared" si="66"/>
        <v>673.0545654296875</v>
      </c>
      <c r="EH19" s="17">
        <f t="shared" si="20"/>
        <v>303</v>
      </c>
      <c r="EI19" s="17">
        <f t="shared" si="67"/>
        <v>673.0545654296875</v>
      </c>
      <c r="EJ19" s="17">
        <f t="shared" si="68"/>
        <v>673.0545654296875</v>
      </c>
      <c r="EK19" s="17">
        <f t="shared" si="69"/>
        <v>303</v>
      </c>
      <c r="EL19" s="15">
        <f t="shared" ca="1" si="21"/>
        <v>125.80344444444444</v>
      </c>
      <c r="EM19" s="108">
        <v>104.83</v>
      </c>
      <c r="EN19" s="21">
        <f t="shared" ca="1" si="22"/>
        <v>0.43681333333333322</v>
      </c>
      <c r="EO19" s="109">
        <v>0.36720000000000003</v>
      </c>
      <c r="EP19" s="26">
        <f t="shared" si="23"/>
        <v>10.000062092517851</v>
      </c>
      <c r="EQ19" s="17">
        <f t="shared" si="70"/>
        <v>453</v>
      </c>
      <c r="ER19" s="15">
        <f t="shared" ca="1" si="24"/>
        <v>2816.5993052117487</v>
      </c>
      <c r="ES19" s="108">
        <v>104.83</v>
      </c>
      <c r="ET19" s="15">
        <f t="shared" ca="1" si="25"/>
        <v>6.5855309782608691</v>
      </c>
      <c r="EU19" s="109">
        <v>0.36720000000000003</v>
      </c>
      <c r="EV19" s="17">
        <f t="shared" ca="1" si="71"/>
        <v>691.38231235222975</v>
      </c>
      <c r="EW19" s="17">
        <f t="shared" si="72"/>
        <v>284.33461666107178</v>
      </c>
      <c r="EX19" s="15">
        <f t="shared" ca="1" si="26"/>
        <v>47.521074572881069</v>
      </c>
      <c r="EY19" s="108">
        <v>104.83</v>
      </c>
      <c r="EZ19" s="21">
        <f t="shared" ca="1" si="27"/>
        <v>0.16463271010716757</v>
      </c>
      <c r="FA19" s="109">
        <v>0.36720000000000003</v>
      </c>
      <c r="FB19" s="17">
        <f t="shared" si="73"/>
        <v>287.91012477874756</v>
      </c>
      <c r="FC19" s="15">
        <f t="shared" ca="1" si="28"/>
        <v>62.484973324033952</v>
      </c>
      <c r="FD19" s="108">
        <v>104.83</v>
      </c>
      <c r="FE19" s="21">
        <f t="shared" ca="1" si="29"/>
        <v>0.21449118441475762</v>
      </c>
      <c r="FF19" s="109">
        <v>0.36720000000000003</v>
      </c>
      <c r="FG19" s="17">
        <f t="shared" si="74"/>
        <v>302.61494636535645</v>
      </c>
      <c r="FH19" s="15">
        <f t="shared" ca="1" si="30"/>
        <v>124.02628553305732</v>
      </c>
      <c r="FI19" s="108">
        <v>104.83</v>
      </c>
      <c r="FJ19" s="21">
        <f t="shared" ca="1" si="31"/>
        <v>0.41954175209469263</v>
      </c>
      <c r="FK19" s="109">
        <v>0.36720000000000003</v>
      </c>
      <c r="FL19" s="17">
        <f t="shared" si="75"/>
        <v>310</v>
      </c>
      <c r="FM19" s="15">
        <f t="shared" ca="1" si="32"/>
        <v>154.93355555555553</v>
      </c>
      <c r="FN19" s="108">
        <v>104.83</v>
      </c>
      <c r="FO19" s="21">
        <f t="shared" ca="1" si="33"/>
        <v>0.52252222222222222</v>
      </c>
      <c r="FP19" s="106">
        <v>0.36720000000000003</v>
      </c>
      <c r="FQ19" s="15">
        <f t="shared" si="76"/>
        <v>16932.371540563054</v>
      </c>
      <c r="FR19" s="15">
        <f t="shared" si="34"/>
        <v>2786.5374816383833</v>
      </c>
      <c r="FS19" s="15">
        <f t="shared" si="35"/>
        <v>1839.114737881333</v>
      </c>
      <c r="FT19" s="15">
        <f t="shared" si="77"/>
        <v>947.42274375705017</v>
      </c>
      <c r="FU19" s="15">
        <f t="shared" si="36"/>
        <v>4688.4970261046992</v>
      </c>
      <c r="FV19" s="15">
        <f t="shared" ca="1" si="78"/>
        <v>24.228595406776464</v>
      </c>
      <c r="FW19" s="15">
        <f t="shared" ca="1" si="37"/>
        <v>3021.1070947531057</v>
      </c>
      <c r="FX19" s="15">
        <f t="shared" ca="1" si="38"/>
        <v>2182.5253638729541</v>
      </c>
      <c r="FY19" s="15">
        <f t="shared" ca="1" si="79"/>
        <v>65.288600111110782</v>
      </c>
      <c r="FZ19" s="15">
        <f t="shared" ca="1" si="80"/>
        <v>65.288600111110782</v>
      </c>
      <c r="GA19" s="15">
        <f t="shared" ca="1" si="81"/>
        <v>20940.711986600174</v>
      </c>
      <c r="GB19" s="21">
        <f t="shared" ca="1" si="82"/>
        <v>54.617687647770296</v>
      </c>
      <c r="GC19" s="15">
        <f t="shared" ca="1" si="83"/>
        <v>21704.670802081502</v>
      </c>
      <c r="GD19" s="82">
        <f t="shared" si="39"/>
        <v>19.328423649883398</v>
      </c>
      <c r="GE19" s="82">
        <f t="shared" ca="1" si="84"/>
        <v>1.9095889295978394</v>
      </c>
      <c r="GF19" s="82">
        <f t="shared" ca="1" si="85"/>
        <v>5334.2015183906988</v>
      </c>
      <c r="GG19" s="110">
        <f t="shared" si="86"/>
        <v>0.28542385352997135</v>
      </c>
      <c r="GH19" s="110">
        <f t="shared" ca="1" si="87"/>
        <v>0.10831023777951936</v>
      </c>
      <c r="GI19" s="110">
        <f t="shared" si="88"/>
        <v>0.622952508863447</v>
      </c>
      <c r="GJ19" s="110">
        <f t="shared" si="89"/>
        <v>0.33144012622901547</v>
      </c>
      <c r="GK19" s="110">
        <f t="shared" ca="1" si="90"/>
        <v>1.8259820005759295</v>
      </c>
      <c r="GL19" s="110">
        <f t="shared" ca="1" si="91"/>
        <v>9.9447507741976189</v>
      </c>
      <c r="GM19" s="114">
        <f t="shared" si="40"/>
        <v>45.068940869756972</v>
      </c>
      <c r="GN19" s="114">
        <f t="shared" ca="1" si="41"/>
        <v>10.921759824394531</v>
      </c>
      <c r="GO19" s="114">
        <f t="shared" ca="1" si="42"/>
        <v>-37572.198029378196</v>
      </c>
    </row>
    <row r="20" spans="1:197" x14ac:dyDescent="0.25">
      <c r="A20" s="6">
        <v>17</v>
      </c>
      <c r="B20" s="86">
        <v>27991.936917051673</v>
      </c>
      <c r="C20" s="86">
        <v>17</v>
      </c>
      <c r="D20" s="9">
        <v>19</v>
      </c>
      <c r="E20" s="8">
        <v>50016</v>
      </c>
      <c r="F20" s="28">
        <v>2</v>
      </c>
      <c r="G20" s="28">
        <v>0.05</v>
      </c>
      <c r="H20" s="87">
        <v>399.123291015625</v>
      </c>
      <c r="I20" s="42">
        <v>180</v>
      </c>
      <c r="J20" s="87">
        <v>90</v>
      </c>
      <c r="K20" s="28">
        <v>30</v>
      </c>
      <c r="L20" s="28">
        <v>21.47</v>
      </c>
      <c r="M20" s="13">
        <v>29.032192230224609</v>
      </c>
      <c r="N20" s="28">
        <v>37</v>
      </c>
      <c r="O20" s="13">
        <v>14.555149078369141</v>
      </c>
      <c r="P20" s="13">
        <v>11.161495208740234</v>
      </c>
      <c r="Q20" s="85">
        <v>10818.354586550966</v>
      </c>
      <c r="R20" s="86">
        <v>90489.243863418698</v>
      </c>
      <c r="S20" s="7">
        <v>3.2243609428405762</v>
      </c>
      <c r="T20" s="86">
        <v>79189.958333060145</v>
      </c>
      <c r="U20" s="86">
        <f t="shared" si="43"/>
        <v>4658.2328431211854</v>
      </c>
      <c r="V20" s="7">
        <v>14</v>
      </c>
      <c r="W20" s="7">
        <v>14</v>
      </c>
      <c r="X20" s="6">
        <v>10</v>
      </c>
      <c r="Y20" s="6">
        <v>5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43"/>
      <c r="AO20" s="10">
        <v>681.69</v>
      </c>
      <c r="AP20" s="11">
        <v>30</v>
      </c>
      <c r="AQ20" s="12">
        <f t="shared" si="44"/>
        <v>19.325335121561249</v>
      </c>
      <c r="AR20" s="12">
        <f t="shared" si="45"/>
        <v>672.123291015625</v>
      </c>
      <c r="AS20" s="9">
        <f t="shared" si="46"/>
        <v>19.325335121561249</v>
      </c>
      <c r="AT20" s="9">
        <f t="shared" si="47"/>
        <v>672.123291015625</v>
      </c>
      <c r="AU20" s="9">
        <v>80.999189077410847</v>
      </c>
      <c r="AV20" s="9">
        <f t="shared" si="48"/>
        <v>30</v>
      </c>
      <c r="AW20" s="9">
        <f t="shared" ca="1" si="49"/>
        <v>1.8999728495607504</v>
      </c>
      <c r="AX20" s="9">
        <f t="shared" si="50"/>
        <v>180</v>
      </c>
      <c r="AY20" s="9">
        <f t="shared" si="51"/>
        <v>19.325335121561249</v>
      </c>
      <c r="AZ20" s="9">
        <f t="shared" si="52"/>
        <v>681.69</v>
      </c>
      <c r="BA20" s="13">
        <f t="shared" ca="1" si="53"/>
        <v>5301.0537575777544</v>
      </c>
      <c r="BB20" s="10">
        <f t="shared" si="54"/>
        <v>11.161495208740234</v>
      </c>
      <c r="BC20" s="9">
        <f t="shared" ca="1" si="55"/>
        <v>5301.0537575777544</v>
      </c>
      <c r="BD20" s="9">
        <f t="shared" si="56"/>
        <v>14.555149078369141</v>
      </c>
      <c r="BE20" s="9">
        <f t="shared" si="57"/>
        <v>21.47</v>
      </c>
      <c r="BF20" s="9">
        <f t="shared" si="58"/>
        <v>29.032192230224609</v>
      </c>
      <c r="BG20" s="7">
        <f t="shared" si="59"/>
        <v>21.47</v>
      </c>
      <c r="BH20" s="9">
        <f t="shared" si="60"/>
        <v>37</v>
      </c>
      <c r="BJ20" s="3"/>
      <c r="BK20" s="3"/>
      <c r="BL20" s="3"/>
      <c r="BM20" s="3"/>
      <c r="BP20" s="3"/>
      <c r="BT20" s="3"/>
      <c r="DF20" s="20">
        <v>0.21890000000000001</v>
      </c>
      <c r="DG20" s="15">
        <f t="shared" si="61"/>
        <v>0.89565581745571565</v>
      </c>
      <c r="DH20" s="15">
        <f t="shared" ca="1" si="62"/>
        <v>253.47462634110002</v>
      </c>
      <c r="DI20" s="100">
        <f t="shared" ca="1" si="63"/>
        <v>1.0247868715214843</v>
      </c>
      <c r="DJ20" s="20">
        <f t="shared" si="64"/>
        <v>1.3236220426885135</v>
      </c>
      <c r="DK20" s="25">
        <f t="shared" si="65"/>
        <v>0.32533512156124822</v>
      </c>
      <c r="DL20" s="26">
        <f t="shared" si="0"/>
        <v>0.02</v>
      </c>
      <c r="DM20" s="15">
        <f t="shared" si="1"/>
        <v>672.123291015625</v>
      </c>
      <c r="DN20" s="41">
        <f t="shared" si="2"/>
        <v>473</v>
      </c>
      <c r="DO20" s="15">
        <f t="shared" ca="1" si="3"/>
        <v>418.64866467452498</v>
      </c>
      <c r="DP20" s="26">
        <f t="shared" si="4"/>
        <v>453</v>
      </c>
      <c r="DQ20" s="21">
        <f t="shared" ca="1" si="5"/>
        <v>2816.5993052117487</v>
      </c>
      <c r="DR20" s="21">
        <v>2.87E-2</v>
      </c>
      <c r="DS20" s="26">
        <f t="shared" si="6"/>
        <v>303</v>
      </c>
      <c r="DT20" s="102">
        <f t="shared" ca="1" si="7"/>
        <v>125.80344444444444</v>
      </c>
      <c r="DU20" s="15">
        <f t="shared" si="8"/>
        <v>165</v>
      </c>
      <c r="DV20" s="15">
        <f t="shared" ca="1" si="9"/>
        <v>690.58718083896258</v>
      </c>
      <c r="DW20" s="15">
        <f t="shared" ca="1" si="10"/>
        <v>2790.6388281929471</v>
      </c>
      <c r="DX20" s="15">
        <f t="shared" si="11"/>
        <v>1.0549732362533721</v>
      </c>
      <c r="DY20" s="15">
        <f t="shared" si="12"/>
        <v>0</v>
      </c>
      <c r="DZ20" s="15">
        <f t="shared" si="13"/>
        <v>0</v>
      </c>
      <c r="EA20" s="15">
        <f t="shared" si="14"/>
        <v>0</v>
      </c>
      <c r="EB20" s="15">
        <f t="shared" si="15"/>
        <v>302.03219223022461</v>
      </c>
      <c r="EC20" s="15">
        <f t="shared" ca="1" si="16"/>
        <v>121.58739472707113</v>
      </c>
      <c r="ED20" s="15">
        <f t="shared" ca="1" si="17"/>
        <v>154.93355555555553</v>
      </c>
      <c r="EE20" s="15">
        <f t="shared" ca="1" si="18"/>
        <v>60.999360576205788</v>
      </c>
      <c r="EF20" s="15">
        <f t="shared" ca="1" si="19"/>
        <v>46.796542059156636</v>
      </c>
      <c r="EG20" s="17">
        <f t="shared" si="66"/>
        <v>672.123291015625</v>
      </c>
      <c r="EH20" s="17">
        <f t="shared" si="20"/>
        <v>303</v>
      </c>
      <c r="EI20" s="17">
        <f t="shared" si="67"/>
        <v>672.123291015625</v>
      </c>
      <c r="EJ20" s="17">
        <f t="shared" si="68"/>
        <v>672.123291015625</v>
      </c>
      <c r="EK20" s="17">
        <f t="shared" si="69"/>
        <v>303</v>
      </c>
      <c r="EL20" s="15">
        <f t="shared" ca="1" si="21"/>
        <v>125.80344444444444</v>
      </c>
      <c r="EM20" s="108">
        <v>104.83</v>
      </c>
      <c r="EN20" s="21">
        <f t="shared" ca="1" si="22"/>
        <v>0.43681333333333322</v>
      </c>
      <c r="EO20" s="109">
        <v>0.36720000000000003</v>
      </c>
      <c r="EP20" s="26">
        <f t="shared" si="23"/>
        <v>10.000062092517851</v>
      </c>
      <c r="EQ20" s="17">
        <f t="shared" si="70"/>
        <v>453</v>
      </c>
      <c r="ER20" s="15">
        <f t="shared" ca="1" si="24"/>
        <v>2816.5993052117487</v>
      </c>
      <c r="ES20" s="108">
        <v>104.83</v>
      </c>
      <c r="ET20" s="15">
        <f t="shared" ca="1" si="25"/>
        <v>6.5855309782608691</v>
      </c>
      <c r="EU20" s="109">
        <v>0.36720000000000003</v>
      </c>
      <c r="EV20" s="17">
        <f t="shared" ca="1" si="71"/>
        <v>691.64866467452498</v>
      </c>
      <c r="EW20" s="17">
        <f t="shared" si="72"/>
        <v>284.16149520874023</v>
      </c>
      <c r="EX20" s="15">
        <f t="shared" ca="1" si="26"/>
        <v>46.796542059156636</v>
      </c>
      <c r="EY20" s="108">
        <v>104.83</v>
      </c>
      <c r="EZ20" s="21">
        <f t="shared" ca="1" si="27"/>
        <v>0.16221862763298883</v>
      </c>
      <c r="FA20" s="109">
        <v>0.36720000000000003</v>
      </c>
      <c r="FB20" s="17">
        <f t="shared" si="73"/>
        <v>287.55514907836914</v>
      </c>
      <c r="FC20" s="15">
        <f t="shared" ca="1" si="28"/>
        <v>60.999360576205788</v>
      </c>
      <c r="FD20" s="108">
        <v>104.83</v>
      </c>
      <c r="FE20" s="21">
        <f t="shared" ca="1" si="29"/>
        <v>0.20954124548170303</v>
      </c>
      <c r="FF20" s="109">
        <v>0.36720000000000003</v>
      </c>
      <c r="FG20" s="17">
        <f t="shared" si="74"/>
        <v>302.03219223022461</v>
      </c>
      <c r="FH20" s="15">
        <f t="shared" ca="1" si="30"/>
        <v>121.58739472707113</v>
      </c>
      <c r="FI20" s="108">
        <v>104.83</v>
      </c>
      <c r="FJ20" s="21">
        <f t="shared" ca="1" si="31"/>
        <v>0.41141556943257646</v>
      </c>
      <c r="FK20" s="109">
        <v>0.36720000000000003</v>
      </c>
      <c r="FL20" s="17">
        <f t="shared" si="75"/>
        <v>310</v>
      </c>
      <c r="FM20" s="15">
        <f t="shared" ca="1" si="32"/>
        <v>154.93355555555553</v>
      </c>
      <c r="FN20" s="108">
        <v>104.83</v>
      </c>
      <c r="FO20" s="21">
        <f t="shared" ca="1" si="33"/>
        <v>0.52252222222222222</v>
      </c>
      <c r="FP20" s="106">
        <v>0.36720000000000003</v>
      </c>
      <c r="FQ20" s="15">
        <f t="shared" si="76"/>
        <v>16773.137852359618</v>
      </c>
      <c r="FR20" s="15">
        <f t="shared" si="34"/>
        <v>2774.3560250746023</v>
      </c>
      <c r="FS20" s="15">
        <f t="shared" si="35"/>
        <v>1831.0749765492376</v>
      </c>
      <c r="FT20" s="15">
        <f t="shared" si="77"/>
        <v>943.28104852536501</v>
      </c>
      <c r="FU20" s="15">
        <f t="shared" si="36"/>
        <v>4658.2328431211854</v>
      </c>
      <c r="FV20" s="15">
        <f t="shared" ca="1" si="78"/>
        <v>24.996661103818916</v>
      </c>
      <c r="FW20" s="15">
        <f t="shared" ca="1" si="37"/>
        <v>3024.0821821935906</v>
      </c>
      <c r="FX20" s="15">
        <f t="shared" ca="1" si="38"/>
        <v>2261.727424344414</v>
      </c>
      <c r="FY20" s="15">
        <f t="shared" ca="1" si="79"/>
        <v>65.288600111110782</v>
      </c>
      <c r="FZ20" s="15">
        <f t="shared" ca="1" si="80"/>
        <v>65.288600111110782</v>
      </c>
      <c r="GA20" s="15">
        <f t="shared" ca="1" si="81"/>
        <v>20885.95670089691</v>
      </c>
      <c r="GB20" s="21">
        <f t="shared" ca="1" si="82"/>
        <v>54.351335325474999</v>
      </c>
      <c r="GC20" s="15">
        <f t="shared" ca="1" si="83"/>
        <v>21606.553805997348</v>
      </c>
      <c r="GD20" s="82">
        <f t="shared" si="39"/>
        <v>19.325335121561249</v>
      </c>
      <c r="GE20" s="82">
        <f t="shared" ca="1" si="84"/>
        <v>1.8999728495607504</v>
      </c>
      <c r="GF20" s="82">
        <f t="shared" ca="1" si="85"/>
        <v>5301.0537575777544</v>
      </c>
      <c r="GG20" s="110">
        <f t="shared" si="86"/>
        <v>0.28627359155781462</v>
      </c>
      <c r="GH20" s="110">
        <f t="shared" ca="1" si="87"/>
        <v>0.11319005417291993</v>
      </c>
      <c r="GI20" s="110">
        <f t="shared" si="88"/>
        <v>0.62857013124439487</v>
      </c>
      <c r="GJ20" s="110">
        <f t="shared" si="89"/>
        <v>0.33275987157981324</v>
      </c>
      <c r="GK20" s="110">
        <f t="shared" ca="1" si="90"/>
        <v>1.874867773353069</v>
      </c>
      <c r="GL20" s="110">
        <f t="shared" ca="1" si="91"/>
        <v>9.5531201388072837</v>
      </c>
      <c r="GM20" s="114">
        <f t="shared" si="40"/>
        <v>44.907347336716889</v>
      </c>
      <c r="GN20" s="114">
        <f t="shared" ca="1" si="41"/>
        <v>10.868180647478098</v>
      </c>
      <c r="GO20" s="114">
        <f t="shared" ca="1" si="42"/>
        <v>-36996.532751975727</v>
      </c>
    </row>
    <row r="21" spans="1:197" x14ac:dyDescent="0.25">
      <c r="A21" s="6">
        <v>18</v>
      </c>
      <c r="B21" s="86">
        <v>27838.234400719404</v>
      </c>
      <c r="C21" s="86">
        <v>17</v>
      </c>
      <c r="D21" s="9">
        <v>19</v>
      </c>
      <c r="E21" s="8">
        <v>50016</v>
      </c>
      <c r="F21" s="28">
        <v>2</v>
      </c>
      <c r="G21" s="28">
        <v>0.05</v>
      </c>
      <c r="H21" s="87">
        <v>403.57318115234375</v>
      </c>
      <c r="I21" s="42">
        <v>180</v>
      </c>
      <c r="J21" s="87">
        <v>90</v>
      </c>
      <c r="K21" s="28">
        <v>30</v>
      </c>
      <c r="L21" s="28">
        <v>21.47</v>
      </c>
      <c r="M21" s="13">
        <v>28.241479873657227</v>
      </c>
      <c r="N21" s="28">
        <v>37</v>
      </c>
      <c r="O21" s="13">
        <v>14.034296989440918</v>
      </c>
      <c r="P21" s="13">
        <v>11.104429244995117</v>
      </c>
      <c r="Q21" s="85">
        <v>9291.461998026818</v>
      </c>
      <c r="R21" s="86">
        <v>78457.867582395673</v>
      </c>
      <c r="S21" s="7">
        <v>3.398554801940918</v>
      </c>
      <c r="T21" s="86">
        <v>76807.379166297615</v>
      </c>
      <c r="U21" s="86">
        <f t="shared" si="43"/>
        <v>4518.0811274292719</v>
      </c>
      <c r="V21" s="7">
        <v>14</v>
      </c>
      <c r="W21" s="7">
        <v>14</v>
      </c>
      <c r="X21" s="6">
        <v>10</v>
      </c>
      <c r="Y21" s="6">
        <v>5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43"/>
      <c r="AO21" s="10">
        <v>681.69</v>
      </c>
      <c r="AP21" s="11">
        <v>30</v>
      </c>
      <c r="AQ21" s="12">
        <f t="shared" si="44"/>
        <v>19.323548720463553</v>
      </c>
      <c r="AR21" s="12">
        <f t="shared" si="45"/>
        <v>676.57318115234375</v>
      </c>
      <c r="AS21" s="9">
        <f t="shared" si="46"/>
        <v>19.323548720463553</v>
      </c>
      <c r="AT21" s="9">
        <f t="shared" si="47"/>
        <v>676.57318115234375</v>
      </c>
      <c r="AU21" s="9">
        <v>85.319385394337587</v>
      </c>
      <c r="AV21" s="9">
        <f t="shared" si="48"/>
        <v>30</v>
      </c>
      <c r="AW21" s="9">
        <f t="shared" ca="1" si="49"/>
        <v>1.9443197590065311</v>
      </c>
      <c r="AX21" s="9">
        <f t="shared" si="50"/>
        <v>180</v>
      </c>
      <c r="AY21" s="9">
        <f t="shared" si="51"/>
        <v>19.323548720463553</v>
      </c>
      <c r="AZ21" s="9">
        <f t="shared" si="52"/>
        <v>681.69</v>
      </c>
      <c r="BA21" s="13">
        <f t="shared" ca="1" si="53"/>
        <v>5412.1874585838741</v>
      </c>
      <c r="BB21" s="10">
        <f t="shared" si="54"/>
        <v>11.104429244995117</v>
      </c>
      <c r="BC21" s="9">
        <f t="shared" ca="1" si="55"/>
        <v>5412.1874585838741</v>
      </c>
      <c r="BD21" s="9">
        <f t="shared" si="56"/>
        <v>14.034296989440918</v>
      </c>
      <c r="BE21" s="9">
        <f t="shared" si="57"/>
        <v>21.47</v>
      </c>
      <c r="BF21" s="9">
        <f t="shared" si="58"/>
        <v>28.241479873657227</v>
      </c>
      <c r="BG21" s="7">
        <f t="shared" si="59"/>
        <v>21.47</v>
      </c>
      <c r="BH21" s="9">
        <f t="shared" si="60"/>
        <v>37</v>
      </c>
      <c r="BJ21" s="3"/>
      <c r="BK21" s="3"/>
      <c r="BL21" s="3"/>
      <c r="BM21" s="3"/>
      <c r="BP21" s="3"/>
      <c r="BT21" s="3"/>
      <c r="DF21" s="20">
        <v>0.21890000000000001</v>
      </c>
      <c r="DG21" s="15">
        <f t="shared" si="61"/>
        <v>0.94404300053914392</v>
      </c>
      <c r="DH21" s="15">
        <f t="shared" ca="1" si="62"/>
        <v>259.19826267576474</v>
      </c>
      <c r="DI21" s="100">
        <f t="shared" ca="1" si="63"/>
        <v>1.0258452630659904</v>
      </c>
      <c r="DJ21" s="20">
        <f t="shared" si="64"/>
        <v>1.3942191330909988</v>
      </c>
      <c r="DK21" s="25">
        <f t="shared" si="65"/>
        <v>0.32354872046355332</v>
      </c>
      <c r="DL21" s="26">
        <f t="shared" si="0"/>
        <v>0.02</v>
      </c>
      <c r="DM21" s="15">
        <f t="shared" si="1"/>
        <v>676.57318115234375</v>
      </c>
      <c r="DN21" s="41">
        <f t="shared" si="2"/>
        <v>473</v>
      </c>
      <c r="DO21" s="15">
        <f t="shared" ca="1" si="3"/>
        <v>417.37491847657901</v>
      </c>
      <c r="DP21" s="26">
        <f t="shared" si="4"/>
        <v>453</v>
      </c>
      <c r="DQ21" s="21">
        <f t="shared" ca="1" si="5"/>
        <v>2816.5993052117487</v>
      </c>
      <c r="DR21" s="21">
        <v>2.87E-2</v>
      </c>
      <c r="DS21" s="26">
        <f t="shared" si="6"/>
        <v>303</v>
      </c>
      <c r="DT21" s="102">
        <f t="shared" ca="1" si="7"/>
        <v>125.80344444444444</v>
      </c>
      <c r="DU21" s="15">
        <f t="shared" si="8"/>
        <v>165</v>
      </c>
      <c r="DV21" s="15">
        <f t="shared" ca="1" si="9"/>
        <v>690.58718083896258</v>
      </c>
      <c r="DW21" s="15">
        <f t="shared" ca="1" si="10"/>
        <v>2790.6388281929471</v>
      </c>
      <c r="DX21" s="15">
        <f t="shared" si="11"/>
        <v>1.0559903218252717</v>
      </c>
      <c r="DY21" s="15">
        <f t="shared" si="12"/>
        <v>0</v>
      </c>
      <c r="DZ21" s="15">
        <f t="shared" si="13"/>
        <v>0</v>
      </c>
      <c r="EA21" s="15">
        <f t="shared" si="14"/>
        <v>0</v>
      </c>
      <c r="EB21" s="15">
        <f t="shared" si="15"/>
        <v>301.24147987365723</v>
      </c>
      <c r="EC21" s="15">
        <f t="shared" ca="1" si="16"/>
        <v>118.27817565790812</v>
      </c>
      <c r="ED21" s="15">
        <f t="shared" ca="1" si="17"/>
        <v>154.93355555555553</v>
      </c>
      <c r="EE21" s="15">
        <f t="shared" ca="1" si="18"/>
        <v>58.819536711586849</v>
      </c>
      <c r="EF21" s="15">
        <f t="shared" ca="1" si="19"/>
        <v>46.557714660220682</v>
      </c>
      <c r="EG21" s="17">
        <f t="shared" si="66"/>
        <v>676.57318115234375</v>
      </c>
      <c r="EH21" s="17">
        <f t="shared" si="20"/>
        <v>303</v>
      </c>
      <c r="EI21" s="17">
        <f t="shared" si="67"/>
        <v>676.57318115234375</v>
      </c>
      <c r="EJ21" s="17">
        <f t="shared" si="68"/>
        <v>676.57318115234375</v>
      </c>
      <c r="EK21" s="17">
        <f t="shared" si="69"/>
        <v>303</v>
      </c>
      <c r="EL21" s="15">
        <f t="shared" ca="1" si="21"/>
        <v>125.80344444444444</v>
      </c>
      <c r="EM21" s="108">
        <v>104.83</v>
      </c>
      <c r="EN21" s="21">
        <f t="shared" ca="1" si="22"/>
        <v>0.43681333333333322</v>
      </c>
      <c r="EO21" s="109">
        <v>0.36720000000000003</v>
      </c>
      <c r="EP21" s="26">
        <f t="shared" si="23"/>
        <v>10.000062092517851</v>
      </c>
      <c r="EQ21" s="17">
        <f t="shared" si="70"/>
        <v>453</v>
      </c>
      <c r="ER21" s="15">
        <f t="shared" ca="1" si="24"/>
        <v>2816.5993052117487</v>
      </c>
      <c r="ES21" s="108">
        <v>104.83</v>
      </c>
      <c r="ET21" s="15">
        <f t="shared" ca="1" si="25"/>
        <v>6.5855309782608691</v>
      </c>
      <c r="EU21" s="109">
        <v>0.36720000000000003</v>
      </c>
      <c r="EV21" s="17">
        <f t="shared" ca="1" si="71"/>
        <v>690.37491847657907</v>
      </c>
      <c r="EW21" s="17">
        <f t="shared" si="72"/>
        <v>284.10442924499512</v>
      </c>
      <c r="EX21" s="15">
        <f t="shared" ca="1" si="26"/>
        <v>46.557714660220682</v>
      </c>
      <c r="EY21" s="108">
        <v>104.83</v>
      </c>
      <c r="EZ21" s="21">
        <f t="shared" ca="1" si="27"/>
        <v>0.16142287447187637</v>
      </c>
      <c r="FA21" s="109">
        <v>0.36720000000000003</v>
      </c>
      <c r="FB21" s="17">
        <f t="shared" si="73"/>
        <v>287.03429698944092</v>
      </c>
      <c r="FC21" s="15">
        <f t="shared" ca="1" si="28"/>
        <v>58.819536711586849</v>
      </c>
      <c r="FD21" s="108">
        <v>104.83</v>
      </c>
      <c r="FE21" s="21">
        <f t="shared" ca="1" si="29"/>
        <v>0.20227825246387057</v>
      </c>
      <c r="FF21" s="109">
        <v>0.36720000000000003</v>
      </c>
      <c r="FG21" s="17">
        <f t="shared" si="74"/>
        <v>301.24147987365723</v>
      </c>
      <c r="FH21" s="15">
        <f t="shared" ca="1" si="30"/>
        <v>118.27817565790812</v>
      </c>
      <c r="FI21" s="108">
        <v>104.83</v>
      </c>
      <c r="FJ21" s="21">
        <f t="shared" ca="1" si="31"/>
        <v>0.40038952490488688</v>
      </c>
      <c r="FK21" s="109">
        <v>0.36720000000000003</v>
      </c>
      <c r="FL21" s="17">
        <f t="shared" si="75"/>
        <v>310</v>
      </c>
      <c r="FM21" s="15">
        <f t="shared" ca="1" si="32"/>
        <v>154.93355555555553</v>
      </c>
      <c r="FN21" s="108">
        <v>104.83</v>
      </c>
      <c r="FO21" s="21">
        <f t="shared" ca="1" si="33"/>
        <v>0.52252222222222222</v>
      </c>
      <c r="FP21" s="106">
        <v>0.36720000000000003</v>
      </c>
      <c r="FQ21" s="15">
        <f t="shared" si="76"/>
        <v>16681.037277028401</v>
      </c>
      <c r="FR21" s="15">
        <f t="shared" si="34"/>
        <v>2830.3323689160893</v>
      </c>
      <c r="FS21" s="15">
        <f t="shared" si="35"/>
        <v>1868.0193634846189</v>
      </c>
      <c r="FT21" s="15">
        <f t="shared" si="77"/>
        <v>962.31300543147029</v>
      </c>
      <c r="FU21" s="15">
        <f t="shared" si="36"/>
        <v>4518.0811274292719</v>
      </c>
      <c r="FV21" s="15">
        <f t="shared" ca="1" si="78"/>
        <v>26.329890293718314</v>
      </c>
      <c r="FW21" s="15">
        <f t="shared" ca="1" si="37"/>
        <v>3007.2808475851789</v>
      </c>
      <c r="FX21" s="15">
        <f t="shared" ca="1" si="38"/>
        <v>2383.9156766101619</v>
      </c>
      <c r="FY21" s="15">
        <f t="shared" ca="1" si="79"/>
        <v>65.288600111110782</v>
      </c>
      <c r="FZ21" s="15">
        <f t="shared" ca="1" si="80"/>
        <v>65.288600111110782</v>
      </c>
      <c r="GA21" s="15">
        <f t="shared" ca="1" si="81"/>
        <v>21436.733966637654</v>
      </c>
      <c r="GB21" s="21">
        <f t="shared" ca="1" si="82"/>
        <v>55.625081523420988</v>
      </c>
      <c r="GC21" s="15">
        <f t="shared" ca="1" si="83"/>
        <v>22071.894649190821</v>
      </c>
      <c r="GD21" s="82">
        <f t="shared" si="39"/>
        <v>19.323548720463553</v>
      </c>
      <c r="GE21" s="82">
        <f t="shared" ca="1" si="84"/>
        <v>1.9443197590065311</v>
      </c>
      <c r="GF21" s="82">
        <f t="shared" ca="1" si="85"/>
        <v>5412.1874585838741</v>
      </c>
      <c r="GG21" s="110">
        <f t="shared" si="86"/>
        <v>0.27919355066531837</v>
      </c>
      <c r="GH21" s="110">
        <f t="shared" ca="1" si="87"/>
        <v>0.11914373827253213</v>
      </c>
      <c r="GI21" s="110">
        <f t="shared" si="88"/>
        <v>0.62264003545655</v>
      </c>
      <c r="GJ21" s="110">
        <f t="shared" si="89"/>
        <v>0.32619864168668028</v>
      </c>
      <c r="GK21" s="110">
        <f t="shared" ca="1" si="90"/>
        <v>2.0693983069020749</v>
      </c>
      <c r="GL21" s="110">
        <f t="shared" ca="1" si="91"/>
        <v>9.2586725553045657</v>
      </c>
      <c r="GM21" s="114">
        <f t="shared" si="40"/>
        <v>45.900515050647336</v>
      </c>
      <c r="GN21" s="114">
        <f t="shared" ca="1" si="41"/>
        <v>10.580628695006899</v>
      </c>
      <c r="GO21" s="114">
        <f t="shared" ca="1" si="42"/>
        <v>-30443.609589070082</v>
      </c>
    </row>
    <row r="22" spans="1:197" x14ac:dyDescent="0.25">
      <c r="A22" s="6">
        <v>19</v>
      </c>
      <c r="B22" s="86">
        <v>25149.110038459301</v>
      </c>
      <c r="C22" s="86">
        <v>17</v>
      </c>
      <c r="D22" s="9">
        <v>19</v>
      </c>
      <c r="E22" s="8">
        <v>50016</v>
      </c>
      <c r="F22" s="28">
        <v>2</v>
      </c>
      <c r="G22" s="28">
        <v>0.05</v>
      </c>
      <c r="H22" s="87">
        <v>403.91864013671875</v>
      </c>
      <c r="I22" s="42">
        <v>180</v>
      </c>
      <c r="J22" s="87">
        <v>90</v>
      </c>
      <c r="K22" s="28">
        <v>30</v>
      </c>
      <c r="L22" s="28">
        <v>21.47</v>
      </c>
      <c r="M22" s="13">
        <v>28.62391471862793</v>
      </c>
      <c r="N22" s="28">
        <v>37</v>
      </c>
      <c r="O22" s="13">
        <v>12.974366188049316</v>
      </c>
      <c r="P22" s="13">
        <v>10.127529144287109</v>
      </c>
      <c r="Q22" s="85">
        <v>8808.4682339895517</v>
      </c>
      <c r="R22" s="86">
        <v>83485.808589756489</v>
      </c>
      <c r="S22" s="7">
        <v>3.6129274368286133</v>
      </c>
      <c r="T22" s="86">
        <v>66977.064444094896</v>
      </c>
      <c r="U22" s="86">
        <f t="shared" si="43"/>
        <v>3939.8273202408764</v>
      </c>
      <c r="V22" s="7">
        <v>14</v>
      </c>
      <c r="W22" s="7">
        <v>14</v>
      </c>
      <c r="X22" s="6">
        <v>10</v>
      </c>
      <c r="Y22" s="6">
        <v>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43"/>
      <c r="AO22" s="10">
        <v>681.69</v>
      </c>
      <c r="AP22" s="11">
        <v>30</v>
      </c>
      <c r="AQ22" s="12">
        <f t="shared" si="44"/>
        <v>19.292294484506904</v>
      </c>
      <c r="AR22" s="12">
        <f t="shared" si="45"/>
        <v>676.91864013671875</v>
      </c>
      <c r="AS22" s="9">
        <f t="shared" si="46"/>
        <v>19.292294484506904</v>
      </c>
      <c r="AT22" s="9">
        <f t="shared" si="47"/>
        <v>676.91864013671875</v>
      </c>
      <c r="AU22" s="9">
        <v>90.12323800692684</v>
      </c>
      <c r="AV22" s="9">
        <f t="shared" si="48"/>
        <v>30</v>
      </c>
      <c r="AW22" s="9">
        <f t="shared" ca="1" si="49"/>
        <v>1.9446296581240512</v>
      </c>
      <c r="AX22" s="9">
        <f t="shared" si="50"/>
        <v>180</v>
      </c>
      <c r="AY22" s="9">
        <f t="shared" si="51"/>
        <v>19.292294484506904</v>
      </c>
      <c r="AZ22" s="9">
        <f t="shared" si="52"/>
        <v>681.69</v>
      </c>
      <c r="BA22" s="13">
        <f t="shared" ca="1" si="53"/>
        <v>5414.0725949223533</v>
      </c>
      <c r="BB22" s="10">
        <f t="shared" si="54"/>
        <v>10.127529144287109</v>
      </c>
      <c r="BC22" s="9">
        <f t="shared" ca="1" si="55"/>
        <v>5414.0725949223533</v>
      </c>
      <c r="BD22" s="9">
        <f t="shared" si="56"/>
        <v>12.974366188049316</v>
      </c>
      <c r="BE22" s="9">
        <f t="shared" si="57"/>
        <v>21.47</v>
      </c>
      <c r="BF22" s="9">
        <f t="shared" si="58"/>
        <v>28.62391471862793</v>
      </c>
      <c r="BG22" s="7">
        <f t="shared" si="59"/>
        <v>21.47</v>
      </c>
      <c r="BH22" s="9">
        <f t="shared" si="60"/>
        <v>37</v>
      </c>
      <c r="BJ22" s="3"/>
      <c r="BK22" s="3"/>
      <c r="BL22" s="3"/>
      <c r="BM22" s="3"/>
      <c r="BP22" s="3"/>
      <c r="BT22" s="3"/>
      <c r="DF22" s="20">
        <v>0.21890000000000001</v>
      </c>
      <c r="DG22" s="15">
        <f t="shared" si="61"/>
        <v>1.0035909546746149</v>
      </c>
      <c r="DH22" s="15">
        <f t="shared" ca="1" si="62"/>
        <v>259.64271663791419</v>
      </c>
      <c r="DI22" s="100">
        <f t="shared" ca="1" si="63"/>
        <v>1.0259279341671246</v>
      </c>
      <c r="DJ22" s="20">
        <f t="shared" si="64"/>
        <v>1.4727197363720161</v>
      </c>
      <c r="DK22" s="25">
        <f t="shared" si="65"/>
        <v>0.29229448450690293</v>
      </c>
      <c r="DL22" s="26">
        <f t="shared" si="0"/>
        <v>0.02</v>
      </c>
      <c r="DM22" s="15">
        <f t="shared" si="1"/>
        <v>676.91864013671875</v>
      </c>
      <c r="DN22" s="41">
        <f t="shared" si="2"/>
        <v>473</v>
      </c>
      <c r="DO22" s="15">
        <f t="shared" ca="1" si="3"/>
        <v>417.27592349880456</v>
      </c>
      <c r="DP22" s="26">
        <f t="shared" si="4"/>
        <v>453</v>
      </c>
      <c r="DQ22" s="21">
        <f t="shared" ca="1" si="5"/>
        <v>2816.5993052117487</v>
      </c>
      <c r="DR22" s="21">
        <v>2.87E-2</v>
      </c>
      <c r="DS22" s="26">
        <f t="shared" si="6"/>
        <v>303</v>
      </c>
      <c r="DT22" s="102">
        <f t="shared" ca="1" si="7"/>
        <v>125.80344444444444</v>
      </c>
      <c r="DU22" s="15">
        <f t="shared" si="8"/>
        <v>165</v>
      </c>
      <c r="DV22" s="15">
        <f t="shared" ca="1" si="9"/>
        <v>690.58718083896258</v>
      </c>
      <c r="DW22" s="15">
        <f t="shared" ca="1" si="10"/>
        <v>2790.6388281929471</v>
      </c>
      <c r="DX22" s="15">
        <f t="shared" si="11"/>
        <v>1.0560694860529831</v>
      </c>
      <c r="DY22" s="15">
        <f t="shared" si="12"/>
        <v>0</v>
      </c>
      <c r="DZ22" s="15">
        <f t="shared" si="13"/>
        <v>0</v>
      </c>
      <c r="EA22" s="15">
        <f t="shared" si="14"/>
        <v>0</v>
      </c>
      <c r="EB22" s="15">
        <f t="shared" si="15"/>
        <v>301.62391471862793</v>
      </c>
      <c r="EC22" s="15">
        <f t="shared" ca="1" si="16"/>
        <v>119.87870797687107</v>
      </c>
      <c r="ED22" s="15">
        <f t="shared" ca="1" si="17"/>
        <v>154.93355555555553</v>
      </c>
      <c r="EE22" s="15">
        <f t="shared" ca="1" si="18"/>
        <v>54.383608537673958</v>
      </c>
      <c r="EF22" s="15">
        <f t="shared" ca="1" si="19"/>
        <v>42.46927919430204</v>
      </c>
      <c r="EG22" s="17">
        <f t="shared" si="66"/>
        <v>676.91864013671875</v>
      </c>
      <c r="EH22" s="17">
        <f t="shared" si="20"/>
        <v>303</v>
      </c>
      <c r="EI22" s="17">
        <f t="shared" si="67"/>
        <v>676.91864013671875</v>
      </c>
      <c r="EJ22" s="17">
        <f t="shared" si="68"/>
        <v>676.91864013671875</v>
      </c>
      <c r="EK22" s="17">
        <f t="shared" si="69"/>
        <v>303</v>
      </c>
      <c r="EL22" s="15">
        <f t="shared" ca="1" si="21"/>
        <v>125.80344444444444</v>
      </c>
      <c r="EM22" s="108">
        <v>104.83</v>
      </c>
      <c r="EN22" s="21">
        <f t="shared" ca="1" si="22"/>
        <v>0.43681333333333322</v>
      </c>
      <c r="EO22" s="109">
        <v>0.36720000000000003</v>
      </c>
      <c r="EP22" s="26">
        <f t="shared" si="23"/>
        <v>10.000062092517851</v>
      </c>
      <c r="EQ22" s="17">
        <f t="shared" si="70"/>
        <v>453</v>
      </c>
      <c r="ER22" s="15">
        <f t="shared" ca="1" si="24"/>
        <v>2816.5993052117487</v>
      </c>
      <c r="ES22" s="108">
        <v>104.83</v>
      </c>
      <c r="ET22" s="15">
        <f t="shared" ca="1" si="25"/>
        <v>6.5855309782608691</v>
      </c>
      <c r="EU22" s="109">
        <v>0.36720000000000003</v>
      </c>
      <c r="EV22" s="17">
        <f t="shared" ca="1" si="71"/>
        <v>690.27592349880456</v>
      </c>
      <c r="EW22" s="17">
        <f t="shared" si="72"/>
        <v>283.12752914428711</v>
      </c>
      <c r="EX22" s="15">
        <f t="shared" ca="1" si="26"/>
        <v>42.46927919430204</v>
      </c>
      <c r="EY22" s="108">
        <v>104.83</v>
      </c>
      <c r="EZ22" s="21">
        <f t="shared" ca="1" si="27"/>
        <v>0.14780054528978137</v>
      </c>
      <c r="FA22" s="109">
        <v>0.36720000000000003</v>
      </c>
      <c r="FB22" s="17">
        <f t="shared" si="73"/>
        <v>285.97436618804932</v>
      </c>
      <c r="FC22" s="15">
        <f t="shared" ca="1" si="28"/>
        <v>54.383608537673958</v>
      </c>
      <c r="FD22" s="108">
        <v>104.83</v>
      </c>
      <c r="FE22" s="21">
        <f t="shared" ca="1" si="29"/>
        <v>0.18749810628890992</v>
      </c>
      <c r="FF22" s="109">
        <v>0.36720000000000003</v>
      </c>
      <c r="FG22" s="17">
        <f t="shared" si="74"/>
        <v>301.62391471862793</v>
      </c>
      <c r="FH22" s="15">
        <f t="shared" ca="1" si="30"/>
        <v>119.87870797687107</v>
      </c>
      <c r="FI22" s="108">
        <v>104.83</v>
      </c>
      <c r="FJ22" s="21">
        <f t="shared" ca="1" si="31"/>
        <v>0.40572236635420056</v>
      </c>
      <c r="FK22" s="109">
        <v>0.36720000000000003</v>
      </c>
      <c r="FL22" s="17">
        <f t="shared" si="75"/>
        <v>310</v>
      </c>
      <c r="FM22" s="15">
        <f t="shared" ca="1" si="32"/>
        <v>154.93355555555553</v>
      </c>
      <c r="FN22" s="108">
        <v>104.83</v>
      </c>
      <c r="FO22" s="21">
        <f t="shared" ca="1" si="33"/>
        <v>0.52252222222222222</v>
      </c>
      <c r="FP22" s="106">
        <v>0.36720000000000003</v>
      </c>
      <c r="FQ22" s="15">
        <f t="shared" si="76"/>
        <v>15069.678485959852</v>
      </c>
      <c r="FR22" s="15">
        <f t="shared" si="34"/>
        <v>2830.1297891074382</v>
      </c>
      <c r="FS22" s="15">
        <f t="shared" si="35"/>
        <v>1867.8856608109097</v>
      </c>
      <c r="FT22" s="15">
        <f t="shared" si="77"/>
        <v>962.24412829652897</v>
      </c>
      <c r="FU22" s="15">
        <f t="shared" si="36"/>
        <v>3939.8273202408764</v>
      </c>
      <c r="FV22" s="15">
        <f t="shared" ca="1" si="78"/>
        <v>27.812377675596029</v>
      </c>
      <c r="FW22" s="15">
        <f t="shared" ca="1" si="37"/>
        <v>3001.1361738031151</v>
      </c>
      <c r="FX22" s="15">
        <f t="shared" ca="1" si="38"/>
        <v>2534.2873241861093</v>
      </c>
      <c r="FY22" s="15">
        <f t="shared" ca="1" si="79"/>
        <v>65.288600111110782</v>
      </c>
      <c r="FZ22" s="15">
        <f t="shared" ca="1" si="80"/>
        <v>65.288600111110782</v>
      </c>
      <c r="GA22" s="15">
        <f t="shared" ca="1" si="81"/>
        <v>21674.061164144954</v>
      </c>
      <c r="GB22" s="21">
        <f t="shared" ca="1" si="82"/>
        <v>55.724076501195427</v>
      </c>
      <c r="GC22" s="15">
        <f t="shared" ca="1" si="83"/>
        <v>22291.436737779852</v>
      </c>
      <c r="GD22" s="82">
        <f t="shared" si="39"/>
        <v>19.292294484506904</v>
      </c>
      <c r="GE22" s="82">
        <f t="shared" ca="1" si="84"/>
        <v>1.9446296581240512</v>
      </c>
      <c r="GF22" s="82">
        <f t="shared" ca="1" si="85"/>
        <v>5414.0725949223533</v>
      </c>
      <c r="GG22" s="110">
        <f t="shared" si="86"/>
        <v>0.26949307548187029</v>
      </c>
      <c r="GH22" s="110">
        <f t="shared" ca="1" si="87"/>
        <v>0.13667407612062546</v>
      </c>
      <c r="GI22" s="110">
        <f t="shared" si="88"/>
        <v>0.55472433992474823</v>
      </c>
      <c r="GJ22" s="110">
        <f t="shared" si="89"/>
        <v>0.32189318559221575</v>
      </c>
      <c r="GK22" s="110">
        <f t="shared" ca="1" si="90"/>
        <v>2.2117571691121336</v>
      </c>
      <c r="GL22" s="110">
        <f t="shared" ca="1" si="91"/>
        <v>8.7959390101668067</v>
      </c>
      <c r="GM22" s="114">
        <f t="shared" si="40"/>
        <v>46.911979771942192</v>
      </c>
      <c r="GN22" s="114">
        <f t="shared" ca="1" si="41"/>
        <v>9.4644190630330058</v>
      </c>
      <c r="GO22" s="114">
        <f t="shared" ca="1" si="42"/>
        <v>-41199.02725467649</v>
      </c>
    </row>
    <row r="23" spans="1:197" x14ac:dyDescent="0.25">
      <c r="A23" s="6">
        <v>20</v>
      </c>
      <c r="B23" s="86">
        <v>25473.472599104047</v>
      </c>
      <c r="C23" s="86">
        <v>17</v>
      </c>
      <c r="D23" s="9">
        <v>19</v>
      </c>
      <c r="E23" s="8">
        <v>50016</v>
      </c>
      <c r="F23" s="28">
        <v>2</v>
      </c>
      <c r="G23" s="28">
        <v>0.05</v>
      </c>
      <c r="H23" s="87">
        <v>387.95660400390625</v>
      </c>
      <c r="I23" s="42">
        <v>180</v>
      </c>
      <c r="J23" s="87">
        <v>90</v>
      </c>
      <c r="K23" s="28">
        <v>30</v>
      </c>
      <c r="L23" s="28">
        <v>21.47</v>
      </c>
      <c r="M23" s="13">
        <v>29.081264495849609</v>
      </c>
      <c r="N23" s="28">
        <v>37</v>
      </c>
      <c r="O23" s="13">
        <v>18.114582061767578</v>
      </c>
      <c r="P23" s="13">
        <v>16.862001419067383</v>
      </c>
      <c r="Q23" s="85">
        <v>0</v>
      </c>
      <c r="R23" s="86">
        <v>0</v>
      </c>
      <c r="S23" s="7">
        <v>3.2502727508544922</v>
      </c>
      <c r="T23" s="86">
        <v>68825.317500732839</v>
      </c>
      <c r="U23" s="86">
        <f t="shared" si="43"/>
        <v>4048.5480882784022</v>
      </c>
      <c r="V23" s="7">
        <v>14</v>
      </c>
      <c r="W23" s="7">
        <v>14</v>
      </c>
      <c r="X23" s="6">
        <v>10</v>
      </c>
      <c r="Y23" s="6">
        <v>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43"/>
      <c r="AO23" s="10">
        <v>681.69</v>
      </c>
      <c r="AP23" s="11">
        <v>30</v>
      </c>
      <c r="AQ23" s="12">
        <f t="shared" si="44"/>
        <v>19.296064374865331</v>
      </c>
      <c r="AR23" s="12">
        <f t="shared" si="45"/>
        <v>660.95660400390625</v>
      </c>
      <c r="AS23" s="9">
        <f t="shared" si="46"/>
        <v>19.296064374865331</v>
      </c>
      <c r="AT23" s="9">
        <f t="shared" si="47"/>
        <v>660.95660400390625</v>
      </c>
      <c r="AU23" s="9">
        <v>79.793126926379045</v>
      </c>
      <c r="AV23" s="9">
        <f t="shared" si="48"/>
        <v>30</v>
      </c>
      <c r="AW23" s="9">
        <f t="shared" ca="1" si="49"/>
        <v>1.7859321602388778</v>
      </c>
      <c r="AX23" s="9">
        <f t="shared" si="50"/>
        <v>180</v>
      </c>
      <c r="AY23" s="9">
        <f t="shared" si="51"/>
        <v>19.296064374865331</v>
      </c>
      <c r="AZ23" s="9">
        <f t="shared" si="52"/>
        <v>681.69</v>
      </c>
      <c r="BA23" s="13">
        <f t="shared" ca="1" si="53"/>
        <v>4894.523301260424</v>
      </c>
      <c r="BB23" s="10">
        <f t="shared" si="54"/>
        <v>16.862001419067383</v>
      </c>
      <c r="BC23" s="9">
        <f t="shared" ca="1" si="55"/>
        <v>4894.523301260424</v>
      </c>
      <c r="BD23" s="9">
        <f t="shared" si="56"/>
        <v>18.114582061767578</v>
      </c>
      <c r="BE23" s="9">
        <f t="shared" si="57"/>
        <v>21.47</v>
      </c>
      <c r="BF23" s="9">
        <f t="shared" si="58"/>
        <v>29.081264495849609</v>
      </c>
      <c r="BG23" s="7">
        <f t="shared" si="59"/>
        <v>21.47</v>
      </c>
      <c r="BH23" s="9">
        <f t="shared" si="60"/>
        <v>37</v>
      </c>
      <c r="BJ23" s="3"/>
      <c r="BK23" s="3"/>
      <c r="BL23" s="3"/>
      <c r="BM23" s="3"/>
      <c r="BP23" s="3"/>
      <c r="BT23" s="3"/>
      <c r="DF23" s="20">
        <v>0.21890000000000001</v>
      </c>
      <c r="DG23" s="15">
        <f t="shared" si="61"/>
        <v>0.90285354190402567</v>
      </c>
      <c r="DH23" s="15">
        <f t="shared" ca="1" si="62"/>
        <v>239.12314705444783</v>
      </c>
      <c r="DI23" s="100">
        <f t="shared" ca="1" si="63"/>
        <v>1.0221846943615012</v>
      </c>
      <c r="DJ23" s="20">
        <f t="shared" si="64"/>
        <v>1.3039135682440057</v>
      </c>
      <c r="DK23" s="25">
        <f t="shared" si="65"/>
        <v>0.29606437486532944</v>
      </c>
      <c r="DL23" s="26">
        <f t="shared" si="0"/>
        <v>0.02</v>
      </c>
      <c r="DM23" s="15">
        <f t="shared" si="1"/>
        <v>660.95660400390625</v>
      </c>
      <c r="DN23" s="41">
        <f t="shared" si="2"/>
        <v>473</v>
      </c>
      <c r="DO23" s="15">
        <f t="shared" ca="1" si="3"/>
        <v>421.83345694945842</v>
      </c>
      <c r="DP23" s="26">
        <f t="shared" si="4"/>
        <v>453</v>
      </c>
      <c r="DQ23" s="21">
        <f t="shared" ca="1" si="5"/>
        <v>2816.5993052117487</v>
      </c>
      <c r="DR23" s="21">
        <v>2.87E-2</v>
      </c>
      <c r="DS23" s="26">
        <f t="shared" si="6"/>
        <v>303</v>
      </c>
      <c r="DT23" s="102">
        <f t="shared" ca="1" si="7"/>
        <v>125.80344444444444</v>
      </c>
      <c r="DU23" s="15">
        <f t="shared" si="8"/>
        <v>165</v>
      </c>
      <c r="DV23" s="15">
        <f t="shared" ca="1" si="9"/>
        <v>690.58718083896258</v>
      </c>
      <c r="DW23" s="15">
        <f t="shared" ca="1" si="10"/>
        <v>2790.6388281929471</v>
      </c>
      <c r="DX23" s="15">
        <f t="shared" si="11"/>
        <v>1.0524428174668568</v>
      </c>
      <c r="DY23" s="15">
        <f t="shared" si="12"/>
        <v>0</v>
      </c>
      <c r="DZ23" s="15">
        <f t="shared" si="13"/>
        <v>0</v>
      </c>
      <c r="EA23" s="15">
        <f t="shared" si="14"/>
        <v>0</v>
      </c>
      <c r="EB23" s="15">
        <f t="shared" si="15"/>
        <v>302.08126449584961</v>
      </c>
      <c r="EC23" s="15">
        <f t="shared" ca="1" si="16"/>
        <v>121.79276761118571</v>
      </c>
      <c r="ED23" s="15">
        <f t="shared" ca="1" si="17"/>
        <v>154.93355555555553</v>
      </c>
      <c r="EE23" s="15">
        <f t="shared" ca="1" si="18"/>
        <v>75.895983104281953</v>
      </c>
      <c r="EF23" s="15">
        <f t="shared" ca="1" si="19"/>
        <v>70.653793938954678</v>
      </c>
      <c r="EG23" s="17">
        <f t="shared" si="66"/>
        <v>660.95660400390625</v>
      </c>
      <c r="EH23" s="17">
        <f t="shared" si="20"/>
        <v>303</v>
      </c>
      <c r="EI23" s="17">
        <f t="shared" si="67"/>
        <v>660.95660400390625</v>
      </c>
      <c r="EJ23" s="17">
        <f t="shared" si="68"/>
        <v>660.95660400390625</v>
      </c>
      <c r="EK23" s="17">
        <f t="shared" si="69"/>
        <v>303</v>
      </c>
      <c r="EL23" s="15">
        <f t="shared" ca="1" si="21"/>
        <v>125.80344444444444</v>
      </c>
      <c r="EM23" s="108">
        <v>104.83</v>
      </c>
      <c r="EN23" s="21">
        <f t="shared" ca="1" si="22"/>
        <v>0.43681333333333322</v>
      </c>
      <c r="EO23" s="109">
        <v>0.36720000000000003</v>
      </c>
      <c r="EP23" s="26">
        <f t="shared" si="23"/>
        <v>10.000062092517851</v>
      </c>
      <c r="EQ23" s="17">
        <f t="shared" si="70"/>
        <v>453</v>
      </c>
      <c r="ER23" s="15">
        <f t="shared" ca="1" si="24"/>
        <v>2816.5993052117487</v>
      </c>
      <c r="ES23" s="108">
        <v>104.83</v>
      </c>
      <c r="ET23" s="15">
        <f t="shared" ca="1" si="25"/>
        <v>6.5855309782608691</v>
      </c>
      <c r="EU23" s="109">
        <v>0.36720000000000003</v>
      </c>
      <c r="EV23" s="17">
        <f t="shared" ca="1" si="71"/>
        <v>694.83345694945842</v>
      </c>
      <c r="EW23" s="17">
        <f t="shared" si="72"/>
        <v>289.86200141906738</v>
      </c>
      <c r="EX23" s="15">
        <f t="shared" ca="1" si="26"/>
        <v>70.653793938954678</v>
      </c>
      <c r="EY23" s="108">
        <v>104.83</v>
      </c>
      <c r="EZ23" s="21">
        <f t="shared" ca="1" si="27"/>
        <v>0.24170901978810627</v>
      </c>
      <c r="FA23" s="109">
        <v>0.36720000000000003</v>
      </c>
      <c r="FB23" s="17">
        <f t="shared" si="73"/>
        <v>291.11458206176758</v>
      </c>
      <c r="FC23" s="15">
        <f t="shared" ca="1" si="28"/>
        <v>75.895983104281953</v>
      </c>
      <c r="FD23" s="108">
        <v>104.83</v>
      </c>
      <c r="FE23" s="21">
        <f t="shared" ca="1" si="29"/>
        <v>0.25917556097242567</v>
      </c>
      <c r="FF23" s="109">
        <v>0.36720000000000003</v>
      </c>
      <c r="FG23" s="17">
        <f t="shared" si="74"/>
        <v>302.08126449584961</v>
      </c>
      <c r="FH23" s="15">
        <f t="shared" ca="1" si="30"/>
        <v>121.79276761118571</v>
      </c>
      <c r="FI23" s="108">
        <v>104.83</v>
      </c>
      <c r="FJ23" s="21">
        <f t="shared" ca="1" si="31"/>
        <v>0.41209985491434731</v>
      </c>
      <c r="FK23" s="109">
        <v>0.36720000000000003</v>
      </c>
      <c r="FL23" s="17">
        <f t="shared" si="75"/>
        <v>310</v>
      </c>
      <c r="FM23" s="15">
        <f t="shared" ca="1" si="32"/>
        <v>154.93355555555553</v>
      </c>
      <c r="FN23" s="108">
        <v>104.83</v>
      </c>
      <c r="FO23" s="21">
        <f t="shared" ca="1" si="33"/>
        <v>0.52252222222222222</v>
      </c>
      <c r="FP23" s="106">
        <v>0.36720000000000003</v>
      </c>
      <c r="FQ23" s="15">
        <f t="shared" si="76"/>
        <v>15264.040811080858</v>
      </c>
      <c r="FR23" s="15">
        <f t="shared" si="34"/>
        <v>2631.0243932445519</v>
      </c>
      <c r="FS23" s="15">
        <f t="shared" si="35"/>
        <v>1736.4760995414042</v>
      </c>
      <c r="FT23" s="15">
        <f t="shared" si="77"/>
        <v>894.54829370314769</v>
      </c>
      <c r="FU23" s="15">
        <f t="shared" si="36"/>
        <v>4048.5480882784022</v>
      </c>
      <c r="FV23" s="15">
        <f t="shared" ca="1" si="78"/>
        <v>24.624465688002189</v>
      </c>
      <c r="FW23" s="15">
        <f t="shared" ca="1" si="37"/>
        <v>3060.8930800301637</v>
      </c>
      <c r="FX23" s="15">
        <f t="shared" ca="1" si="38"/>
        <v>2279.9032575834158</v>
      </c>
      <c r="FY23" s="15">
        <f t="shared" ca="1" si="79"/>
        <v>65.288600111110782</v>
      </c>
      <c r="FZ23" s="15">
        <f t="shared" ca="1" si="80"/>
        <v>65.288600111110782</v>
      </c>
      <c r="GA23" s="15">
        <f t="shared" ca="1" si="81"/>
        <v>18586.404684437963</v>
      </c>
      <c r="GB23" s="21">
        <f t="shared" ca="1" si="82"/>
        <v>51.16654305054157</v>
      </c>
      <c r="GC23" s="15">
        <f t="shared" ca="1" si="83"/>
        <v>18831.976689308736</v>
      </c>
      <c r="GD23" s="82">
        <f t="shared" si="39"/>
        <v>19.296064374865331</v>
      </c>
      <c r="GE23" s="82">
        <f t="shared" ca="1" si="84"/>
        <v>1.7859321602388778</v>
      </c>
      <c r="GF23" s="82">
        <f t="shared" ca="1" si="85"/>
        <v>4894.523301260424</v>
      </c>
      <c r="GG23" s="110">
        <f t="shared" si="86"/>
        <v>0.27340357779755348</v>
      </c>
      <c r="GH23" s="110">
        <f t="shared" ca="1" si="87"/>
        <v>0.12442829380134392</v>
      </c>
      <c r="GI23" s="110" t="e">
        <f t="shared" si="88"/>
        <v>#DIV/0!</v>
      </c>
      <c r="GJ23" s="110">
        <f t="shared" si="89"/>
        <v>0.32047358717608704</v>
      </c>
      <c r="GK23" s="110">
        <f t="shared" ca="1" si="90"/>
        <v>1.7028464789564473</v>
      </c>
      <c r="GL23" s="110">
        <f t="shared" ca="1" si="91"/>
        <v>8.2599893774745929</v>
      </c>
      <c r="GM23" s="114">
        <f t="shared" si="40"/>
        <v>46.778722107778279</v>
      </c>
      <c r="GN23" s="114">
        <f t="shared" ca="1" si="41"/>
        <v>11.347538013704717</v>
      </c>
      <c r="GO23" s="114">
        <f t="shared" ca="1" si="42"/>
        <v>-45370.304217035533</v>
      </c>
    </row>
    <row r="24" spans="1:197" x14ac:dyDescent="0.25">
      <c r="A24" s="6">
        <v>21</v>
      </c>
      <c r="B24" s="86">
        <v>28123.830983109772</v>
      </c>
      <c r="C24" s="86">
        <v>17</v>
      </c>
      <c r="D24" s="9">
        <v>19</v>
      </c>
      <c r="E24" s="8">
        <v>50016</v>
      </c>
      <c r="F24" s="28">
        <v>2</v>
      </c>
      <c r="G24" s="28">
        <v>0.05</v>
      </c>
      <c r="H24" s="87">
        <v>399.684814453125</v>
      </c>
      <c r="I24" s="42">
        <v>180</v>
      </c>
      <c r="J24" s="87">
        <v>90</v>
      </c>
      <c r="K24" s="28">
        <v>30</v>
      </c>
      <c r="L24" s="28">
        <v>21.47</v>
      </c>
      <c r="M24" s="13">
        <v>30.05419921875</v>
      </c>
      <c r="N24" s="28">
        <v>37</v>
      </c>
      <c r="O24" s="13">
        <v>15.967147827148438</v>
      </c>
      <c r="P24" s="13">
        <v>12.719268798828125</v>
      </c>
      <c r="Q24" s="85">
        <v>9564.1511699501425</v>
      </c>
      <c r="R24" s="86">
        <v>90556.565084084868</v>
      </c>
      <c r="S24" s="7">
        <v>3.17073655128479</v>
      </c>
      <c r="T24" s="86">
        <v>78884.543610304594</v>
      </c>
      <c r="U24" s="86">
        <f t="shared" si="43"/>
        <v>4640.2672711943878</v>
      </c>
      <c r="V24" s="7">
        <v>14</v>
      </c>
      <c r="W24" s="7">
        <v>14</v>
      </c>
      <c r="X24" s="6">
        <v>10</v>
      </c>
      <c r="Y24" s="6">
        <v>5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3"/>
      <c r="AO24" s="10">
        <v>681.69</v>
      </c>
      <c r="AP24" s="11">
        <v>30</v>
      </c>
      <c r="AQ24" s="12">
        <f t="shared" si="44"/>
        <v>19.326868054853481</v>
      </c>
      <c r="AR24" s="12">
        <f t="shared" si="45"/>
        <v>672.684814453125</v>
      </c>
      <c r="AS24" s="9">
        <f t="shared" si="46"/>
        <v>19.326868054853481</v>
      </c>
      <c r="AT24" s="9">
        <f t="shared" si="47"/>
        <v>672.684814453125</v>
      </c>
      <c r="AU24" s="9">
        <v>81.671540817420464</v>
      </c>
      <c r="AV24" s="9">
        <f t="shared" si="48"/>
        <v>30</v>
      </c>
      <c r="AW24" s="9">
        <f t="shared" ca="1" si="49"/>
        <v>1.905737671527439</v>
      </c>
      <c r="AX24" s="9">
        <f t="shared" si="50"/>
        <v>180</v>
      </c>
      <c r="AY24" s="9">
        <f t="shared" si="51"/>
        <v>19.326868054853481</v>
      </c>
      <c r="AZ24" s="9">
        <f t="shared" si="52"/>
        <v>681.69</v>
      </c>
      <c r="BA24" s="13">
        <f t="shared" ca="1" si="53"/>
        <v>5321.7844085636671</v>
      </c>
      <c r="BB24" s="10">
        <f t="shared" si="54"/>
        <v>12.719268798828125</v>
      </c>
      <c r="BC24" s="9">
        <f t="shared" ca="1" si="55"/>
        <v>5321.7844085636671</v>
      </c>
      <c r="BD24" s="9">
        <f t="shared" si="56"/>
        <v>15.967147827148438</v>
      </c>
      <c r="BE24" s="9">
        <f t="shared" si="57"/>
        <v>21.47</v>
      </c>
      <c r="BF24" s="9">
        <f t="shared" si="58"/>
        <v>30.05419921875</v>
      </c>
      <c r="BG24" s="7">
        <f t="shared" si="59"/>
        <v>21.47</v>
      </c>
      <c r="BH24" s="9">
        <f t="shared" si="60"/>
        <v>37</v>
      </c>
      <c r="BJ24" s="3"/>
      <c r="BK24" s="3"/>
      <c r="BL24" s="3"/>
      <c r="BM24" s="3"/>
      <c r="BP24" s="3"/>
      <c r="BT24" s="3"/>
      <c r="DF24" s="20">
        <v>0.21890000000000001</v>
      </c>
      <c r="DG24" s="15">
        <f t="shared" si="61"/>
        <v>0.88076015313466394</v>
      </c>
      <c r="DH24" s="15">
        <f t="shared" ca="1" si="62"/>
        <v>254.19673641584455</v>
      </c>
      <c r="DI24" s="100">
        <f t="shared" ca="1" si="63"/>
        <v>1.0249197604969262</v>
      </c>
      <c r="DJ24" s="20">
        <f t="shared" si="64"/>
        <v>1.3346090611223178</v>
      </c>
      <c r="DK24" s="25">
        <f t="shared" si="65"/>
        <v>0.32686805485348064</v>
      </c>
      <c r="DL24" s="26">
        <f t="shared" si="0"/>
        <v>0.02</v>
      </c>
      <c r="DM24" s="15">
        <f t="shared" si="1"/>
        <v>672.684814453125</v>
      </c>
      <c r="DN24" s="41">
        <f t="shared" si="2"/>
        <v>473</v>
      </c>
      <c r="DO24" s="15">
        <f t="shared" ca="1" si="3"/>
        <v>418.48807803728045</v>
      </c>
      <c r="DP24" s="26">
        <f t="shared" si="4"/>
        <v>453</v>
      </c>
      <c r="DQ24" s="21">
        <f t="shared" ca="1" si="5"/>
        <v>2816.5993052117487</v>
      </c>
      <c r="DR24" s="21">
        <v>2.87E-2</v>
      </c>
      <c r="DS24" s="26">
        <f t="shared" si="6"/>
        <v>303</v>
      </c>
      <c r="DT24" s="102">
        <f t="shared" ca="1" si="7"/>
        <v>125.80344444444444</v>
      </c>
      <c r="DU24" s="15">
        <f t="shared" si="8"/>
        <v>165</v>
      </c>
      <c r="DV24" s="15">
        <f t="shared" ca="1" si="9"/>
        <v>690.58718083896258</v>
      </c>
      <c r="DW24" s="15">
        <f t="shared" ca="1" si="10"/>
        <v>2790.6388281929471</v>
      </c>
      <c r="DX24" s="15">
        <f t="shared" si="11"/>
        <v>1.0551013095164672</v>
      </c>
      <c r="DY24" s="15">
        <f t="shared" si="12"/>
        <v>0</v>
      </c>
      <c r="DZ24" s="15">
        <f t="shared" si="13"/>
        <v>0</v>
      </c>
      <c r="EA24" s="15">
        <f t="shared" si="14"/>
        <v>0</v>
      </c>
      <c r="EB24" s="15">
        <f t="shared" si="15"/>
        <v>303.05419921875</v>
      </c>
      <c r="EC24" s="15">
        <f t="shared" ca="1" si="16"/>
        <v>125.86460753038195</v>
      </c>
      <c r="ED24" s="15">
        <f t="shared" ca="1" si="17"/>
        <v>154.93355555555553</v>
      </c>
      <c r="EE24" s="15">
        <f t="shared" ca="1" si="18"/>
        <v>66.908732228597003</v>
      </c>
      <c r="EF24" s="15">
        <f t="shared" ca="1" si="19"/>
        <v>53.315997619628909</v>
      </c>
      <c r="EG24" s="17">
        <f t="shared" si="66"/>
        <v>672.684814453125</v>
      </c>
      <c r="EH24" s="17">
        <f t="shared" si="20"/>
        <v>303</v>
      </c>
      <c r="EI24" s="17">
        <f t="shared" si="67"/>
        <v>672.684814453125</v>
      </c>
      <c r="EJ24" s="17">
        <f t="shared" si="68"/>
        <v>672.684814453125</v>
      </c>
      <c r="EK24" s="17">
        <f t="shared" si="69"/>
        <v>303</v>
      </c>
      <c r="EL24" s="15">
        <f t="shared" ca="1" si="21"/>
        <v>125.80344444444444</v>
      </c>
      <c r="EM24" s="108">
        <v>104.83</v>
      </c>
      <c r="EN24" s="21">
        <f t="shared" ca="1" si="22"/>
        <v>0.43681333333333322</v>
      </c>
      <c r="EO24" s="109">
        <v>0.36720000000000003</v>
      </c>
      <c r="EP24" s="26">
        <f t="shared" si="23"/>
        <v>10.000062092517851</v>
      </c>
      <c r="EQ24" s="17">
        <f t="shared" si="70"/>
        <v>453</v>
      </c>
      <c r="ER24" s="15">
        <f t="shared" ca="1" si="24"/>
        <v>2816.5993052117487</v>
      </c>
      <c r="ES24" s="108">
        <v>104.83</v>
      </c>
      <c r="ET24" s="15">
        <f t="shared" ca="1" si="25"/>
        <v>6.5855309782608691</v>
      </c>
      <c r="EU24" s="109">
        <v>0.36720000000000003</v>
      </c>
      <c r="EV24" s="17">
        <f t="shared" ca="1" si="71"/>
        <v>691.4880780372805</v>
      </c>
      <c r="EW24" s="17">
        <f t="shared" si="72"/>
        <v>285.71926879882812</v>
      </c>
      <c r="EX24" s="15">
        <f t="shared" ca="1" si="26"/>
        <v>53.315997619628909</v>
      </c>
      <c r="EY24" s="108">
        <v>104.83</v>
      </c>
      <c r="EZ24" s="21">
        <f t="shared" ca="1" si="27"/>
        <v>0.18394091491699219</v>
      </c>
      <c r="FA24" s="109">
        <v>0.36720000000000003</v>
      </c>
      <c r="FB24" s="17">
        <f t="shared" si="73"/>
        <v>288.96714782714844</v>
      </c>
      <c r="FC24" s="15">
        <f t="shared" ca="1" si="28"/>
        <v>66.908732228597003</v>
      </c>
      <c r="FD24" s="108">
        <v>104.83</v>
      </c>
      <c r="FE24" s="21">
        <f t="shared" ca="1" si="29"/>
        <v>0.22923078358968099</v>
      </c>
      <c r="FF24" s="109">
        <v>0.36720000000000003</v>
      </c>
      <c r="FG24" s="17">
        <f t="shared" si="74"/>
        <v>303.05419921875</v>
      </c>
      <c r="FH24" s="15">
        <f t="shared" ca="1" si="30"/>
        <v>125.86460753038195</v>
      </c>
      <c r="FI24" s="108">
        <v>104.83</v>
      </c>
      <c r="FJ24" s="21">
        <f t="shared" ca="1" si="31"/>
        <v>0.42566688910590278</v>
      </c>
      <c r="FK24" s="109">
        <v>0.36720000000000003</v>
      </c>
      <c r="FL24" s="17">
        <f t="shared" si="75"/>
        <v>310</v>
      </c>
      <c r="FM24" s="15">
        <f t="shared" ca="1" si="32"/>
        <v>154.93355555555553</v>
      </c>
      <c r="FN24" s="108">
        <v>104.83</v>
      </c>
      <c r="FO24" s="21">
        <f t="shared" ca="1" si="33"/>
        <v>0.52252222222222222</v>
      </c>
      <c r="FP24" s="106">
        <v>0.36720000000000003</v>
      </c>
      <c r="FQ24" s="15">
        <f t="shared" si="76"/>
        <v>16852.170516603477</v>
      </c>
      <c r="FR24" s="15">
        <f t="shared" si="34"/>
        <v>2781.6510206733878</v>
      </c>
      <c r="FS24" s="15">
        <f t="shared" si="35"/>
        <v>1835.8896736444362</v>
      </c>
      <c r="FT24" s="15">
        <f t="shared" si="77"/>
        <v>945.76134702895195</v>
      </c>
      <c r="FU24" s="15">
        <f t="shared" si="36"/>
        <v>4640.2672711943878</v>
      </c>
      <c r="FV24" s="15">
        <f t="shared" ca="1" si="78"/>
        <v>25.204151435253241</v>
      </c>
      <c r="FW24" s="15">
        <f t="shared" ca="1" si="37"/>
        <v>3022.2369604025803</v>
      </c>
      <c r="FX24" s="15">
        <f t="shared" ca="1" si="38"/>
        <v>2224.1126041845291</v>
      </c>
      <c r="FY24" s="15">
        <f t="shared" ca="1" si="79"/>
        <v>65.288600111110782</v>
      </c>
      <c r="FZ24" s="15">
        <f t="shared" ca="1" si="80"/>
        <v>65.288600111110782</v>
      </c>
      <c r="GA24" s="15">
        <f t="shared" ca="1" si="81"/>
        <v>20666.643121696885</v>
      </c>
      <c r="GB24" s="21">
        <f t="shared" ca="1" si="82"/>
        <v>54.511921962719533</v>
      </c>
      <c r="GC24" s="15">
        <f t="shared" ca="1" si="83"/>
        <v>21358.983851314759</v>
      </c>
      <c r="GD24" s="82">
        <f t="shared" si="39"/>
        <v>19.326868054853481</v>
      </c>
      <c r="GE24" s="82">
        <f t="shared" ca="1" si="84"/>
        <v>1.905737671527439</v>
      </c>
      <c r="GF24" s="82">
        <f t="shared" ca="1" si="85"/>
        <v>5321.7844085636671</v>
      </c>
      <c r="GG24" s="110">
        <f t="shared" si="86"/>
        <v>0.28383213298456567</v>
      </c>
      <c r="GH24" s="110">
        <f t="shared" ca="1" si="87"/>
        <v>0.11082858313696888</v>
      </c>
      <c r="GI24" s="110">
        <f t="shared" si="88"/>
        <v>0.55528504664376088</v>
      </c>
      <c r="GJ24" s="110">
        <f t="shared" si="89"/>
        <v>0.32978649242741814</v>
      </c>
      <c r="GK24" s="110">
        <f t="shared" ca="1" si="90"/>
        <v>1.8535115958819222</v>
      </c>
      <c r="GL24" s="110">
        <f t="shared" ca="1" si="91"/>
        <v>9.603373413346592</v>
      </c>
      <c r="GM24" s="114">
        <f t="shared" si="40"/>
        <v>45.305134276740631</v>
      </c>
      <c r="GN24" s="114">
        <f t="shared" ca="1" si="41"/>
        <v>11.045955597645433</v>
      </c>
      <c r="GO24" s="114">
        <f t="shared" ca="1" si="42"/>
        <v>-35119.415885013208</v>
      </c>
    </row>
    <row r="25" spans="1:197" x14ac:dyDescent="0.25">
      <c r="A25" s="6">
        <v>22</v>
      </c>
      <c r="B25" s="86">
        <v>28545.546074382961</v>
      </c>
      <c r="C25" s="86">
        <v>17</v>
      </c>
      <c r="D25" s="9">
        <v>19</v>
      </c>
      <c r="E25" s="8">
        <v>50016</v>
      </c>
      <c r="F25" s="28">
        <v>2</v>
      </c>
      <c r="G25" s="28">
        <v>0.05</v>
      </c>
      <c r="H25" s="87">
        <v>403.31857299804687</v>
      </c>
      <c r="I25" s="42">
        <v>180</v>
      </c>
      <c r="J25" s="87">
        <v>90</v>
      </c>
      <c r="K25" s="28">
        <v>30</v>
      </c>
      <c r="L25" s="28">
        <v>21.47</v>
      </c>
      <c r="M25" s="13">
        <v>29.226634979248047</v>
      </c>
      <c r="N25" s="28">
        <v>37</v>
      </c>
      <c r="O25" s="13">
        <v>14.232179641723633</v>
      </c>
      <c r="P25" s="13">
        <v>11.18679141998291</v>
      </c>
      <c r="Q25" s="85">
        <v>9197.2581764161587</v>
      </c>
      <c r="R25" s="86">
        <v>90541.37701381743</v>
      </c>
      <c r="S25" s="7">
        <v>3.2127711772918701</v>
      </c>
      <c r="T25" s="86">
        <v>78773.94083506614</v>
      </c>
      <c r="U25" s="86">
        <f t="shared" si="43"/>
        <v>4633.7612255921258</v>
      </c>
      <c r="V25" s="7">
        <v>14</v>
      </c>
      <c r="W25" s="7">
        <v>14</v>
      </c>
      <c r="X25" s="6">
        <v>10</v>
      </c>
      <c r="Y25" s="6">
        <v>5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43"/>
      <c r="AO25" s="10">
        <v>681.69</v>
      </c>
      <c r="AP25" s="11">
        <v>30</v>
      </c>
      <c r="AQ25" s="12">
        <f t="shared" si="44"/>
        <v>19.331769420946515</v>
      </c>
      <c r="AR25" s="12">
        <f t="shared" si="45"/>
        <v>676.31857299804687</v>
      </c>
      <c r="AS25" s="9">
        <f t="shared" si="46"/>
        <v>19.331769420946515</v>
      </c>
      <c r="AT25" s="9">
        <f t="shared" si="47"/>
        <v>676.31857299804687</v>
      </c>
      <c r="AU25" s="9">
        <v>81.811225561832543</v>
      </c>
      <c r="AV25" s="9">
        <f t="shared" si="48"/>
        <v>30</v>
      </c>
      <c r="AW25" s="9">
        <f t="shared" ca="1" si="49"/>
        <v>1.9425959200676921</v>
      </c>
      <c r="AX25" s="9">
        <f t="shared" si="50"/>
        <v>180</v>
      </c>
      <c r="AY25" s="9">
        <f t="shared" si="51"/>
        <v>19.331769420946515</v>
      </c>
      <c r="AZ25" s="9">
        <f t="shared" si="52"/>
        <v>681.69</v>
      </c>
      <c r="BA25" s="13">
        <f t="shared" ca="1" si="53"/>
        <v>5416.712062097241</v>
      </c>
      <c r="BB25" s="10">
        <f t="shared" si="54"/>
        <v>11.18679141998291</v>
      </c>
      <c r="BC25" s="9">
        <f t="shared" ca="1" si="55"/>
        <v>5416.712062097241</v>
      </c>
      <c r="BD25" s="9">
        <f t="shared" si="56"/>
        <v>14.232179641723633</v>
      </c>
      <c r="BE25" s="9">
        <f t="shared" si="57"/>
        <v>21.47</v>
      </c>
      <c r="BF25" s="9">
        <f t="shared" si="58"/>
        <v>29.226634979248047</v>
      </c>
      <c r="BG25" s="7">
        <f t="shared" si="59"/>
        <v>21.47</v>
      </c>
      <c r="BH25" s="9">
        <f t="shared" si="60"/>
        <v>37</v>
      </c>
      <c r="BJ25" s="3"/>
      <c r="BK25" s="3"/>
      <c r="BL25" s="3"/>
      <c r="BM25" s="3"/>
      <c r="BP25" s="3"/>
      <c r="BT25" s="3"/>
      <c r="DF25" s="20">
        <v>0.21890000000000001</v>
      </c>
      <c r="DG25" s="15">
        <f t="shared" si="61"/>
        <v>0.89243643813663065</v>
      </c>
      <c r="DH25" s="15">
        <f t="shared" ca="1" si="62"/>
        <v>258.87070397282758</v>
      </c>
      <c r="DI25" s="100">
        <f t="shared" ca="1" si="63"/>
        <v>1.025784379707102</v>
      </c>
      <c r="DJ25" s="20">
        <f t="shared" si="64"/>
        <v>1.3368916741810049</v>
      </c>
      <c r="DK25" s="25">
        <f t="shared" si="65"/>
        <v>0.33176942094651435</v>
      </c>
      <c r="DL25" s="26">
        <f t="shared" si="0"/>
        <v>0.02</v>
      </c>
      <c r="DM25" s="15">
        <f t="shared" si="1"/>
        <v>676.31857299804687</v>
      </c>
      <c r="DN25" s="41">
        <f t="shared" si="2"/>
        <v>473</v>
      </c>
      <c r="DO25" s="15">
        <f t="shared" ca="1" si="3"/>
        <v>417.44786902521929</v>
      </c>
      <c r="DP25" s="26">
        <f t="shared" si="4"/>
        <v>453</v>
      </c>
      <c r="DQ25" s="21">
        <f t="shared" ca="1" si="5"/>
        <v>2816.5993052117487</v>
      </c>
      <c r="DR25" s="21">
        <v>2.87E-2</v>
      </c>
      <c r="DS25" s="26">
        <f t="shared" si="6"/>
        <v>303</v>
      </c>
      <c r="DT25" s="102">
        <f t="shared" ca="1" si="7"/>
        <v>125.80344444444444</v>
      </c>
      <c r="DU25" s="15">
        <f t="shared" si="8"/>
        <v>165</v>
      </c>
      <c r="DV25" s="15">
        <f t="shared" ca="1" si="9"/>
        <v>690.58718083896258</v>
      </c>
      <c r="DW25" s="15">
        <f t="shared" ca="1" si="10"/>
        <v>2790.6388281929471</v>
      </c>
      <c r="DX25" s="15">
        <f t="shared" si="11"/>
        <v>1.0559319954681967</v>
      </c>
      <c r="DY25" s="15">
        <f t="shared" si="12"/>
        <v>0</v>
      </c>
      <c r="DZ25" s="15">
        <f t="shared" si="13"/>
        <v>0</v>
      </c>
      <c r="EA25" s="15">
        <f t="shared" si="14"/>
        <v>0</v>
      </c>
      <c r="EB25" s="15">
        <f t="shared" si="15"/>
        <v>302.22663497924805</v>
      </c>
      <c r="EC25" s="15">
        <f t="shared" ca="1" si="16"/>
        <v>122.40115923648411</v>
      </c>
      <c r="ED25" s="15">
        <f t="shared" ca="1" si="17"/>
        <v>154.93355555555553</v>
      </c>
      <c r="EE25" s="15">
        <f t="shared" ca="1" si="18"/>
        <v>59.647697598351378</v>
      </c>
      <c r="EF25" s="15">
        <f t="shared" ca="1" si="19"/>
        <v>46.902409513897375</v>
      </c>
      <c r="EG25" s="17">
        <f t="shared" si="66"/>
        <v>676.31857299804687</v>
      </c>
      <c r="EH25" s="17">
        <f t="shared" si="20"/>
        <v>303</v>
      </c>
      <c r="EI25" s="17">
        <f t="shared" si="67"/>
        <v>676.31857299804687</v>
      </c>
      <c r="EJ25" s="17">
        <f t="shared" si="68"/>
        <v>676.31857299804687</v>
      </c>
      <c r="EK25" s="17">
        <f t="shared" si="69"/>
        <v>303</v>
      </c>
      <c r="EL25" s="15">
        <f t="shared" ca="1" si="21"/>
        <v>125.80344444444444</v>
      </c>
      <c r="EM25" s="108">
        <v>104.83</v>
      </c>
      <c r="EN25" s="21">
        <f t="shared" ca="1" si="22"/>
        <v>0.43681333333333322</v>
      </c>
      <c r="EO25" s="109">
        <v>0.36720000000000003</v>
      </c>
      <c r="EP25" s="26">
        <f t="shared" si="23"/>
        <v>10.000062092517851</v>
      </c>
      <c r="EQ25" s="17">
        <f t="shared" si="70"/>
        <v>453</v>
      </c>
      <c r="ER25" s="15">
        <f t="shared" ca="1" si="24"/>
        <v>2816.5993052117487</v>
      </c>
      <c r="ES25" s="108">
        <v>104.83</v>
      </c>
      <c r="ET25" s="15">
        <f t="shared" ca="1" si="25"/>
        <v>6.5855309782608691</v>
      </c>
      <c r="EU25" s="109">
        <v>0.36720000000000003</v>
      </c>
      <c r="EV25" s="17">
        <f t="shared" ca="1" si="71"/>
        <v>690.44786902521923</v>
      </c>
      <c r="EW25" s="17">
        <f t="shared" si="72"/>
        <v>284.18679141998291</v>
      </c>
      <c r="EX25" s="15">
        <f t="shared" ca="1" si="26"/>
        <v>46.902409513897375</v>
      </c>
      <c r="EY25" s="108">
        <v>104.83</v>
      </c>
      <c r="EZ25" s="21">
        <f t="shared" ca="1" si="27"/>
        <v>0.16257136924531726</v>
      </c>
      <c r="FA25" s="109">
        <v>0.36720000000000003</v>
      </c>
      <c r="FB25" s="17">
        <f t="shared" si="73"/>
        <v>287.23217964172363</v>
      </c>
      <c r="FC25" s="15">
        <f t="shared" ca="1" si="28"/>
        <v>59.647697598351378</v>
      </c>
      <c r="FD25" s="108">
        <v>104.83</v>
      </c>
      <c r="FE25" s="21">
        <f t="shared" ca="1" si="29"/>
        <v>0.2050376161151462</v>
      </c>
      <c r="FF25" s="109">
        <v>0.36720000000000003</v>
      </c>
      <c r="FG25" s="17">
        <f t="shared" si="74"/>
        <v>302.22663497924805</v>
      </c>
      <c r="FH25" s="15">
        <f t="shared" ca="1" si="30"/>
        <v>122.40115923648411</v>
      </c>
      <c r="FI25" s="108">
        <v>104.83</v>
      </c>
      <c r="FJ25" s="21">
        <f t="shared" ca="1" si="31"/>
        <v>0.41412696554395884</v>
      </c>
      <c r="FK25" s="109">
        <v>0.36720000000000003</v>
      </c>
      <c r="FL25" s="17">
        <f t="shared" si="75"/>
        <v>310</v>
      </c>
      <c r="FM25" s="15">
        <f t="shared" ca="1" si="32"/>
        <v>154.93355555555553</v>
      </c>
      <c r="FN25" s="108">
        <v>104.83</v>
      </c>
      <c r="FO25" s="21">
        <f t="shared" ca="1" si="33"/>
        <v>0.52252222222222222</v>
      </c>
      <c r="FP25" s="106">
        <v>0.36720000000000003</v>
      </c>
      <c r="FQ25" s="15">
        <f t="shared" si="76"/>
        <v>17104.867762289137</v>
      </c>
      <c r="FR25" s="15">
        <f t="shared" si="34"/>
        <v>2828.306789706498</v>
      </c>
      <c r="FS25" s="15">
        <f t="shared" si="35"/>
        <v>1866.6824812062887</v>
      </c>
      <c r="FT25" s="15">
        <f t="shared" si="77"/>
        <v>961.62430850020917</v>
      </c>
      <c r="FU25" s="15">
        <f t="shared" si="36"/>
        <v>4633.7612255921258</v>
      </c>
      <c r="FV25" s="15">
        <f t="shared" ca="1" si="78"/>
        <v>25.247258684316016</v>
      </c>
      <c r="FW25" s="15">
        <f t="shared" ca="1" si="37"/>
        <v>3009.5059955566981</v>
      </c>
      <c r="FX25" s="15">
        <f t="shared" ca="1" si="38"/>
        <v>2253.5977853096047</v>
      </c>
      <c r="FY25" s="15">
        <f t="shared" ca="1" si="79"/>
        <v>65.288600111110782</v>
      </c>
      <c r="FZ25" s="15">
        <f t="shared" ca="1" si="80"/>
        <v>65.288600111110782</v>
      </c>
      <c r="GA25" s="15">
        <f t="shared" ca="1" si="81"/>
        <v>21411.72065234667</v>
      </c>
      <c r="GB25" s="21">
        <f t="shared" ca="1" si="82"/>
        <v>55.552130974780688</v>
      </c>
      <c r="GC25" s="15">
        <f t="shared" ca="1" si="83"/>
        <v>22072.476740876304</v>
      </c>
      <c r="GD25" s="82">
        <f t="shared" si="39"/>
        <v>19.331769420946515</v>
      </c>
      <c r="GE25" s="82">
        <f t="shared" ca="1" si="84"/>
        <v>1.9425959200676921</v>
      </c>
      <c r="GF25" s="82">
        <f t="shared" ca="1" si="85"/>
        <v>5416.712062097241</v>
      </c>
      <c r="GG25" s="110">
        <f t="shared" si="86"/>
        <v>0.27924688677634818</v>
      </c>
      <c r="GH25" s="110">
        <f t="shared" ca="1" si="87"/>
        <v>0.11052318695819394</v>
      </c>
      <c r="GI25" s="110">
        <f t="shared" si="88"/>
        <v>0.53407318086820288</v>
      </c>
      <c r="GJ25" s="110">
        <f t="shared" si="89"/>
        <v>0.3245712489507111</v>
      </c>
      <c r="GK25" s="110">
        <f t="shared" ca="1" si="90"/>
        <v>1.9498640854374634</v>
      </c>
      <c r="GL25" s="110">
        <f t="shared" ca="1" si="91"/>
        <v>9.794328377831599</v>
      </c>
      <c r="GM25" s="114">
        <f t="shared" si="40"/>
        <v>46.039185782150206</v>
      </c>
      <c r="GN25" s="114">
        <f t="shared" ca="1" si="41"/>
        <v>10.84917435788136</v>
      </c>
      <c r="GO25" s="114">
        <f t="shared" ca="1" si="42"/>
        <v>-30742.623801465641</v>
      </c>
    </row>
    <row r="26" spans="1:197" x14ac:dyDescent="0.25">
      <c r="A26" s="6">
        <v>23</v>
      </c>
      <c r="B26" s="86">
        <v>28225.999527208507</v>
      </c>
      <c r="C26" s="86">
        <v>17</v>
      </c>
      <c r="D26" s="9">
        <v>19</v>
      </c>
      <c r="E26" s="8">
        <v>50016</v>
      </c>
      <c r="F26" s="28">
        <v>2</v>
      </c>
      <c r="G26" s="28">
        <v>0.05</v>
      </c>
      <c r="H26" s="87">
        <v>402.71377563476563</v>
      </c>
      <c r="I26" s="42">
        <v>180</v>
      </c>
      <c r="J26" s="87">
        <v>90</v>
      </c>
      <c r="K26" s="28">
        <v>30</v>
      </c>
      <c r="L26" s="28">
        <v>21.47</v>
      </c>
      <c r="M26" s="13">
        <v>28.895717620849609</v>
      </c>
      <c r="N26" s="28">
        <v>37</v>
      </c>
      <c r="O26" s="13">
        <v>14.170742034912109</v>
      </c>
      <c r="P26" s="13">
        <v>10.854798316955566</v>
      </c>
      <c r="Q26" s="85">
        <v>8774.1169631369412</v>
      </c>
      <c r="R26" s="86">
        <v>89425.632741823792</v>
      </c>
      <c r="S26" s="7">
        <v>3.1314897537231445</v>
      </c>
      <c r="T26" s="86">
        <v>76888.334721803665</v>
      </c>
      <c r="U26" s="86">
        <f t="shared" si="43"/>
        <v>4522.8432189296273</v>
      </c>
      <c r="V26" s="7">
        <v>14</v>
      </c>
      <c r="W26" s="7">
        <v>14</v>
      </c>
      <c r="X26" s="6">
        <v>10</v>
      </c>
      <c r="Y26" s="6">
        <v>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3"/>
      <c r="AO26" s="10">
        <v>681.69</v>
      </c>
      <c r="AP26" s="11">
        <v>30</v>
      </c>
      <c r="AQ26" s="12">
        <f t="shared" si="44"/>
        <v>19.328055504504164</v>
      </c>
      <c r="AR26" s="12">
        <f t="shared" si="45"/>
        <v>675.71377563476562</v>
      </c>
      <c r="AS26" s="9">
        <f t="shared" si="46"/>
        <v>19.328055504504164</v>
      </c>
      <c r="AT26" s="9">
        <f t="shared" si="47"/>
        <v>675.71377563476562</v>
      </c>
      <c r="AU26" s="9">
        <v>78.68186957508442</v>
      </c>
      <c r="AV26" s="9">
        <f t="shared" si="48"/>
        <v>30</v>
      </c>
      <c r="AW26" s="9">
        <f t="shared" ca="1" si="49"/>
        <v>1.9361654353155151</v>
      </c>
      <c r="AX26" s="9">
        <f t="shared" si="50"/>
        <v>180</v>
      </c>
      <c r="AY26" s="9">
        <f t="shared" si="51"/>
        <v>19.328055504504164</v>
      </c>
      <c r="AZ26" s="9">
        <f t="shared" si="52"/>
        <v>681.69</v>
      </c>
      <c r="BA26" s="13">
        <f t="shared" ca="1" si="53"/>
        <v>5400.9287892476923</v>
      </c>
      <c r="BB26" s="10">
        <f t="shared" si="54"/>
        <v>10.854798316955566</v>
      </c>
      <c r="BC26" s="9">
        <f t="shared" ca="1" si="55"/>
        <v>5400.9287892476923</v>
      </c>
      <c r="BD26" s="9">
        <f t="shared" si="56"/>
        <v>14.170742034912109</v>
      </c>
      <c r="BE26" s="9">
        <f t="shared" si="57"/>
        <v>21.47</v>
      </c>
      <c r="BF26" s="9">
        <f t="shared" si="58"/>
        <v>28.895717620849609</v>
      </c>
      <c r="BG26" s="7">
        <f t="shared" si="59"/>
        <v>21.47</v>
      </c>
      <c r="BH26" s="9">
        <f t="shared" si="60"/>
        <v>37</v>
      </c>
      <c r="BJ26" s="3"/>
      <c r="BK26" s="3"/>
      <c r="BL26" s="3"/>
      <c r="BM26" s="3"/>
      <c r="BP26" s="3"/>
      <c r="BT26" s="3"/>
      <c r="DF26" s="20">
        <v>0.21890000000000001</v>
      </c>
      <c r="DG26" s="15">
        <f t="shared" si="61"/>
        <v>0.8698582649230957</v>
      </c>
      <c r="DH26" s="15">
        <f t="shared" ca="1" si="62"/>
        <v>258.0926540738086</v>
      </c>
      <c r="DI26" s="100">
        <f t="shared" ca="1" si="63"/>
        <v>1.0256399151363058</v>
      </c>
      <c r="DJ26" s="20">
        <f t="shared" si="64"/>
        <v>1.2857543157622617</v>
      </c>
      <c r="DK26" s="25">
        <f t="shared" si="65"/>
        <v>0.32805550450416382</v>
      </c>
      <c r="DL26" s="26">
        <f t="shared" si="0"/>
        <v>0.02</v>
      </c>
      <c r="DM26" s="15">
        <f t="shared" si="1"/>
        <v>675.71377563476562</v>
      </c>
      <c r="DN26" s="41">
        <f t="shared" si="2"/>
        <v>473</v>
      </c>
      <c r="DO26" s="15">
        <f t="shared" ca="1" si="3"/>
        <v>417.62112156095702</v>
      </c>
      <c r="DP26" s="26">
        <f t="shared" si="4"/>
        <v>453</v>
      </c>
      <c r="DQ26" s="21">
        <f t="shared" ca="1" si="5"/>
        <v>2816.5993052117487</v>
      </c>
      <c r="DR26" s="21">
        <v>2.87E-2</v>
      </c>
      <c r="DS26" s="26">
        <f t="shared" si="6"/>
        <v>303</v>
      </c>
      <c r="DT26" s="102">
        <f t="shared" ca="1" si="7"/>
        <v>125.80344444444444</v>
      </c>
      <c r="DU26" s="15">
        <f t="shared" si="8"/>
        <v>165</v>
      </c>
      <c r="DV26" s="15">
        <f t="shared" ca="1" si="9"/>
        <v>690.58718083896258</v>
      </c>
      <c r="DW26" s="15">
        <f t="shared" ca="1" si="10"/>
        <v>2790.6388281929471</v>
      </c>
      <c r="DX26" s="15">
        <f t="shared" si="11"/>
        <v>1.0557935108019469</v>
      </c>
      <c r="DY26" s="15">
        <f t="shared" si="12"/>
        <v>0</v>
      </c>
      <c r="DZ26" s="15">
        <f t="shared" si="13"/>
        <v>0</v>
      </c>
      <c r="EA26" s="15">
        <f t="shared" si="14"/>
        <v>0</v>
      </c>
      <c r="EB26" s="15">
        <f t="shared" si="15"/>
        <v>301.89571762084961</v>
      </c>
      <c r="EC26" s="15">
        <f t="shared" ca="1" si="16"/>
        <v>121.01623332299127</v>
      </c>
      <c r="ED26" s="15">
        <f t="shared" ca="1" si="17"/>
        <v>154.93355555555553</v>
      </c>
      <c r="EE26" s="15">
        <f t="shared" ca="1" si="18"/>
        <v>59.390574387444396</v>
      </c>
      <c r="EF26" s="15">
        <f t="shared" ca="1" si="19"/>
        <v>45.51298148960538</v>
      </c>
      <c r="EG26" s="17">
        <f t="shared" si="66"/>
        <v>675.71377563476562</v>
      </c>
      <c r="EH26" s="17">
        <f t="shared" si="20"/>
        <v>303</v>
      </c>
      <c r="EI26" s="17">
        <f t="shared" si="67"/>
        <v>675.71377563476562</v>
      </c>
      <c r="EJ26" s="17">
        <f t="shared" si="68"/>
        <v>675.71377563476562</v>
      </c>
      <c r="EK26" s="17">
        <f t="shared" si="69"/>
        <v>303</v>
      </c>
      <c r="EL26" s="15">
        <f t="shared" ca="1" si="21"/>
        <v>125.80344444444444</v>
      </c>
      <c r="EM26" s="108">
        <v>104.83</v>
      </c>
      <c r="EN26" s="21">
        <f t="shared" ca="1" si="22"/>
        <v>0.43681333333333322</v>
      </c>
      <c r="EO26" s="109">
        <v>0.36720000000000003</v>
      </c>
      <c r="EP26" s="26">
        <f t="shared" si="23"/>
        <v>10.000062092517851</v>
      </c>
      <c r="EQ26" s="17">
        <f t="shared" si="70"/>
        <v>453</v>
      </c>
      <c r="ER26" s="15">
        <f t="shared" ca="1" si="24"/>
        <v>2816.5993052117487</v>
      </c>
      <c r="ES26" s="108">
        <v>104.83</v>
      </c>
      <c r="ET26" s="15">
        <f t="shared" ca="1" si="25"/>
        <v>6.5855309782608691</v>
      </c>
      <c r="EU26" s="109">
        <v>0.36720000000000003</v>
      </c>
      <c r="EV26" s="17">
        <f t="shared" ca="1" si="71"/>
        <v>690.62112156095702</v>
      </c>
      <c r="EW26" s="17">
        <f t="shared" si="72"/>
        <v>283.85479831695557</v>
      </c>
      <c r="EX26" s="15">
        <f t="shared" ca="1" si="26"/>
        <v>45.51298148960538</v>
      </c>
      <c r="EY26" s="108">
        <v>104.83</v>
      </c>
      <c r="EZ26" s="21">
        <f t="shared" ca="1" si="27"/>
        <v>0.15794190986421375</v>
      </c>
      <c r="FA26" s="109">
        <v>0.36720000000000003</v>
      </c>
      <c r="FB26" s="17">
        <f t="shared" si="73"/>
        <v>287.17074203491211</v>
      </c>
      <c r="FC26" s="15">
        <f t="shared" ca="1" si="28"/>
        <v>59.390574387444396</v>
      </c>
      <c r="FD26" s="108">
        <v>104.83</v>
      </c>
      <c r="FE26" s="21">
        <f t="shared" ca="1" si="29"/>
        <v>0.2041809028201633</v>
      </c>
      <c r="FF26" s="109">
        <v>0.36720000000000003</v>
      </c>
      <c r="FG26" s="17">
        <f t="shared" si="74"/>
        <v>301.89571762084961</v>
      </c>
      <c r="FH26" s="15">
        <f t="shared" ca="1" si="30"/>
        <v>121.01623332299127</v>
      </c>
      <c r="FI26" s="108">
        <v>104.83</v>
      </c>
      <c r="FJ26" s="21">
        <f t="shared" ca="1" si="31"/>
        <v>0.40951250682406953</v>
      </c>
      <c r="FK26" s="109">
        <v>0.36720000000000003</v>
      </c>
      <c r="FL26" s="17">
        <f t="shared" si="75"/>
        <v>310</v>
      </c>
      <c r="FM26" s="15">
        <f t="shared" ca="1" si="32"/>
        <v>154.93355555555553</v>
      </c>
      <c r="FN26" s="108">
        <v>104.83</v>
      </c>
      <c r="FO26" s="21">
        <f t="shared" ca="1" si="33"/>
        <v>0.52252222222222222</v>
      </c>
      <c r="FP26" s="106">
        <v>0.36720000000000003</v>
      </c>
      <c r="FQ26" s="15">
        <f t="shared" si="76"/>
        <v>16913.391255969287</v>
      </c>
      <c r="FR26" s="15">
        <f t="shared" si="34"/>
        <v>2820.0983965323053</v>
      </c>
      <c r="FS26" s="15">
        <f t="shared" si="35"/>
        <v>1861.2649417113221</v>
      </c>
      <c r="FT26" s="15">
        <f t="shared" si="77"/>
        <v>958.83345482098355</v>
      </c>
      <c r="FU26" s="15">
        <f t="shared" si="36"/>
        <v>4522.8432189296273</v>
      </c>
      <c r="FV26" s="15">
        <f t="shared" ca="1" si="78"/>
        <v>24.281527397806567</v>
      </c>
      <c r="FW26" s="15">
        <f t="shared" ca="1" si="37"/>
        <v>3011.1739755313642</v>
      </c>
      <c r="FX26" s="15">
        <f t="shared" ca="1" si="38"/>
        <v>2196.5829448391746</v>
      </c>
      <c r="FY26" s="15">
        <f t="shared" ca="1" si="79"/>
        <v>65.288600111110782</v>
      </c>
      <c r="FZ26" s="15">
        <f t="shared" ca="1" si="80"/>
        <v>65.288600111110782</v>
      </c>
      <c r="GA26" s="15">
        <f t="shared" ca="1" si="81"/>
        <v>21362.62219446099</v>
      </c>
      <c r="GB26" s="21">
        <f t="shared" ca="1" si="82"/>
        <v>55.37887843904295</v>
      </c>
      <c r="GC26" s="15">
        <f t="shared" ca="1" si="83"/>
        <v>22079.984184270517</v>
      </c>
      <c r="GD26" s="82">
        <f t="shared" si="39"/>
        <v>19.328055504504164</v>
      </c>
      <c r="GE26" s="82">
        <f t="shared" ca="1" si="84"/>
        <v>1.9361654353155151</v>
      </c>
      <c r="GF26" s="82">
        <f t="shared" ca="1" si="85"/>
        <v>5400.9287892476923</v>
      </c>
      <c r="GG26" s="110">
        <f t="shared" si="86"/>
        <v>0.2756482552502435</v>
      </c>
      <c r="GH26" s="110">
        <f t="shared" ca="1" si="87"/>
        <v>0.1087424405032057</v>
      </c>
      <c r="GI26" s="110">
        <f t="shared" si="88"/>
        <v>0.51585884939130633</v>
      </c>
      <c r="GJ26" s="110">
        <f t="shared" si="89"/>
        <v>0.3209216798401443</v>
      </c>
      <c r="GK26" s="110">
        <f t="shared" ca="1" si="90"/>
        <v>1.8891071846134635</v>
      </c>
      <c r="GL26" s="110">
        <f t="shared" ca="1" si="91"/>
        <v>10.051969235282909</v>
      </c>
      <c r="GM26" s="114">
        <f t="shared" si="40"/>
        <v>46.592322174166064</v>
      </c>
      <c r="GN26" s="114">
        <f t="shared" ca="1" si="41"/>
        <v>10.72407822430662</v>
      </c>
      <c r="GO26" s="114">
        <f t="shared" ca="1" si="42"/>
        <v>-34408.312891889538</v>
      </c>
    </row>
    <row r="27" spans="1:197" x14ac:dyDescent="0.25">
      <c r="A27" s="6">
        <v>24</v>
      </c>
      <c r="B27" s="86">
        <v>27159.877418115735</v>
      </c>
      <c r="C27" s="86">
        <v>17</v>
      </c>
      <c r="D27" s="9">
        <v>19</v>
      </c>
      <c r="E27" s="8">
        <v>50016</v>
      </c>
      <c r="F27" s="28">
        <v>2</v>
      </c>
      <c r="G27" s="28">
        <v>0.05</v>
      </c>
      <c r="H27" s="87">
        <v>407.96408081054687</v>
      </c>
      <c r="I27" s="42">
        <v>180</v>
      </c>
      <c r="J27" s="87">
        <v>90</v>
      </c>
      <c r="K27" s="28">
        <v>30</v>
      </c>
      <c r="L27" s="28">
        <v>21.47</v>
      </c>
      <c r="M27" s="13">
        <v>28.056901931762695</v>
      </c>
      <c r="N27" s="28">
        <v>37</v>
      </c>
      <c r="O27" s="13">
        <v>18.666208267211914</v>
      </c>
      <c r="P27" s="13">
        <v>17.363597869873047</v>
      </c>
      <c r="Q27" s="85">
        <v>0</v>
      </c>
      <c r="R27" s="86">
        <v>0</v>
      </c>
      <c r="S27" s="7">
        <v>3.7348129749298096</v>
      </c>
      <c r="T27" s="86">
        <v>73953.999999925494</v>
      </c>
      <c r="U27" s="86">
        <f t="shared" si="43"/>
        <v>4350.235294113264</v>
      </c>
      <c r="V27" s="7">
        <v>14</v>
      </c>
      <c r="W27" s="7">
        <v>14</v>
      </c>
      <c r="X27" s="6">
        <v>10</v>
      </c>
      <c r="Y27" s="6">
        <v>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43"/>
      <c r="AO27" s="10">
        <v>681.69</v>
      </c>
      <c r="AP27" s="11">
        <v>30</v>
      </c>
      <c r="AQ27" s="12">
        <f t="shared" si="44"/>
        <v>19.315664544672099</v>
      </c>
      <c r="AR27" s="12">
        <f t="shared" si="45"/>
        <v>680.96408081054687</v>
      </c>
      <c r="AS27" s="9">
        <f t="shared" si="46"/>
        <v>19.315664544672099</v>
      </c>
      <c r="AT27" s="9">
        <f t="shared" si="47"/>
        <v>680.96408081054687</v>
      </c>
      <c r="AU27" s="9">
        <v>91.43098657252267</v>
      </c>
      <c r="AV27" s="9">
        <f t="shared" si="48"/>
        <v>30</v>
      </c>
      <c r="AW27" s="9">
        <f t="shared" ca="1" si="49"/>
        <v>1.9875309556149148</v>
      </c>
      <c r="AX27" s="9">
        <f t="shared" si="50"/>
        <v>180</v>
      </c>
      <c r="AY27" s="9">
        <f t="shared" si="51"/>
        <v>19.315664544672099</v>
      </c>
      <c r="AZ27" s="9">
        <f t="shared" si="52"/>
        <v>681.69</v>
      </c>
      <c r="BA27" s="13">
        <f t="shared" ca="1" si="53"/>
        <v>5450.6755887815725</v>
      </c>
      <c r="BB27" s="10">
        <f t="shared" si="54"/>
        <v>17.363597869873047</v>
      </c>
      <c r="BC27" s="9">
        <f t="shared" ca="1" si="55"/>
        <v>5450.6755887815725</v>
      </c>
      <c r="BD27" s="9">
        <f t="shared" si="56"/>
        <v>18.666208267211914</v>
      </c>
      <c r="BE27" s="9">
        <f t="shared" si="57"/>
        <v>21.47</v>
      </c>
      <c r="BF27" s="9">
        <f t="shared" si="58"/>
        <v>28.056901931762695</v>
      </c>
      <c r="BG27" s="7">
        <f t="shared" si="59"/>
        <v>21.47</v>
      </c>
      <c r="BH27" s="9">
        <f t="shared" si="60"/>
        <v>37</v>
      </c>
      <c r="BJ27" s="3"/>
      <c r="BK27" s="3"/>
      <c r="BL27" s="3"/>
      <c r="BM27" s="3"/>
      <c r="BP27" s="3"/>
      <c r="BT27" s="3"/>
      <c r="DF27" s="20">
        <v>0.21890000000000001</v>
      </c>
      <c r="DG27" s="15">
        <f t="shared" si="61"/>
        <v>1.0374480485916138</v>
      </c>
      <c r="DH27" s="15">
        <f t="shared" ca="1" si="62"/>
        <v>264.84860167080745</v>
      </c>
      <c r="DI27" s="100">
        <f t="shared" ca="1" si="63"/>
        <v>1.0269014174256808</v>
      </c>
      <c r="DJ27" s="20">
        <f t="shared" si="64"/>
        <v>1.4940898864615764</v>
      </c>
      <c r="DK27" s="25">
        <f t="shared" si="65"/>
        <v>0.3156645446721007</v>
      </c>
      <c r="DL27" s="26">
        <f t="shared" si="0"/>
        <v>0.02</v>
      </c>
      <c r="DM27" s="15">
        <f t="shared" si="1"/>
        <v>680.96408081054687</v>
      </c>
      <c r="DN27" s="41">
        <f t="shared" si="2"/>
        <v>473</v>
      </c>
      <c r="DO27" s="15">
        <f t="shared" ca="1" si="3"/>
        <v>416.11547913973942</v>
      </c>
      <c r="DP27" s="26">
        <f t="shared" si="4"/>
        <v>453</v>
      </c>
      <c r="DQ27" s="21">
        <f t="shared" ca="1" si="5"/>
        <v>2816.5993052117487</v>
      </c>
      <c r="DR27" s="21">
        <v>2.87E-2</v>
      </c>
      <c r="DS27" s="26">
        <f t="shared" si="6"/>
        <v>303</v>
      </c>
      <c r="DT27" s="102">
        <f t="shared" ca="1" si="7"/>
        <v>125.80344444444444</v>
      </c>
      <c r="DU27" s="15">
        <f t="shared" si="8"/>
        <v>165</v>
      </c>
      <c r="DV27" s="15">
        <f t="shared" ca="1" si="9"/>
        <v>690.58718083896258</v>
      </c>
      <c r="DW27" s="15">
        <f t="shared" ca="1" si="10"/>
        <v>2790.6388281929471</v>
      </c>
      <c r="DX27" s="15">
        <f t="shared" si="11"/>
        <v>1.0569987011332027</v>
      </c>
      <c r="DY27" s="15">
        <f t="shared" si="12"/>
        <v>0</v>
      </c>
      <c r="DZ27" s="15">
        <f t="shared" si="13"/>
        <v>0</v>
      </c>
      <c r="EA27" s="15">
        <f t="shared" si="14"/>
        <v>0</v>
      </c>
      <c r="EB27" s="15">
        <f t="shared" si="15"/>
        <v>301.0569019317627</v>
      </c>
      <c r="EC27" s="15">
        <f t="shared" ca="1" si="16"/>
        <v>117.50569646241929</v>
      </c>
      <c r="ED27" s="15">
        <f t="shared" ca="1" si="17"/>
        <v>154.93355555555553</v>
      </c>
      <c r="EE27" s="15">
        <f t="shared" ca="1" si="18"/>
        <v>78.204600065867112</v>
      </c>
      <c r="EF27" s="15">
        <f t="shared" ca="1" si="19"/>
        <v>72.753030818515356</v>
      </c>
      <c r="EG27" s="17">
        <f t="shared" si="66"/>
        <v>680.96408081054687</v>
      </c>
      <c r="EH27" s="17">
        <f t="shared" si="20"/>
        <v>303</v>
      </c>
      <c r="EI27" s="17">
        <f t="shared" si="67"/>
        <v>680.96408081054687</v>
      </c>
      <c r="EJ27" s="17">
        <f t="shared" si="68"/>
        <v>680.96408081054687</v>
      </c>
      <c r="EK27" s="17">
        <f t="shared" si="69"/>
        <v>303</v>
      </c>
      <c r="EL27" s="15">
        <f t="shared" ca="1" si="21"/>
        <v>125.80344444444444</v>
      </c>
      <c r="EM27" s="108">
        <v>104.83</v>
      </c>
      <c r="EN27" s="21">
        <f t="shared" ca="1" si="22"/>
        <v>0.43681333333333322</v>
      </c>
      <c r="EO27" s="109">
        <v>0.36720000000000003</v>
      </c>
      <c r="EP27" s="26">
        <f t="shared" si="23"/>
        <v>10.000062092517851</v>
      </c>
      <c r="EQ27" s="17">
        <f t="shared" si="70"/>
        <v>453</v>
      </c>
      <c r="ER27" s="15">
        <f t="shared" ca="1" si="24"/>
        <v>2816.5993052117487</v>
      </c>
      <c r="ES27" s="108">
        <v>104.83</v>
      </c>
      <c r="ET27" s="15">
        <f t="shared" ca="1" si="25"/>
        <v>6.5855309782608691</v>
      </c>
      <c r="EU27" s="109">
        <v>0.36720000000000003</v>
      </c>
      <c r="EV27" s="17">
        <f t="shared" ca="1" si="71"/>
        <v>689.11547913973936</v>
      </c>
      <c r="EW27" s="17">
        <f t="shared" si="72"/>
        <v>290.36359786987305</v>
      </c>
      <c r="EX27" s="15">
        <f t="shared" ca="1" si="26"/>
        <v>72.753030818515356</v>
      </c>
      <c r="EY27" s="108">
        <v>104.83</v>
      </c>
      <c r="EZ27" s="21">
        <f t="shared" ca="1" si="27"/>
        <v>0.24870350362989638</v>
      </c>
      <c r="FA27" s="109">
        <v>0.36720000000000003</v>
      </c>
      <c r="FB27" s="17">
        <f t="shared" si="73"/>
        <v>291.66620826721191</v>
      </c>
      <c r="FC27" s="15">
        <f t="shared" ca="1" si="28"/>
        <v>78.204600065867112</v>
      </c>
      <c r="FD27" s="108">
        <v>104.83</v>
      </c>
      <c r="FE27" s="21">
        <f t="shared" ca="1" si="29"/>
        <v>0.26686768194834393</v>
      </c>
      <c r="FF27" s="109">
        <v>0.36720000000000003</v>
      </c>
      <c r="FG27" s="17">
        <f t="shared" si="74"/>
        <v>301.0569019317627</v>
      </c>
      <c r="FH27" s="15">
        <f t="shared" ca="1" si="30"/>
        <v>117.50569646241929</v>
      </c>
      <c r="FI27" s="108">
        <v>104.83</v>
      </c>
      <c r="FJ27" s="21">
        <f t="shared" ca="1" si="31"/>
        <v>0.39781568804846867</v>
      </c>
      <c r="FK27" s="109">
        <v>0.36720000000000003</v>
      </c>
      <c r="FL27" s="17">
        <f t="shared" si="75"/>
        <v>310</v>
      </c>
      <c r="FM27" s="15">
        <f t="shared" ca="1" si="32"/>
        <v>154.93355555555553</v>
      </c>
      <c r="FN27" s="108">
        <v>104.83</v>
      </c>
      <c r="FO27" s="21">
        <f t="shared" ca="1" si="33"/>
        <v>0.52252222222222222</v>
      </c>
      <c r="FP27" s="106">
        <v>0.36720000000000003</v>
      </c>
      <c r="FQ27" s="15">
        <f t="shared" si="76"/>
        <v>16274.556824602438</v>
      </c>
      <c r="FR27" s="15">
        <f t="shared" si="34"/>
        <v>2885.0350866977096</v>
      </c>
      <c r="FS27" s="15">
        <f t="shared" si="35"/>
        <v>1904.1231572204883</v>
      </c>
      <c r="FT27" s="15">
        <f t="shared" si="77"/>
        <v>980.91192947722107</v>
      </c>
      <c r="FU27" s="15">
        <f t="shared" si="36"/>
        <v>4350.235294113264</v>
      </c>
      <c r="FV27" s="15">
        <f t="shared" ca="1" si="78"/>
        <v>28.21595390982182</v>
      </c>
      <c r="FW27" s="15">
        <f t="shared" ca="1" si="37"/>
        <v>2989.7558793328112</v>
      </c>
      <c r="FX27" s="15">
        <f t="shared" ca="1" si="38"/>
        <v>2619.7839137557594</v>
      </c>
      <c r="FY27" s="15">
        <f t="shared" ca="1" si="79"/>
        <v>65.288600111110782</v>
      </c>
      <c r="FZ27" s="15">
        <f t="shared" ca="1" si="80"/>
        <v>65.288600111110782</v>
      </c>
      <c r="GA27" s="15">
        <f t="shared" ca="1" si="81"/>
        <v>20577.894318794653</v>
      </c>
      <c r="GB27" s="21">
        <f t="shared" ca="1" si="82"/>
        <v>56.884520860260587</v>
      </c>
      <c r="GC27" s="15">
        <f t="shared" ca="1" si="83"/>
        <v>20862.293036945313</v>
      </c>
      <c r="GD27" s="82">
        <f t="shared" si="39"/>
        <v>19.315664544672099</v>
      </c>
      <c r="GE27" s="82">
        <f t="shared" ca="1" si="84"/>
        <v>1.9875309556149148</v>
      </c>
      <c r="GF27" s="82">
        <f t="shared" ca="1" si="85"/>
        <v>5450.6755887815725</v>
      </c>
      <c r="GG27" s="110">
        <f t="shared" si="86"/>
        <v>0.2755357696986932</v>
      </c>
      <c r="GH27" s="110">
        <f t="shared" ca="1" si="87"/>
        <v>0.13266850476598988</v>
      </c>
      <c r="GI27" s="110" t="e">
        <f t="shared" si="88"/>
        <v>#DIV/0!</v>
      </c>
      <c r="GJ27" s="110">
        <f t="shared" si="89"/>
        <v>0.32489848250502296</v>
      </c>
      <c r="GK27" s="110">
        <f t="shared" ca="1" si="90"/>
        <v>2.3871498224588388</v>
      </c>
      <c r="GL27" s="110">
        <f t="shared" ca="1" si="91"/>
        <v>7.9633640497612008</v>
      </c>
      <c r="GM27" s="114">
        <f t="shared" si="40"/>
        <v>46.247170035973035</v>
      </c>
      <c r="GN27" s="114">
        <f t="shared" ca="1" si="41"/>
        <v>10.921320831844444</v>
      </c>
      <c r="GO27" s="114">
        <f t="shared" ca="1" si="42"/>
        <v>-18399.448179831175</v>
      </c>
    </row>
    <row r="28" spans="1:197" x14ac:dyDescent="0.25">
      <c r="A28" s="6">
        <v>25</v>
      </c>
      <c r="B28" s="86">
        <v>25929.700949177146</v>
      </c>
      <c r="C28" s="86">
        <v>17</v>
      </c>
      <c r="D28" s="9">
        <v>19</v>
      </c>
      <c r="E28" s="8">
        <v>50016</v>
      </c>
      <c r="F28" s="28">
        <v>2</v>
      </c>
      <c r="G28" s="28">
        <v>0.05</v>
      </c>
      <c r="H28" s="87">
        <v>398.70968627929687</v>
      </c>
      <c r="I28" s="42">
        <v>180</v>
      </c>
      <c r="J28" s="87">
        <v>90</v>
      </c>
      <c r="K28" s="28">
        <v>30</v>
      </c>
      <c r="L28" s="28">
        <v>21.47</v>
      </c>
      <c r="M28" s="13">
        <v>29.014019012451172</v>
      </c>
      <c r="N28" s="28">
        <v>37</v>
      </c>
      <c r="O28" s="13">
        <v>15.628728866577148</v>
      </c>
      <c r="P28" s="13">
        <v>12.513605117797852</v>
      </c>
      <c r="Q28" s="85">
        <v>8766.3667188584805</v>
      </c>
      <c r="R28" s="86">
        <v>79553.014405429363</v>
      </c>
      <c r="S28" s="7">
        <v>3.1134250164031982</v>
      </c>
      <c r="T28" s="86">
        <v>69939.189166657627</v>
      </c>
      <c r="U28" s="86">
        <f t="shared" si="43"/>
        <v>4114.0699509798606</v>
      </c>
      <c r="V28" s="7">
        <v>14</v>
      </c>
      <c r="W28" s="7">
        <v>14</v>
      </c>
      <c r="X28" s="6">
        <v>10</v>
      </c>
      <c r="Y28" s="6">
        <v>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43"/>
      <c r="AO28" s="10">
        <v>681.69</v>
      </c>
      <c r="AP28" s="11">
        <v>30</v>
      </c>
      <c r="AQ28" s="12">
        <f t="shared" si="44"/>
        <v>19.301366869872037</v>
      </c>
      <c r="AR28" s="12">
        <f t="shared" si="45"/>
        <v>671.70968627929687</v>
      </c>
      <c r="AS28" s="9">
        <f t="shared" si="46"/>
        <v>19.301366869872037</v>
      </c>
      <c r="AT28" s="9">
        <f t="shared" si="47"/>
        <v>671.70968627929687</v>
      </c>
      <c r="AU28" s="9">
        <v>79.98900696382043</v>
      </c>
      <c r="AV28" s="9">
        <f t="shared" si="48"/>
        <v>30</v>
      </c>
      <c r="AW28" s="9">
        <f t="shared" ca="1" si="49"/>
        <v>1.8934875792903227</v>
      </c>
      <c r="AX28" s="9">
        <f t="shared" si="50"/>
        <v>180</v>
      </c>
      <c r="AY28" s="9">
        <f t="shared" si="51"/>
        <v>19.301366869872037</v>
      </c>
      <c r="AZ28" s="9">
        <f t="shared" si="52"/>
        <v>681.69</v>
      </c>
      <c r="BA28" s="13">
        <f t="shared" ca="1" si="53"/>
        <v>5278.1549654033743</v>
      </c>
      <c r="BB28" s="10">
        <f t="shared" si="54"/>
        <v>12.513605117797852</v>
      </c>
      <c r="BC28" s="9">
        <f t="shared" ca="1" si="55"/>
        <v>5278.1549654033743</v>
      </c>
      <c r="BD28" s="9">
        <f t="shared" si="56"/>
        <v>15.628728866577148</v>
      </c>
      <c r="BE28" s="9">
        <f t="shared" si="57"/>
        <v>21.47</v>
      </c>
      <c r="BF28" s="9">
        <f t="shared" si="58"/>
        <v>29.014019012451172</v>
      </c>
      <c r="BG28" s="7">
        <f t="shared" si="59"/>
        <v>21.47</v>
      </c>
      <c r="BH28" s="9">
        <f t="shared" si="60"/>
        <v>37</v>
      </c>
      <c r="BJ28" s="3"/>
      <c r="BK28" s="3"/>
      <c r="BL28" s="3"/>
      <c r="BM28" s="3"/>
      <c r="BP28" s="3"/>
      <c r="BT28" s="3"/>
      <c r="DF28" s="20">
        <v>0.21890000000000001</v>
      </c>
      <c r="DG28" s="15">
        <f t="shared" si="61"/>
        <v>0.86484028233422172</v>
      </c>
      <c r="DH28" s="15">
        <f t="shared" ca="1" si="62"/>
        <v>252.94276412141971</v>
      </c>
      <c r="DI28" s="100">
        <f t="shared" ca="1" si="63"/>
        <v>1.0246891124321047</v>
      </c>
      <c r="DJ28" s="20">
        <f t="shared" si="64"/>
        <v>1.307114478502901</v>
      </c>
      <c r="DK28" s="25">
        <f t="shared" si="65"/>
        <v>0.30136686987203626</v>
      </c>
      <c r="DL28" s="26">
        <f t="shared" si="0"/>
        <v>0.02</v>
      </c>
      <c r="DM28" s="15">
        <f t="shared" si="1"/>
        <v>671.70968627929687</v>
      </c>
      <c r="DN28" s="41">
        <f t="shared" si="2"/>
        <v>473</v>
      </c>
      <c r="DO28" s="15">
        <f t="shared" ca="1" si="3"/>
        <v>418.76692215787716</v>
      </c>
      <c r="DP28" s="26">
        <f t="shared" si="4"/>
        <v>453</v>
      </c>
      <c r="DQ28" s="21">
        <f t="shared" ca="1" si="5"/>
        <v>2816.5993052117487</v>
      </c>
      <c r="DR28" s="21">
        <v>2.87E-2</v>
      </c>
      <c r="DS28" s="26">
        <f t="shared" si="6"/>
        <v>303</v>
      </c>
      <c r="DT28" s="102">
        <f t="shared" ca="1" si="7"/>
        <v>125.80344444444444</v>
      </c>
      <c r="DU28" s="15">
        <f t="shared" si="8"/>
        <v>165</v>
      </c>
      <c r="DV28" s="15">
        <f t="shared" ca="1" si="9"/>
        <v>690.58718083896258</v>
      </c>
      <c r="DW28" s="15">
        <f t="shared" ca="1" si="10"/>
        <v>2790.6388281929471</v>
      </c>
      <c r="DX28" s="15">
        <f t="shared" si="11"/>
        <v>1.0548789508293961</v>
      </c>
      <c r="DY28" s="15">
        <f t="shared" si="12"/>
        <v>0</v>
      </c>
      <c r="DZ28" s="15">
        <f t="shared" si="13"/>
        <v>0</v>
      </c>
      <c r="EA28" s="15">
        <f t="shared" si="14"/>
        <v>0</v>
      </c>
      <c r="EB28" s="15">
        <f t="shared" si="15"/>
        <v>302.01401901245117</v>
      </c>
      <c r="EC28" s="15">
        <f t="shared" ca="1" si="16"/>
        <v>121.51133779144287</v>
      </c>
      <c r="ED28" s="15">
        <f t="shared" ca="1" si="17"/>
        <v>154.93355555555553</v>
      </c>
      <c r="EE28" s="15">
        <f t="shared" ca="1" si="18"/>
        <v>65.492411276499439</v>
      </c>
      <c r="EF28" s="15">
        <f t="shared" ca="1" si="19"/>
        <v>52.455272262997106</v>
      </c>
      <c r="EG28" s="17">
        <f t="shared" si="66"/>
        <v>671.70968627929687</v>
      </c>
      <c r="EH28" s="17">
        <f t="shared" si="20"/>
        <v>303</v>
      </c>
      <c r="EI28" s="17">
        <f t="shared" si="67"/>
        <v>671.70968627929687</v>
      </c>
      <c r="EJ28" s="17">
        <f t="shared" si="68"/>
        <v>671.70968627929687</v>
      </c>
      <c r="EK28" s="17">
        <f t="shared" si="69"/>
        <v>303</v>
      </c>
      <c r="EL28" s="15">
        <f t="shared" ca="1" si="21"/>
        <v>125.80344444444444</v>
      </c>
      <c r="EM28" s="108">
        <v>104.83</v>
      </c>
      <c r="EN28" s="21">
        <f t="shared" ca="1" si="22"/>
        <v>0.43681333333333322</v>
      </c>
      <c r="EO28" s="109">
        <v>0.36720000000000003</v>
      </c>
      <c r="EP28" s="26">
        <f t="shared" si="23"/>
        <v>10.000062092517851</v>
      </c>
      <c r="EQ28" s="17">
        <f t="shared" si="70"/>
        <v>453</v>
      </c>
      <c r="ER28" s="15">
        <f t="shared" ca="1" si="24"/>
        <v>2816.5993052117487</v>
      </c>
      <c r="ES28" s="108">
        <v>104.83</v>
      </c>
      <c r="ET28" s="15">
        <f t="shared" ca="1" si="25"/>
        <v>6.5855309782608691</v>
      </c>
      <c r="EU28" s="109">
        <v>0.36720000000000003</v>
      </c>
      <c r="EV28" s="17">
        <f t="shared" ca="1" si="71"/>
        <v>691.76692215787716</v>
      </c>
      <c r="EW28" s="17">
        <f t="shared" si="72"/>
        <v>285.51360511779785</v>
      </c>
      <c r="EX28" s="15">
        <f t="shared" ca="1" si="26"/>
        <v>52.455272262997106</v>
      </c>
      <c r="EY28" s="108">
        <v>104.83</v>
      </c>
      <c r="EZ28" s="21">
        <f t="shared" ca="1" si="27"/>
        <v>0.18107304914262559</v>
      </c>
      <c r="FA28" s="109">
        <v>0.36720000000000003</v>
      </c>
      <c r="FB28" s="17">
        <f t="shared" si="73"/>
        <v>288.62872886657715</v>
      </c>
      <c r="FC28" s="15">
        <f t="shared" ca="1" si="28"/>
        <v>65.492411276499439</v>
      </c>
      <c r="FD28" s="108">
        <v>104.83</v>
      </c>
      <c r="FE28" s="21">
        <f t="shared" ca="1" si="29"/>
        <v>0.224511719195048</v>
      </c>
      <c r="FF28" s="109">
        <v>0.36720000000000003</v>
      </c>
      <c r="FG28" s="17">
        <f t="shared" si="74"/>
        <v>302.01401901245117</v>
      </c>
      <c r="FH28" s="15">
        <f t="shared" ca="1" si="30"/>
        <v>121.51133779144287</v>
      </c>
      <c r="FI28" s="108">
        <v>104.83</v>
      </c>
      <c r="FJ28" s="21">
        <f t="shared" ca="1" si="31"/>
        <v>0.41116215400695799</v>
      </c>
      <c r="FK28" s="109">
        <v>0.36720000000000003</v>
      </c>
      <c r="FL28" s="17">
        <f t="shared" si="75"/>
        <v>310</v>
      </c>
      <c r="FM28" s="15">
        <f t="shared" ca="1" si="32"/>
        <v>154.93355555555553</v>
      </c>
      <c r="FN28" s="108">
        <v>104.83</v>
      </c>
      <c r="FO28" s="21">
        <f t="shared" ca="1" si="33"/>
        <v>0.52252222222222222</v>
      </c>
      <c r="FP28" s="106">
        <v>0.36720000000000003</v>
      </c>
      <c r="FQ28" s="15">
        <f t="shared" si="76"/>
        <v>15537.418856716175</v>
      </c>
      <c r="FR28" s="15">
        <f t="shared" si="34"/>
        <v>2765.7148906138277</v>
      </c>
      <c r="FS28" s="15">
        <f t="shared" si="35"/>
        <v>1825.371827805126</v>
      </c>
      <c r="FT28" s="15">
        <f t="shared" si="77"/>
        <v>940.34306280870135</v>
      </c>
      <c r="FU28" s="15">
        <f t="shared" si="36"/>
        <v>4114.0699509798606</v>
      </c>
      <c r="FV28" s="15">
        <f t="shared" ca="1" si="78"/>
        <v>24.684915020504103</v>
      </c>
      <c r="FW28" s="15">
        <f t="shared" ca="1" si="37"/>
        <v>3021.8653495388703</v>
      </c>
      <c r="FX28" s="15">
        <f t="shared" ca="1" si="38"/>
        <v>2183.9114379780021</v>
      </c>
      <c r="FY28" s="15">
        <f t="shared" ca="1" si="79"/>
        <v>65.288600111110782</v>
      </c>
      <c r="FZ28" s="15">
        <f t="shared" ca="1" si="80"/>
        <v>65.288600111110782</v>
      </c>
      <c r="GA28" s="15">
        <f t="shared" ca="1" si="81"/>
        <v>20568.760676224865</v>
      </c>
      <c r="GB28" s="21">
        <f t="shared" ca="1" si="82"/>
        <v>54.233077842122846</v>
      </c>
      <c r="GC28" s="15">
        <f t="shared" ca="1" si="83"/>
        <v>21227.358361850293</v>
      </c>
      <c r="GD28" s="82">
        <f t="shared" si="39"/>
        <v>19.301366869872037</v>
      </c>
      <c r="GE28" s="82">
        <f t="shared" ca="1" si="84"/>
        <v>1.8934875792903227</v>
      </c>
      <c r="GF28" s="82">
        <f t="shared" ca="1" si="85"/>
        <v>5278.1549654033743</v>
      </c>
      <c r="GG28" s="110">
        <f t="shared" si="86"/>
        <v>0.27294001304707877</v>
      </c>
      <c r="GH28" s="110">
        <f t="shared" ca="1" si="87"/>
        <v>0.11591586698753445</v>
      </c>
      <c r="GI28" s="110">
        <f t="shared" si="88"/>
        <v>0.57936530111261619</v>
      </c>
      <c r="GJ28" s="110">
        <f t="shared" si="89"/>
        <v>0.32212381072244567</v>
      </c>
      <c r="GK28" s="110">
        <f t="shared" ca="1" si="90"/>
        <v>1.8046286784977603</v>
      </c>
      <c r="GL28" s="110">
        <f t="shared" ca="1" si="91"/>
        <v>9.7198805742342138</v>
      </c>
      <c r="GM28" s="114">
        <f t="shared" si="40"/>
        <v>46.661495961932516</v>
      </c>
      <c r="GN28" s="114">
        <f t="shared" ca="1" si="41"/>
        <v>10.247335550944451</v>
      </c>
      <c r="GO28" s="114">
        <f t="shared" ca="1" si="42"/>
        <v>-47924.390803877206</v>
      </c>
    </row>
    <row r="29" spans="1:197" x14ac:dyDescent="0.25">
      <c r="A29" s="6">
        <v>26</v>
      </c>
      <c r="B29" s="86">
        <v>20788.463618345559</v>
      </c>
      <c r="C29" s="86">
        <v>17</v>
      </c>
      <c r="D29" s="9">
        <v>19</v>
      </c>
      <c r="E29" s="8">
        <v>50016</v>
      </c>
      <c r="F29" s="28">
        <v>2</v>
      </c>
      <c r="G29" s="28">
        <v>0.05</v>
      </c>
      <c r="H29" s="87">
        <v>326.09124755859375</v>
      </c>
      <c r="I29" s="42">
        <v>180</v>
      </c>
      <c r="J29" s="87">
        <v>90</v>
      </c>
      <c r="K29" s="28">
        <v>30</v>
      </c>
      <c r="L29" s="28">
        <v>21.47</v>
      </c>
      <c r="M29" s="13">
        <v>28.309240341186523</v>
      </c>
      <c r="N29" s="28">
        <v>37</v>
      </c>
      <c r="O29" s="13">
        <v>17.647891998291016</v>
      </c>
      <c r="P29" s="13">
        <v>16.220386505126953</v>
      </c>
      <c r="Q29" s="85">
        <v>0</v>
      </c>
      <c r="R29" s="86">
        <v>0</v>
      </c>
      <c r="S29" s="7">
        <v>2.3915867805480957</v>
      </c>
      <c r="T29" s="86">
        <v>55817.152221217752</v>
      </c>
      <c r="U29" s="86">
        <f t="shared" si="43"/>
        <v>3283.3618953657501</v>
      </c>
      <c r="V29" s="7">
        <v>14</v>
      </c>
      <c r="W29" s="7">
        <v>14</v>
      </c>
      <c r="X29" s="6">
        <v>10</v>
      </c>
      <c r="Y29" s="6">
        <v>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43"/>
      <c r="AO29" s="10">
        <v>681.69</v>
      </c>
      <c r="AP29" s="11">
        <v>30</v>
      </c>
      <c r="AQ29" s="12">
        <f t="shared" si="44"/>
        <v>19.241613053015495</v>
      </c>
      <c r="AR29" s="12">
        <f t="shared" si="45"/>
        <v>599.09124755859375</v>
      </c>
      <c r="AS29" s="9">
        <f t="shared" si="46"/>
        <v>19.241613053015495</v>
      </c>
      <c r="AT29" s="9">
        <f t="shared" si="47"/>
        <v>599.09124755859375</v>
      </c>
      <c r="AU29" s="9">
        <v>53.9460820670065</v>
      </c>
      <c r="AV29" s="9">
        <f t="shared" si="48"/>
        <v>30</v>
      </c>
      <c r="AW29" s="9">
        <f t="shared" ca="1" si="49"/>
        <v>1.177186379437845</v>
      </c>
      <c r="AX29" s="9">
        <f t="shared" si="50"/>
        <v>180</v>
      </c>
      <c r="AY29" s="9">
        <f t="shared" si="51"/>
        <v>19.241613053015495</v>
      </c>
      <c r="AZ29" s="9">
        <f t="shared" si="52"/>
        <v>681.69</v>
      </c>
      <c r="BA29" s="13">
        <f t="shared" ca="1" si="53"/>
        <v>3184.9513809106352</v>
      </c>
      <c r="BB29" s="10">
        <f t="shared" si="54"/>
        <v>16.220386505126953</v>
      </c>
      <c r="BC29" s="9">
        <f t="shared" ca="1" si="55"/>
        <v>3184.9513809106352</v>
      </c>
      <c r="BD29" s="9">
        <f t="shared" si="56"/>
        <v>17.647891998291016</v>
      </c>
      <c r="BE29" s="9">
        <f t="shared" si="57"/>
        <v>21.47</v>
      </c>
      <c r="BF29" s="9">
        <f t="shared" si="58"/>
        <v>28.309240341186523</v>
      </c>
      <c r="BG29" s="7">
        <f t="shared" si="59"/>
        <v>21.47</v>
      </c>
      <c r="BH29" s="9">
        <f t="shared" si="60"/>
        <v>37</v>
      </c>
      <c r="BJ29" s="3"/>
      <c r="BK29" s="3"/>
      <c r="BL29" s="3"/>
      <c r="BM29" s="3"/>
      <c r="BP29" s="3"/>
      <c r="BT29" s="3"/>
      <c r="DF29" s="20">
        <v>0.21890000000000001</v>
      </c>
      <c r="DG29" s="15">
        <f t="shared" si="61"/>
        <v>0.66432966126335991</v>
      </c>
      <c r="DH29" s="15">
        <f t="shared" ca="1" si="62"/>
        <v>159.91280550856965</v>
      </c>
      <c r="DI29" s="100">
        <f t="shared" ca="1" si="63"/>
        <v>1.0092409004985354</v>
      </c>
      <c r="DJ29" s="20">
        <f t="shared" si="64"/>
        <v>0.88154244695378858</v>
      </c>
      <c r="DK29" s="25">
        <f t="shared" si="65"/>
        <v>0.24161305301549643</v>
      </c>
      <c r="DL29" s="26">
        <f t="shared" si="0"/>
        <v>0.02</v>
      </c>
      <c r="DM29" s="15">
        <f t="shared" si="1"/>
        <v>599.09124755859375</v>
      </c>
      <c r="DN29" s="41">
        <f t="shared" si="2"/>
        <v>473</v>
      </c>
      <c r="DO29" s="15">
        <f t="shared" ca="1" si="3"/>
        <v>439.1784420500241</v>
      </c>
      <c r="DP29" s="26">
        <f t="shared" si="4"/>
        <v>453</v>
      </c>
      <c r="DQ29" s="21">
        <f t="shared" ca="1" si="5"/>
        <v>2816.5993052117487</v>
      </c>
      <c r="DR29" s="21">
        <v>2.87E-2</v>
      </c>
      <c r="DS29" s="26">
        <f t="shared" si="6"/>
        <v>303</v>
      </c>
      <c r="DT29" s="102">
        <f t="shared" ca="1" si="7"/>
        <v>125.80344444444444</v>
      </c>
      <c r="DU29" s="15">
        <f t="shared" si="8"/>
        <v>165</v>
      </c>
      <c r="DV29" s="15">
        <f t="shared" ca="1" si="9"/>
        <v>690.58718083896258</v>
      </c>
      <c r="DW29" s="15">
        <f t="shared" ca="1" si="10"/>
        <v>2790.6388281929471</v>
      </c>
      <c r="DX29" s="15">
        <f t="shared" si="11"/>
        <v>1.0390337749774967</v>
      </c>
      <c r="DY29" s="15">
        <f t="shared" si="12"/>
        <v>0</v>
      </c>
      <c r="DZ29" s="15">
        <f t="shared" si="13"/>
        <v>0</v>
      </c>
      <c r="EA29" s="15">
        <f t="shared" si="14"/>
        <v>0</v>
      </c>
      <c r="EB29" s="15">
        <f t="shared" si="15"/>
        <v>301.30924034118652</v>
      </c>
      <c r="EC29" s="15">
        <f t="shared" ca="1" si="16"/>
        <v>118.56176074345906</v>
      </c>
      <c r="ED29" s="15">
        <f t="shared" ca="1" si="17"/>
        <v>154.93355555555553</v>
      </c>
      <c r="EE29" s="15">
        <f t="shared" ca="1" si="18"/>
        <v>73.942833334181046</v>
      </c>
      <c r="EF29" s="15">
        <f t="shared" ca="1" si="19"/>
        <v>67.968564233567989</v>
      </c>
      <c r="EG29" s="17">
        <f t="shared" si="66"/>
        <v>599.09124755859375</v>
      </c>
      <c r="EH29" s="17">
        <f t="shared" si="20"/>
        <v>303</v>
      </c>
      <c r="EI29" s="17">
        <f t="shared" si="67"/>
        <v>599.09124755859375</v>
      </c>
      <c r="EJ29" s="17">
        <f t="shared" si="68"/>
        <v>599.09124755859375</v>
      </c>
      <c r="EK29" s="17">
        <f t="shared" si="69"/>
        <v>303</v>
      </c>
      <c r="EL29" s="15">
        <f t="shared" ca="1" si="21"/>
        <v>125.80344444444444</v>
      </c>
      <c r="EM29" s="108">
        <v>104.83</v>
      </c>
      <c r="EN29" s="21">
        <f t="shared" ca="1" si="22"/>
        <v>0.43681333333333322</v>
      </c>
      <c r="EO29" s="109">
        <v>0.36720000000000003</v>
      </c>
      <c r="EP29" s="26">
        <f t="shared" si="23"/>
        <v>10.000062092517851</v>
      </c>
      <c r="EQ29" s="17">
        <f t="shared" si="70"/>
        <v>453</v>
      </c>
      <c r="ER29" s="15">
        <f t="shared" ca="1" si="24"/>
        <v>2816.5993052117487</v>
      </c>
      <c r="ES29" s="108">
        <v>104.83</v>
      </c>
      <c r="ET29" s="15">
        <f t="shared" ca="1" si="25"/>
        <v>6.5855309782608691</v>
      </c>
      <c r="EU29" s="109">
        <v>0.36720000000000003</v>
      </c>
      <c r="EV29" s="17">
        <f t="shared" ca="1" si="71"/>
        <v>712.17844205002416</v>
      </c>
      <c r="EW29" s="17">
        <f t="shared" si="72"/>
        <v>289.22038650512695</v>
      </c>
      <c r="EX29" s="15">
        <f t="shared" ca="1" si="26"/>
        <v>67.968564233567989</v>
      </c>
      <c r="EY29" s="108">
        <v>104.83</v>
      </c>
      <c r="EZ29" s="21">
        <f t="shared" ca="1" si="27"/>
        <v>0.23276205626593696</v>
      </c>
      <c r="FA29" s="109">
        <v>0.36720000000000003</v>
      </c>
      <c r="FB29" s="17">
        <f t="shared" si="73"/>
        <v>290.64789199829102</v>
      </c>
      <c r="FC29" s="15">
        <f t="shared" ca="1" si="28"/>
        <v>73.942833334181046</v>
      </c>
      <c r="FD29" s="108">
        <v>104.83</v>
      </c>
      <c r="FE29" s="21">
        <f t="shared" ca="1" si="29"/>
        <v>0.25266782730950249</v>
      </c>
      <c r="FF29" s="109">
        <v>0.36720000000000003</v>
      </c>
      <c r="FG29" s="17">
        <f t="shared" si="74"/>
        <v>301.30924034118652</v>
      </c>
      <c r="FH29" s="15">
        <f t="shared" ca="1" si="30"/>
        <v>118.56176074345906</v>
      </c>
      <c r="FI29" s="108">
        <v>104.83</v>
      </c>
      <c r="FJ29" s="21">
        <f t="shared" ca="1" si="31"/>
        <v>0.40133440697987871</v>
      </c>
      <c r="FK29" s="109">
        <v>0.36720000000000003</v>
      </c>
      <c r="FL29" s="17">
        <f t="shared" si="75"/>
        <v>310</v>
      </c>
      <c r="FM29" s="15">
        <f t="shared" ca="1" si="32"/>
        <v>154.93355555555553</v>
      </c>
      <c r="FN29" s="108">
        <v>104.83</v>
      </c>
      <c r="FO29" s="21">
        <f t="shared" ca="1" si="33"/>
        <v>0.52252222222222222</v>
      </c>
      <c r="FP29" s="106">
        <v>0.36720000000000003</v>
      </c>
      <c r="FQ29" s="15">
        <f t="shared" si="76"/>
        <v>12456.721628179459</v>
      </c>
      <c r="FR29" s="15">
        <f t="shared" si="34"/>
        <v>1903.1052357144117</v>
      </c>
      <c r="FS29" s="15">
        <f t="shared" si="35"/>
        <v>1256.0494555715118</v>
      </c>
      <c r="FT29" s="15">
        <f t="shared" si="77"/>
        <v>647.05578014289995</v>
      </c>
      <c r="FU29" s="15">
        <f t="shared" si="36"/>
        <v>3283.3618953657501</v>
      </c>
      <c r="FV29" s="15">
        <f t="shared" ca="1" si="78"/>
        <v>16.647968290386604</v>
      </c>
      <c r="FW29" s="15">
        <f t="shared" ca="1" si="37"/>
        <v>3280.5060771837775</v>
      </c>
      <c r="FX29" s="15">
        <f t="shared" ca="1" si="38"/>
        <v>1677.578132583353</v>
      </c>
      <c r="FY29" s="15">
        <f t="shared" ca="1" si="79"/>
        <v>65.288600111110782</v>
      </c>
      <c r="FZ29" s="15">
        <f t="shared" ca="1" si="80"/>
        <v>65.288600111110782</v>
      </c>
      <c r="GA29" s="15">
        <f t="shared" ca="1" si="81"/>
        <v>12154.034550779521</v>
      </c>
      <c r="GB29" s="21">
        <f t="shared" ca="1" si="82"/>
        <v>33.821557949975897</v>
      </c>
      <c r="GC29" s="15">
        <f t="shared" ca="1" si="83"/>
        <v>12336.148559758589</v>
      </c>
      <c r="GD29" s="82">
        <f t="shared" si="39"/>
        <v>19.241613053015495</v>
      </c>
      <c r="GE29" s="82">
        <f t="shared" ca="1" si="84"/>
        <v>1.177186379437845</v>
      </c>
      <c r="GF29" s="82">
        <f t="shared" ca="1" si="85"/>
        <v>3184.9513809106352</v>
      </c>
      <c r="GG29" s="110">
        <f t="shared" si="86"/>
        <v>0.27169985352218678</v>
      </c>
      <c r="GH29" s="110">
        <f t="shared" ca="1" si="87"/>
        <v>0.1176815934500067</v>
      </c>
      <c r="GI29" s="110" t="e">
        <f t="shared" si="88"/>
        <v>#DIV/0!</v>
      </c>
      <c r="GJ29" s="110">
        <f t="shared" si="89"/>
        <v>0.3111124919899465</v>
      </c>
      <c r="GK29" s="110">
        <f t="shared" ca="1" si="90"/>
        <v>0.82043257759220889</v>
      </c>
      <c r="GL29" s="110">
        <f t="shared" ca="1" si="91"/>
        <v>7.3535463536126233</v>
      </c>
      <c r="GM29" s="114">
        <f t="shared" si="40"/>
        <v>47.758795836011089</v>
      </c>
      <c r="GN29" s="114">
        <f t="shared" ca="1" si="41"/>
        <v>14.136835492026956</v>
      </c>
      <c r="GO29" s="114">
        <f t="shared" ca="1" si="42"/>
        <v>-101182.63391668255</v>
      </c>
    </row>
    <row r="30" spans="1:197" x14ac:dyDescent="0.25">
      <c r="A30" s="6">
        <v>27</v>
      </c>
      <c r="B30" s="86">
        <v>287.40503588318825</v>
      </c>
      <c r="C30" s="86">
        <v>17</v>
      </c>
      <c r="D30" s="9">
        <v>19</v>
      </c>
      <c r="E30" s="8">
        <v>50016</v>
      </c>
      <c r="F30" s="28">
        <v>2</v>
      </c>
      <c r="G30" s="28">
        <v>0.05</v>
      </c>
      <c r="H30" s="87">
        <v>118.010986328125</v>
      </c>
      <c r="I30" s="42">
        <v>180</v>
      </c>
      <c r="J30" s="87">
        <v>90</v>
      </c>
      <c r="K30" s="28">
        <v>30</v>
      </c>
      <c r="L30" s="28">
        <v>21.47</v>
      </c>
      <c r="M30" s="13">
        <v>29.821897506713867</v>
      </c>
      <c r="N30" s="28">
        <v>37</v>
      </c>
      <c r="O30" s="13">
        <v>15.23932933807373</v>
      </c>
      <c r="P30" s="13">
        <v>11.562970161437988</v>
      </c>
      <c r="Q30" s="85">
        <v>8422.5788041874766</v>
      </c>
      <c r="R30" s="86">
        <v>90192.222211405635</v>
      </c>
      <c r="S30" s="7">
        <v>3.5794481635093689E-2</v>
      </c>
      <c r="T30" s="86">
        <v>0</v>
      </c>
      <c r="U30" s="86">
        <f t="shared" si="43"/>
        <v>0</v>
      </c>
      <c r="V30" s="7">
        <v>14</v>
      </c>
      <c r="W30" s="7">
        <v>14</v>
      </c>
      <c r="X30" s="6">
        <v>10</v>
      </c>
      <c r="Y30" s="6">
        <v>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3"/>
      <c r="AO30" s="10">
        <v>681.69</v>
      </c>
      <c r="AP30" s="11">
        <v>30</v>
      </c>
      <c r="AQ30" s="12">
        <f t="shared" si="44"/>
        <v>19.003340353065365</v>
      </c>
      <c r="AR30" s="12">
        <f t="shared" si="45"/>
        <v>391.010986328125</v>
      </c>
      <c r="AS30" s="9">
        <f t="shared" si="46"/>
        <v>19.003340353065365</v>
      </c>
      <c r="AT30" s="9">
        <f t="shared" si="47"/>
        <v>391.010986328125</v>
      </c>
      <c r="AU30" s="9">
        <v>0.45429756783414632</v>
      </c>
      <c r="AV30" s="9">
        <f t="shared" si="48"/>
        <v>30</v>
      </c>
      <c r="AW30" s="9">
        <f t="shared" ca="1" si="49"/>
        <v>-0.72076216351506339</v>
      </c>
      <c r="AX30" s="9">
        <f t="shared" si="50"/>
        <v>180</v>
      </c>
      <c r="AY30" s="9">
        <f t="shared" si="51"/>
        <v>19.003340353065365</v>
      </c>
      <c r="AZ30" s="9">
        <f t="shared" si="52"/>
        <v>681.69</v>
      </c>
      <c r="BA30" s="13">
        <f t="shared" ca="1" si="53"/>
        <v>-2072.0184493929187</v>
      </c>
      <c r="BB30" s="10">
        <f t="shared" si="54"/>
        <v>11.562970161437988</v>
      </c>
      <c r="BC30" s="9">
        <f t="shared" ca="1" si="55"/>
        <v>-2072.0184493929187</v>
      </c>
      <c r="BD30" s="9">
        <f t="shared" si="56"/>
        <v>15.23932933807373</v>
      </c>
      <c r="BE30" s="9">
        <f t="shared" si="57"/>
        <v>21.47</v>
      </c>
      <c r="BF30" s="9">
        <f t="shared" si="58"/>
        <v>29.821897506713867</v>
      </c>
      <c r="BG30" s="7">
        <f t="shared" si="59"/>
        <v>21.47</v>
      </c>
      <c r="BH30" s="9">
        <f t="shared" si="60"/>
        <v>37</v>
      </c>
      <c r="BJ30" s="3"/>
      <c r="BK30" s="3"/>
      <c r="BL30" s="3"/>
      <c r="BM30" s="3"/>
      <c r="BP30" s="3"/>
      <c r="BT30" s="3"/>
      <c r="DF30" s="20">
        <v>0.21890000000000001</v>
      </c>
      <c r="DG30" s="15">
        <f t="shared" si="61"/>
        <v>9.9429115653038025E-3</v>
      </c>
      <c r="DH30" s="15">
        <f t="shared" ca="1" si="62"/>
        <v>-102.9567666151865</v>
      </c>
      <c r="DI30" s="100">
        <f t="shared" ca="1" si="63"/>
        <v>0.98742041141148151</v>
      </c>
      <c r="DJ30" s="20">
        <f t="shared" si="64"/>
        <v>7.4237567261368148E-3</v>
      </c>
      <c r="DK30" s="25">
        <f t="shared" si="65"/>
        <v>3.3403530653648103E-3</v>
      </c>
      <c r="DL30" s="26">
        <f t="shared" si="0"/>
        <v>0.02</v>
      </c>
      <c r="DM30" s="15">
        <f t="shared" si="1"/>
        <v>391.010986328125</v>
      </c>
      <c r="DN30" s="41">
        <f t="shared" si="2"/>
        <v>473</v>
      </c>
      <c r="DO30" s="15">
        <f t="shared" ca="1" si="3"/>
        <v>493.9677529433115</v>
      </c>
      <c r="DP30" s="26">
        <f t="shared" si="4"/>
        <v>453</v>
      </c>
      <c r="DQ30" s="21">
        <f t="shared" ca="1" si="5"/>
        <v>2816.5993052117487</v>
      </c>
      <c r="DR30" s="21">
        <v>2.87E-2</v>
      </c>
      <c r="DS30" s="26">
        <f t="shared" si="6"/>
        <v>303</v>
      </c>
      <c r="DT30" s="102">
        <f t="shared" ca="1" si="7"/>
        <v>125.80344444444444</v>
      </c>
      <c r="DU30" s="15">
        <f t="shared" si="8"/>
        <v>165</v>
      </c>
      <c r="DV30" s="15">
        <f t="shared" ca="1" si="9"/>
        <v>690.58718083896258</v>
      </c>
      <c r="DW30" s="15">
        <f t="shared" ca="1" si="10"/>
        <v>2790.6388281929471</v>
      </c>
      <c r="DX30" s="15">
        <f t="shared" si="11"/>
        <v>1.0034491771823568</v>
      </c>
      <c r="DY30" s="15">
        <f t="shared" si="12"/>
        <v>0</v>
      </c>
      <c r="DZ30" s="15">
        <f t="shared" si="13"/>
        <v>0</v>
      </c>
      <c r="EA30" s="15">
        <f t="shared" si="14"/>
        <v>0</v>
      </c>
      <c r="EB30" s="15">
        <f t="shared" si="15"/>
        <v>302.82189750671387</v>
      </c>
      <c r="EC30" s="15">
        <f t="shared" ca="1" si="16"/>
        <v>124.89239905420939</v>
      </c>
      <c r="ED30" s="15">
        <f t="shared" ca="1" si="17"/>
        <v>154.93355555555553</v>
      </c>
      <c r="EE30" s="15">
        <f t="shared" ca="1" si="18"/>
        <v>63.862730983098352</v>
      </c>
      <c r="EF30" s="15">
        <f t="shared" ca="1" si="19"/>
        <v>48.476759344524815</v>
      </c>
      <c r="EG30" s="17">
        <f t="shared" si="66"/>
        <v>391.010986328125</v>
      </c>
      <c r="EH30" s="17">
        <f t="shared" si="20"/>
        <v>303</v>
      </c>
      <c r="EI30" s="17">
        <f t="shared" si="67"/>
        <v>391.010986328125</v>
      </c>
      <c r="EJ30" s="17">
        <f t="shared" si="68"/>
        <v>391.010986328125</v>
      </c>
      <c r="EK30" s="17">
        <f t="shared" si="69"/>
        <v>303</v>
      </c>
      <c r="EL30" s="15">
        <f t="shared" ca="1" si="21"/>
        <v>125.80344444444444</v>
      </c>
      <c r="EM30" s="108">
        <v>104.83</v>
      </c>
      <c r="EN30" s="21">
        <f t="shared" ca="1" si="22"/>
        <v>0.43681333333333322</v>
      </c>
      <c r="EO30" s="109">
        <v>0.36720000000000003</v>
      </c>
      <c r="EP30" s="26">
        <f t="shared" si="23"/>
        <v>10.000062092517851</v>
      </c>
      <c r="EQ30" s="17">
        <f t="shared" si="70"/>
        <v>453</v>
      </c>
      <c r="ER30" s="15">
        <f t="shared" ca="1" si="24"/>
        <v>2816.5993052117487</v>
      </c>
      <c r="ES30" s="108">
        <v>104.83</v>
      </c>
      <c r="ET30" s="15">
        <f t="shared" ca="1" si="25"/>
        <v>6.5855309782608691</v>
      </c>
      <c r="EU30" s="109">
        <v>0.36720000000000003</v>
      </c>
      <c r="EV30" s="17">
        <f t="shared" ca="1" si="71"/>
        <v>766.96775294331155</v>
      </c>
      <c r="EW30" s="17">
        <f t="shared" si="72"/>
        <v>284.56297016143799</v>
      </c>
      <c r="EX30" s="15">
        <f t="shared" ca="1" si="26"/>
        <v>48.476759344524815</v>
      </c>
      <c r="EY30" s="108">
        <v>104.83</v>
      </c>
      <c r="EZ30" s="21">
        <f t="shared" ca="1" si="27"/>
        <v>0.16781697280671862</v>
      </c>
      <c r="FA30" s="109">
        <v>0.36720000000000003</v>
      </c>
      <c r="FB30" s="17">
        <f t="shared" si="73"/>
        <v>288.23932933807373</v>
      </c>
      <c r="FC30" s="15">
        <f t="shared" ca="1" si="28"/>
        <v>63.862730983098352</v>
      </c>
      <c r="FD30" s="108">
        <v>104.83</v>
      </c>
      <c r="FE30" s="21">
        <f t="shared" ca="1" si="29"/>
        <v>0.21908175910313923</v>
      </c>
      <c r="FF30" s="109">
        <v>0.36720000000000003</v>
      </c>
      <c r="FG30" s="17">
        <f t="shared" si="74"/>
        <v>302.82189750671387</v>
      </c>
      <c r="FH30" s="15">
        <f t="shared" ca="1" si="30"/>
        <v>124.89239905420939</v>
      </c>
      <c r="FI30" s="108">
        <v>104.83</v>
      </c>
      <c r="FJ30" s="21">
        <f t="shared" ca="1" si="31"/>
        <v>0.42242757078806559</v>
      </c>
      <c r="FK30" s="109">
        <v>0.36720000000000003</v>
      </c>
      <c r="FL30" s="17">
        <f t="shared" si="75"/>
        <v>310</v>
      </c>
      <c r="FM30" s="15">
        <f t="shared" ca="1" si="32"/>
        <v>154.93355555555553</v>
      </c>
      <c r="FN30" s="108">
        <v>104.83</v>
      </c>
      <c r="FO30" s="21">
        <f t="shared" ca="1" si="33"/>
        <v>0.52252222222222222</v>
      </c>
      <c r="FP30" s="106">
        <v>0.36720000000000003</v>
      </c>
      <c r="FQ30" s="15">
        <f t="shared" si="76"/>
        <v>172.21688876393875</v>
      </c>
      <c r="FR30" s="15">
        <f t="shared" si="34"/>
        <v>215.04236726853023</v>
      </c>
      <c r="FS30" s="15">
        <f t="shared" si="35"/>
        <v>141.92796239722998</v>
      </c>
      <c r="FT30" s="15">
        <f t="shared" si="77"/>
        <v>73.114404871300266</v>
      </c>
      <c r="FU30" s="15">
        <f t="shared" si="36"/>
        <v>0</v>
      </c>
      <c r="FV30" s="15">
        <f t="shared" ca="1" si="78"/>
        <v>0.14019797571783713</v>
      </c>
      <c r="FW30" s="15">
        <f t="shared" ca="1" si="37"/>
        <v>3988.5029059806138</v>
      </c>
      <c r="FX30" s="15">
        <f t="shared" ca="1" si="38"/>
        <v>25.108032937206648</v>
      </c>
      <c r="FY30" s="15">
        <f t="shared" ca="1" si="79"/>
        <v>65.288600111110782</v>
      </c>
      <c r="FZ30" s="15">
        <f t="shared" ca="1" si="80"/>
        <v>65.288600111110782</v>
      </c>
      <c r="GA30" s="15">
        <f t="shared" ca="1" si="81"/>
        <v>-8106.8923082027413</v>
      </c>
      <c r="GB30" s="21">
        <f t="shared" ca="1" si="82"/>
        <v>-20.967752943311517</v>
      </c>
      <c r="GC30" s="15">
        <f t="shared" ca="1" si="83"/>
        <v>-8412.0148633839199</v>
      </c>
      <c r="GD30" s="82">
        <f t="shared" si="39"/>
        <v>19.003340353065365</v>
      </c>
      <c r="GE30" s="82">
        <f t="shared" ca="1" si="84"/>
        <v>-0.72076216351506339</v>
      </c>
      <c r="GF30" s="82">
        <f t="shared" ca="1" si="85"/>
        <v>-2072.0184493929187</v>
      </c>
      <c r="GG30" s="110">
        <f t="shared" si="86"/>
        <v>0</v>
      </c>
      <c r="GH30" s="110">
        <f t="shared" ca="1" si="87"/>
        <v>-1.5159650993466443E-2</v>
      </c>
      <c r="GI30" s="110">
        <f t="shared" si="88"/>
        <v>0.49098190089843829</v>
      </c>
      <c r="GJ30" s="110">
        <f t="shared" si="89"/>
        <v>0</v>
      </c>
      <c r="GK30" s="110">
        <f t="shared" ca="1" si="90"/>
        <v>6.4909264287541296E-3</v>
      </c>
      <c r="GL30" s="110">
        <f t="shared" ca="1" si="91"/>
        <v>-335.03281138836138</v>
      </c>
      <c r="GM30" s="114" t="e">
        <f t="shared" si="40"/>
        <v>#DIV/0!</v>
      </c>
      <c r="GN30" s="114">
        <f t="shared" ca="1" si="41"/>
        <v>-0.28661818623145535</v>
      </c>
      <c r="GO30" s="114">
        <f t="shared" ca="1" si="42"/>
        <v>11383661.005439576</v>
      </c>
    </row>
    <row r="31" spans="1:197" x14ac:dyDescent="0.25">
      <c r="A31" s="6">
        <v>28</v>
      </c>
      <c r="B31" s="86">
        <v>17402.646673932672</v>
      </c>
      <c r="C31" s="86">
        <v>17</v>
      </c>
      <c r="D31" s="9">
        <v>19</v>
      </c>
      <c r="E31" s="8">
        <v>50016</v>
      </c>
      <c r="F31" s="28">
        <v>2</v>
      </c>
      <c r="G31" s="28">
        <v>0.05</v>
      </c>
      <c r="H31" s="87">
        <v>250.56112670898437</v>
      </c>
      <c r="I31" s="42">
        <v>180</v>
      </c>
      <c r="J31" s="87">
        <v>90</v>
      </c>
      <c r="K31" s="28">
        <v>30</v>
      </c>
      <c r="L31" s="28">
        <v>21.47</v>
      </c>
      <c r="M31" s="13">
        <v>28.235782623291016</v>
      </c>
      <c r="N31" s="28">
        <v>37</v>
      </c>
      <c r="O31" s="13">
        <v>15.017805099487305</v>
      </c>
      <c r="P31" s="13">
        <v>13.972133636474609</v>
      </c>
      <c r="Q31" s="85">
        <v>1614.3661992326379</v>
      </c>
      <c r="R31" s="86">
        <v>15175.77739572525</v>
      </c>
      <c r="S31" s="7">
        <v>1.9162307977676392</v>
      </c>
      <c r="T31" s="86">
        <v>40170.941668659449</v>
      </c>
      <c r="U31" s="86">
        <f t="shared" si="43"/>
        <v>2362.9965687446734</v>
      </c>
      <c r="V31" s="7">
        <v>14</v>
      </c>
      <c r="W31" s="7">
        <v>14</v>
      </c>
      <c r="X31" s="6">
        <v>10</v>
      </c>
      <c r="Y31" s="6">
        <v>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43"/>
      <c r="AO31" s="10">
        <v>681.69</v>
      </c>
      <c r="AP31" s="11">
        <v>30</v>
      </c>
      <c r="AQ31" s="12">
        <f t="shared" si="44"/>
        <v>19.202261536524915</v>
      </c>
      <c r="AR31" s="12">
        <f t="shared" si="45"/>
        <v>523.56112670898437</v>
      </c>
      <c r="AS31" s="9">
        <f t="shared" si="46"/>
        <v>19.202261536524915</v>
      </c>
      <c r="AT31" s="9">
        <f t="shared" si="47"/>
        <v>523.56112670898437</v>
      </c>
      <c r="AU31" s="9">
        <v>47.196813141606981</v>
      </c>
      <c r="AV31" s="9">
        <f t="shared" si="48"/>
        <v>30</v>
      </c>
      <c r="AW31" s="9">
        <f t="shared" ca="1" si="49"/>
        <v>0.46274210928196058</v>
      </c>
      <c r="AX31" s="9">
        <f t="shared" si="50"/>
        <v>180</v>
      </c>
      <c r="AY31" s="9">
        <f t="shared" si="51"/>
        <v>19.202261536524915</v>
      </c>
      <c r="AZ31" s="9">
        <f t="shared" si="52"/>
        <v>681.69</v>
      </c>
      <c r="BA31" s="13">
        <f t="shared" ca="1" si="53"/>
        <v>1123.4098998177913</v>
      </c>
      <c r="BB31" s="10">
        <f t="shared" si="54"/>
        <v>13.972133636474609</v>
      </c>
      <c r="BC31" s="9">
        <f t="shared" ca="1" si="55"/>
        <v>1123.4098998177913</v>
      </c>
      <c r="BD31" s="9">
        <f t="shared" si="56"/>
        <v>15.017805099487305</v>
      </c>
      <c r="BE31" s="9">
        <f t="shared" si="57"/>
        <v>21.47</v>
      </c>
      <c r="BF31" s="9">
        <f t="shared" si="58"/>
        <v>28.235782623291016</v>
      </c>
      <c r="BG31" s="7">
        <f t="shared" si="59"/>
        <v>21.47</v>
      </c>
      <c r="BH31" s="9">
        <f t="shared" si="60"/>
        <v>37</v>
      </c>
      <c r="BJ31" s="3"/>
      <c r="BK31" s="3"/>
      <c r="BL31" s="3"/>
      <c r="BM31" s="3"/>
      <c r="BP31" s="3"/>
      <c r="BT31" s="3"/>
      <c r="DF31" s="20">
        <v>0.21890000000000001</v>
      </c>
      <c r="DG31" s="15">
        <f t="shared" si="61"/>
        <v>0.53228633271323311</v>
      </c>
      <c r="DH31" s="15">
        <f t="shared" ca="1" si="62"/>
        <v>63.883343561736694</v>
      </c>
      <c r="DI31" s="100">
        <f t="shared" ca="1" si="63"/>
        <v>0.99716017109919386</v>
      </c>
      <c r="DJ31" s="20">
        <f t="shared" si="64"/>
        <v>0.7712514523963776</v>
      </c>
      <c r="DK31" s="25">
        <f t="shared" si="65"/>
        <v>0.20226153652491408</v>
      </c>
      <c r="DL31" s="26">
        <f t="shared" si="0"/>
        <v>0.02</v>
      </c>
      <c r="DM31" s="15">
        <f t="shared" si="1"/>
        <v>523.56112670898437</v>
      </c>
      <c r="DN31" s="41">
        <f t="shared" si="2"/>
        <v>473</v>
      </c>
      <c r="DO31" s="15">
        <f t="shared" ca="1" si="3"/>
        <v>459.67778314724768</v>
      </c>
      <c r="DP31" s="26">
        <f t="shared" si="4"/>
        <v>453</v>
      </c>
      <c r="DQ31" s="21">
        <f t="shared" ca="1" si="5"/>
        <v>2816.5993052117487</v>
      </c>
      <c r="DR31" s="21">
        <v>2.87E-2</v>
      </c>
      <c r="DS31" s="26">
        <f t="shared" si="6"/>
        <v>303</v>
      </c>
      <c r="DT31" s="102">
        <f t="shared" ca="1" si="7"/>
        <v>125.80344444444444</v>
      </c>
      <c r="DU31" s="15">
        <f t="shared" si="8"/>
        <v>165</v>
      </c>
      <c r="DV31" s="15">
        <f t="shared" ca="1" si="9"/>
        <v>690.58718083896258</v>
      </c>
      <c r="DW31" s="15">
        <f t="shared" ca="1" si="10"/>
        <v>2790.6388281929471</v>
      </c>
      <c r="DX31" s="15">
        <f t="shared" si="11"/>
        <v>1.0242525941930036</v>
      </c>
      <c r="DY31" s="15">
        <f t="shared" si="12"/>
        <v>0</v>
      </c>
      <c r="DZ31" s="15">
        <f t="shared" si="13"/>
        <v>0</v>
      </c>
      <c r="EA31" s="15">
        <f t="shared" si="14"/>
        <v>0</v>
      </c>
      <c r="EB31" s="15">
        <f t="shared" si="15"/>
        <v>301.23578262329102</v>
      </c>
      <c r="EC31" s="15">
        <f t="shared" ca="1" si="16"/>
        <v>118.25433203209771</v>
      </c>
      <c r="ED31" s="15">
        <f t="shared" ca="1" si="17"/>
        <v>154.93355555555553</v>
      </c>
      <c r="EE31" s="15">
        <f t="shared" ca="1" si="18"/>
        <v>62.935627430809873</v>
      </c>
      <c r="EF31" s="15">
        <f t="shared" ca="1" si="19"/>
        <v>58.559376172383629</v>
      </c>
      <c r="EG31" s="17">
        <f t="shared" si="66"/>
        <v>523.56112670898437</v>
      </c>
      <c r="EH31" s="17">
        <f t="shared" si="20"/>
        <v>303</v>
      </c>
      <c r="EI31" s="17">
        <f t="shared" si="67"/>
        <v>523.56112670898437</v>
      </c>
      <c r="EJ31" s="17">
        <f t="shared" si="68"/>
        <v>523.56112670898437</v>
      </c>
      <c r="EK31" s="17">
        <f t="shared" si="69"/>
        <v>303</v>
      </c>
      <c r="EL31" s="15">
        <f t="shared" ca="1" si="21"/>
        <v>125.80344444444444</v>
      </c>
      <c r="EM31" s="108">
        <v>104.83</v>
      </c>
      <c r="EN31" s="21">
        <f t="shared" ca="1" si="22"/>
        <v>0.43681333333333322</v>
      </c>
      <c r="EO31" s="109">
        <v>0.36720000000000003</v>
      </c>
      <c r="EP31" s="26">
        <f t="shared" si="23"/>
        <v>10.000062092517851</v>
      </c>
      <c r="EQ31" s="17">
        <f t="shared" si="70"/>
        <v>453</v>
      </c>
      <c r="ER31" s="15">
        <f t="shared" ca="1" si="24"/>
        <v>2816.5993052117487</v>
      </c>
      <c r="ES31" s="108">
        <v>104.83</v>
      </c>
      <c r="ET31" s="15">
        <f t="shared" ca="1" si="25"/>
        <v>6.5855309782608691</v>
      </c>
      <c r="EU31" s="109">
        <v>0.36720000000000003</v>
      </c>
      <c r="EV31" s="17">
        <f t="shared" ca="1" si="71"/>
        <v>732.67778314724774</v>
      </c>
      <c r="EW31" s="17">
        <f t="shared" si="72"/>
        <v>286.97213363647461</v>
      </c>
      <c r="EX31" s="15">
        <f t="shared" ca="1" si="26"/>
        <v>58.559376172383629</v>
      </c>
      <c r="EY31" s="108">
        <v>104.83</v>
      </c>
      <c r="EZ31" s="21">
        <f t="shared" ca="1" si="27"/>
        <v>0.20141141904195151</v>
      </c>
      <c r="FA31" s="109">
        <v>0.36720000000000003</v>
      </c>
      <c r="FB31" s="17">
        <f t="shared" si="73"/>
        <v>288.0178050994873</v>
      </c>
      <c r="FC31" s="15">
        <f t="shared" ca="1" si="28"/>
        <v>62.935627430809873</v>
      </c>
      <c r="FD31" s="108">
        <v>104.83</v>
      </c>
      <c r="FE31" s="21">
        <f t="shared" ca="1" si="29"/>
        <v>0.21599272666507296</v>
      </c>
      <c r="FF31" s="109">
        <v>0.36720000000000003</v>
      </c>
      <c r="FG31" s="17">
        <f t="shared" si="74"/>
        <v>301.23578262329102</v>
      </c>
      <c r="FH31" s="15">
        <f t="shared" ca="1" si="30"/>
        <v>118.25433203209771</v>
      </c>
      <c r="FI31" s="108">
        <v>104.83</v>
      </c>
      <c r="FJ31" s="21">
        <f t="shared" ca="1" si="31"/>
        <v>0.40031007991366913</v>
      </c>
      <c r="FK31" s="109">
        <v>0.36720000000000003</v>
      </c>
      <c r="FL31" s="17">
        <f t="shared" si="75"/>
        <v>310</v>
      </c>
      <c r="FM31" s="15">
        <f t="shared" ca="1" si="32"/>
        <v>154.93355555555553</v>
      </c>
      <c r="FN31" s="108">
        <v>104.83</v>
      </c>
      <c r="FO31" s="21">
        <f t="shared" ca="1" si="33"/>
        <v>0.52252222222222222</v>
      </c>
      <c r="FP31" s="106">
        <v>0.36720000000000003</v>
      </c>
      <c r="FQ31" s="15">
        <f t="shared" si="76"/>
        <v>10427.895451563669</v>
      </c>
      <c r="FR31" s="15">
        <f t="shared" si="34"/>
        <v>1142.6896730274291</v>
      </c>
      <c r="FS31" s="15">
        <f t="shared" si="35"/>
        <v>754.17518419810335</v>
      </c>
      <c r="FT31" s="15">
        <f t="shared" si="77"/>
        <v>388.51448882932584</v>
      </c>
      <c r="FU31" s="15">
        <f t="shared" si="36"/>
        <v>2362.9965687446734</v>
      </c>
      <c r="FV31" s="15">
        <f t="shared" ca="1" si="78"/>
        <v>14.565117956347919</v>
      </c>
      <c r="FW31" s="15">
        <f t="shared" ca="1" si="37"/>
        <v>3550.377533194448</v>
      </c>
      <c r="FX31" s="15">
        <f t="shared" ca="1" si="38"/>
        <v>1344.1397608750069</v>
      </c>
      <c r="FY31" s="15">
        <f t="shared" ca="1" si="79"/>
        <v>65.288600111110782</v>
      </c>
      <c r="FZ31" s="15">
        <f t="shared" ca="1" si="80"/>
        <v>65.288600111110782</v>
      </c>
      <c r="GA31" s="15">
        <f t="shared" ca="1" si="81"/>
        <v>4405.37468915717</v>
      </c>
      <c r="GB31" s="21">
        <f t="shared" ca="1" si="82"/>
        <v>13.322216852752298</v>
      </c>
      <c r="GC31" s="15">
        <f t="shared" ca="1" si="83"/>
        <v>4452.4286581903525</v>
      </c>
      <c r="GD31" s="82">
        <f t="shared" si="39"/>
        <v>19.202261536524915</v>
      </c>
      <c r="GE31" s="82">
        <f t="shared" ca="1" si="84"/>
        <v>0.46274210928196058</v>
      </c>
      <c r="GF31" s="82">
        <f t="shared" ca="1" si="85"/>
        <v>1123.4098998177913</v>
      </c>
      <c r="GG31" s="110">
        <f t="shared" si="86"/>
        <v>0.23358278517231998</v>
      </c>
      <c r="GH31" s="110">
        <f t="shared" ca="1" si="87"/>
        <v>0.12630799946874188</v>
      </c>
      <c r="GI31" s="110">
        <f t="shared" si="88"/>
        <v>0.55929456085100848</v>
      </c>
      <c r="GJ31" s="110">
        <f t="shared" si="89"/>
        <v>0.25449049004460367</v>
      </c>
      <c r="GK31" s="110">
        <f t="shared" ca="1" si="90"/>
        <v>0.47549299978089571</v>
      </c>
      <c r="GL31" s="110">
        <f t="shared" ca="1" si="91"/>
        <v>3.3124744820374294</v>
      </c>
      <c r="GM31" s="114">
        <f t="shared" si="40"/>
        <v>57.313703089744777</v>
      </c>
      <c r="GN31" s="114">
        <f t="shared" ca="1" si="41"/>
        <v>32.788966995201186</v>
      </c>
      <c r="GO31" s="114">
        <f t="shared" ca="1" si="42"/>
        <v>-58724.911322070511</v>
      </c>
    </row>
    <row r="32" spans="1:197" x14ac:dyDescent="0.25">
      <c r="A32" s="6">
        <v>29</v>
      </c>
      <c r="B32" s="86">
        <v>27485.664090573788</v>
      </c>
      <c r="C32" s="86">
        <v>17</v>
      </c>
      <c r="D32" s="9">
        <v>19</v>
      </c>
      <c r="E32" s="8">
        <v>50016</v>
      </c>
      <c r="F32" s="28">
        <v>2</v>
      </c>
      <c r="G32" s="28">
        <v>0.05</v>
      </c>
      <c r="H32" s="87">
        <v>399.57373046875</v>
      </c>
      <c r="I32" s="42">
        <v>180</v>
      </c>
      <c r="J32" s="87">
        <v>90</v>
      </c>
      <c r="K32" s="28">
        <v>30</v>
      </c>
      <c r="L32" s="28">
        <v>21.47</v>
      </c>
      <c r="M32" s="13">
        <v>29.714908599853516</v>
      </c>
      <c r="N32" s="28">
        <v>37</v>
      </c>
      <c r="O32" s="13">
        <v>15.736114501953125</v>
      </c>
      <c r="P32" s="13">
        <v>12.493009567260742</v>
      </c>
      <c r="Q32" s="85">
        <v>9600.7969996593893</v>
      </c>
      <c r="R32" s="86">
        <v>79552.56431004405</v>
      </c>
      <c r="S32" s="7">
        <v>3.0567886829376221</v>
      </c>
      <c r="T32" s="86">
        <v>78350.586943663657</v>
      </c>
      <c r="U32" s="86">
        <f t="shared" si="43"/>
        <v>4608.8580555096269</v>
      </c>
      <c r="V32" s="7">
        <v>14</v>
      </c>
      <c r="W32" s="7">
        <v>14</v>
      </c>
      <c r="X32" s="6">
        <v>10</v>
      </c>
      <c r="Y32" s="6">
        <v>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43"/>
      <c r="AO32" s="10">
        <v>681.69</v>
      </c>
      <c r="AP32" s="11">
        <v>30</v>
      </c>
      <c r="AQ32" s="12">
        <f t="shared" si="44"/>
        <v>19.319450986710795</v>
      </c>
      <c r="AR32" s="12">
        <f t="shared" si="45"/>
        <v>672.57373046875</v>
      </c>
      <c r="AS32" s="9">
        <f t="shared" si="46"/>
        <v>19.319450986710795</v>
      </c>
      <c r="AT32" s="9">
        <f t="shared" si="47"/>
        <v>672.57373046875</v>
      </c>
      <c r="AU32" s="9">
        <v>79.95026147828321</v>
      </c>
      <c r="AV32" s="9">
        <f t="shared" si="48"/>
        <v>30</v>
      </c>
      <c r="AW32" s="9">
        <f t="shared" ca="1" si="49"/>
        <v>1.9038959993373545</v>
      </c>
      <c r="AX32" s="9">
        <f t="shared" si="50"/>
        <v>180</v>
      </c>
      <c r="AY32" s="9">
        <f t="shared" si="51"/>
        <v>19.319450986710795</v>
      </c>
      <c r="AZ32" s="9">
        <f t="shared" si="52"/>
        <v>681.69</v>
      </c>
      <c r="BA32" s="13">
        <f t="shared" ca="1" si="53"/>
        <v>5314.2833942291727</v>
      </c>
      <c r="BB32" s="10">
        <f t="shared" si="54"/>
        <v>12.493009567260742</v>
      </c>
      <c r="BC32" s="9">
        <f t="shared" ca="1" si="55"/>
        <v>5314.2833942291727</v>
      </c>
      <c r="BD32" s="9">
        <f t="shared" si="56"/>
        <v>15.736114501953125</v>
      </c>
      <c r="BE32" s="9">
        <f t="shared" si="57"/>
        <v>21.47</v>
      </c>
      <c r="BF32" s="9">
        <f t="shared" si="58"/>
        <v>29.714908599853516</v>
      </c>
      <c r="BG32" s="7">
        <f t="shared" si="59"/>
        <v>21.47</v>
      </c>
      <c r="BH32" s="9">
        <f t="shared" si="60"/>
        <v>37</v>
      </c>
      <c r="BJ32" s="3"/>
      <c r="BK32" s="3"/>
      <c r="BL32" s="3"/>
      <c r="BM32" s="3"/>
      <c r="BP32" s="3"/>
      <c r="BT32" s="3"/>
      <c r="DF32" s="20">
        <v>0.21890000000000001</v>
      </c>
      <c r="DG32" s="15">
        <f t="shared" si="61"/>
        <v>0.84910796748267281</v>
      </c>
      <c r="DH32" s="15">
        <f t="shared" ca="1" si="62"/>
        <v>254.0538808813335</v>
      </c>
      <c r="DI32" s="100">
        <f t="shared" ca="1" si="63"/>
        <v>1.0248934562478509</v>
      </c>
      <c r="DJ32" s="20">
        <f t="shared" si="64"/>
        <v>1.3064813316862984</v>
      </c>
      <c r="DK32" s="25">
        <f t="shared" si="65"/>
        <v>0.31945098671079403</v>
      </c>
      <c r="DL32" s="26">
        <f t="shared" si="0"/>
        <v>0.02</v>
      </c>
      <c r="DM32" s="15">
        <f t="shared" si="1"/>
        <v>672.57373046875</v>
      </c>
      <c r="DN32" s="41">
        <f t="shared" si="2"/>
        <v>473</v>
      </c>
      <c r="DO32" s="15">
        <f t="shared" ca="1" si="3"/>
        <v>418.5198495874165</v>
      </c>
      <c r="DP32" s="26">
        <f t="shared" si="4"/>
        <v>453</v>
      </c>
      <c r="DQ32" s="21">
        <f t="shared" ca="1" si="5"/>
        <v>2816.5993052117487</v>
      </c>
      <c r="DR32" s="21">
        <v>2.87E-2</v>
      </c>
      <c r="DS32" s="26">
        <f t="shared" si="6"/>
        <v>303</v>
      </c>
      <c r="DT32" s="102">
        <f t="shared" ca="1" si="7"/>
        <v>125.80344444444444</v>
      </c>
      <c r="DU32" s="15">
        <f t="shared" si="8"/>
        <v>165</v>
      </c>
      <c r="DV32" s="15">
        <f t="shared" ca="1" si="9"/>
        <v>690.58718083896258</v>
      </c>
      <c r="DW32" s="15">
        <f t="shared" ca="1" si="10"/>
        <v>2790.6388281929471</v>
      </c>
      <c r="DX32" s="15">
        <f t="shared" si="11"/>
        <v>1.0550759670515388</v>
      </c>
      <c r="DY32" s="15">
        <f t="shared" si="12"/>
        <v>0</v>
      </c>
      <c r="DZ32" s="15">
        <f t="shared" si="13"/>
        <v>0</v>
      </c>
      <c r="EA32" s="15">
        <f t="shared" si="14"/>
        <v>0</v>
      </c>
      <c r="EB32" s="15">
        <f t="shared" si="15"/>
        <v>302.71490859985352</v>
      </c>
      <c r="EC32" s="15">
        <f t="shared" ca="1" si="16"/>
        <v>124.4446385913425</v>
      </c>
      <c r="ED32" s="15">
        <f t="shared" ca="1" si="17"/>
        <v>154.93355555555553</v>
      </c>
      <c r="EE32" s="15">
        <f t="shared" ca="1" si="18"/>
        <v>65.941832092285168</v>
      </c>
      <c r="EF32" s="15">
        <f t="shared" ca="1" si="19"/>
        <v>52.3690775956048</v>
      </c>
      <c r="EG32" s="17">
        <f t="shared" si="66"/>
        <v>672.57373046875</v>
      </c>
      <c r="EH32" s="17">
        <f t="shared" si="20"/>
        <v>303</v>
      </c>
      <c r="EI32" s="17">
        <f t="shared" si="67"/>
        <v>672.57373046875</v>
      </c>
      <c r="EJ32" s="17">
        <f t="shared" si="68"/>
        <v>672.57373046875</v>
      </c>
      <c r="EK32" s="17">
        <f t="shared" si="69"/>
        <v>303</v>
      </c>
      <c r="EL32" s="15">
        <f t="shared" ca="1" si="21"/>
        <v>125.80344444444444</v>
      </c>
      <c r="EM32" s="108">
        <v>104.83</v>
      </c>
      <c r="EN32" s="21">
        <f t="shared" ca="1" si="22"/>
        <v>0.43681333333333322</v>
      </c>
      <c r="EO32" s="109">
        <v>0.36720000000000003</v>
      </c>
      <c r="EP32" s="26">
        <f t="shared" si="23"/>
        <v>10.000062092517851</v>
      </c>
      <c r="EQ32" s="17">
        <f t="shared" si="70"/>
        <v>453</v>
      </c>
      <c r="ER32" s="15">
        <f t="shared" ca="1" si="24"/>
        <v>2816.5993052117487</v>
      </c>
      <c r="ES32" s="108">
        <v>104.83</v>
      </c>
      <c r="ET32" s="15">
        <f t="shared" ca="1" si="25"/>
        <v>6.5855309782608691</v>
      </c>
      <c r="EU32" s="109">
        <v>0.36720000000000003</v>
      </c>
      <c r="EV32" s="17">
        <f t="shared" ca="1" si="71"/>
        <v>691.5198495874165</v>
      </c>
      <c r="EW32" s="17">
        <f t="shared" si="72"/>
        <v>285.49300956726074</v>
      </c>
      <c r="EX32" s="15">
        <f t="shared" ca="1" si="26"/>
        <v>52.3690775956048</v>
      </c>
      <c r="EY32" s="108">
        <v>104.83</v>
      </c>
      <c r="EZ32" s="21">
        <f t="shared" ca="1" si="27"/>
        <v>0.18078585563235813</v>
      </c>
      <c r="FA32" s="109">
        <v>0.36720000000000003</v>
      </c>
      <c r="FB32" s="17">
        <f t="shared" si="73"/>
        <v>288.73611450195312</v>
      </c>
      <c r="FC32" s="15">
        <f t="shared" ca="1" si="28"/>
        <v>65.941832092285168</v>
      </c>
      <c r="FD32" s="108">
        <v>104.83</v>
      </c>
      <c r="FE32" s="21">
        <f t="shared" ca="1" si="29"/>
        <v>0.22600915222167969</v>
      </c>
      <c r="FF32" s="109">
        <v>0.36720000000000003</v>
      </c>
      <c r="FG32" s="17">
        <f t="shared" si="74"/>
        <v>302.71490859985352</v>
      </c>
      <c r="FH32" s="15">
        <f t="shared" ca="1" si="30"/>
        <v>124.4446385913425</v>
      </c>
      <c r="FI32" s="108">
        <v>104.83</v>
      </c>
      <c r="FJ32" s="21">
        <f t="shared" ca="1" si="31"/>
        <v>0.42093566992017956</v>
      </c>
      <c r="FK32" s="109">
        <v>0.36720000000000003</v>
      </c>
      <c r="FL32" s="17">
        <f t="shared" si="75"/>
        <v>310</v>
      </c>
      <c r="FM32" s="15">
        <f t="shared" ca="1" si="32"/>
        <v>154.93355555555553</v>
      </c>
      <c r="FN32" s="108">
        <v>104.83</v>
      </c>
      <c r="FO32" s="21">
        <f t="shared" ca="1" si="33"/>
        <v>0.52252222222222222</v>
      </c>
      <c r="FP32" s="106">
        <v>0.36720000000000003</v>
      </c>
      <c r="FQ32" s="15">
        <f t="shared" si="76"/>
        <v>16469.772496307945</v>
      </c>
      <c r="FR32" s="15">
        <f t="shared" si="34"/>
        <v>2779.1839292900786</v>
      </c>
      <c r="FS32" s="15">
        <f t="shared" si="35"/>
        <v>1834.2613933314519</v>
      </c>
      <c r="FT32" s="15">
        <f t="shared" si="77"/>
        <v>944.92253595862667</v>
      </c>
      <c r="FU32" s="15">
        <f t="shared" si="36"/>
        <v>4608.8580555096269</v>
      </c>
      <c r="FV32" s="15">
        <f t="shared" ca="1" si="78"/>
        <v>24.672958014732707</v>
      </c>
      <c r="FW32" s="15">
        <f t="shared" ca="1" si="37"/>
        <v>3021.489448614403</v>
      </c>
      <c r="FX32" s="15">
        <f t="shared" ca="1" si="38"/>
        <v>2144.1838916876791</v>
      </c>
      <c r="FY32" s="15">
        <f t="shared" ca="1" si="79"/>
        <v>65.288600111110782</v>
      </c>
      <c r="FZ32" s="15">
        <f t="shared" ca="1" si="80"/>
        <v>65.288600111110782</v>
      </c>
      <c r="GA32" s="15">
        <f t="shared" ca="1" si="81"/>
        <v>20686.69291897165</v>
      </c>
      <c r="GB32" s="21">
        <f t="shared" ca="1" si="82"/>
        <v>54.480150412583527</v>
      </c>
      <c r="GC32" s="15">
        <f t="shared" ca="1" si="83"/>
        <v>21377.041554684311</v>
      </c>
      <c r="GD32" s="82">
        <f t="shared" si="39"/>
        <v>19.319450986710795</v>
      </c>
      <c r="GE32" s="82">
        <f t="shared" ca="1" si="84"/>
        <v>1.9038959993373545</v>
      </c>
      <c r="GF32" s="82">
        <f t="shared" ca="1" si="85"/>
        <v>5314.2833942291727</v>
      </c>
      <c r="GG32" s="110">
        <f t="shared" si="86"/>
        <v>0.28845637574437166</v>
      </c>
      <c r="GH32" s="110">
        <f t="shared" ca="1" si="87"/>
        <v>0.10875731301759714</v>
      </c>
      <c r="GI32" s="110">
        <f t="shared" si="88"/>
        <v>0.63451601946265057</v>
      </c>
      <c r="GJ32" s="110">
        <f t="shared" si="89"/>
        <v>0.33664425988323632</v>
      </c>
      <c r="GK32" s="110">
        <f t="shared" ca="1" si="90"/>
        <v>1.7852601479905268</v>
      </c>
      <c r="GL32" s="110">
        <f t="shared" ca="1" si="91"/>
        <v>9.9697799417094402</v>
      </c>
      <c r="GM32" s="114">
        <f t="shared" si="40"/>
        <v>44.457250141763005</v>
      </c>
      <c r="GN32" s="114">
        <f t="shared" ca="1" si="41"/>
        <v>10.786189209506654</v>
      </c>
      <c r="GO32" s="114">
        <f t="shared" ca="1" si="42"/>
        <v>-43356.427163959743</v>
      </c>
    </row>
    <row r="33" spans="1:197" x14ac:dyDescent="0.25">
      <c r="A33" s="6">
        <v>30</v>
      </c>
      <c r="B33" s="86">
        <v>27477.426695436239</v>
      </c>
      <c r="C33" s="86">
        <v>17</v>
      </c>
      <c r="D33" s="9">
        <v>19</v>
      </c>
      <c r="E33" s="8">
        <v>50016</v>
      </c>
      <c r="F33" s="28">
        <v>2</v>
      </c>
      <c r="G33" s="28">
        <v>0.05</v>
      </c>
      <c r="H33" s="87">
        <v>400.81707763671875</v>
      </c>
      <c r="I33" s="42">
        <v>180</v>
      </c>
      <c r="J33" s="87">
        <v>90</v>
      </c>
      <c r="K33" s="28">
        <v>30</v>
      </c>
      <c r="L33" s="28">
        <v>21.47</v>
      </c>
      <c r="M33" s="13">
        <v>28.776279449462891</v>
      </c>
      <c r="N33" s="28">
        <v>37</v>
      </c>
      <c r="O33" s="13">
        <v>13.999831199645996</v>
      </c>
      <c r="P33" s="13">
        <v>11.051562309265137</v>
      </c>
      <c r="Q33" s="85">
        <v>10010.06958729215</v>
      </c>
      <c r="R33" s="86">
        <v>81364.982017740607</v>
      </c>
      <c r="S33" s="7">
        <v>3.2182879447937012</v>
      </c>
      <c r="T33" s="86">
        <v>79398.541945531964</v>
      </c>
      <c r="U33" s="86">
        <f t="shared" si="43"/>
        <v>4670.5024673842336</v>
      </c>
      <c r="V33" s="7">
        <v>14</v>
      </c>
      <c r="W33" s="7">
        <v>14</v>
      </c>
      <c r="X33" s="6">
        <v>10</v>
      </c>
      <c r="Y33" s="6">
        <v>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43"/>
      <c r="AO33" s="10">
        <v>681.69</v>
      </c>
      <c r="AP33" s="11">
        <v>30</v>
      </c>
      <c r="AQ33" s="12">
        <f t="shared" si="44"/>
        <v>19.319355247928716</v>
      </c>
      <c r="AR33" s="12">
        <f t="shared" si="45"/>
        <v>673.81707763671875</v>
      </c>
      <c r="AS33" s="9">
        <f t="shared" si="46"/>
        <v>19.319355247928716</v>
      </c>
      <c r="AT33" s="9">
        <f t="shared" si="47"/>
        <v>673.81707763671875</v>
      </c>
      <c r="AU33" s="9">
        <v>81.499275465263054</v>
      </c>
      <c r="AV33" s="9">
        <f t="shared" si="48"/>
        <v>30</v>
      </c>
      <c r="AW33" s="9">
        <f t="shared" ca="1" si="49"/>
        <v>1.9163172859831388</v>
      </c>
      <c r="AX33" s="9">
        <f t="shared" si="50"/>
        <v>180</v>
      </c>
      <c r="AY33" s="9">
        <f t="shared" si="51"/>
        <v>19.319355247928716</v>
      </c>
      <c r="AZ33" s="9">
        <f t="shared" si="52"/>
        <v>681.69</v>
      </c>
      <c r="BA33" s="13">
        <f t="shared" ca="1" si="53"/>
        <v>5337.6108341099034</v>
      </c>
      <c r="BB33" s="10">
        <f t="shared" si="54"/>
        <v>11.051562309265137</v>
      </c>
      <c r="BC33" s="9">
        <f t="shared" ca="1" si="55"/>
        <v>5337.6108341099034</v>
      </c>
      <c r="BD33" s="9">
        <f t="shared" si="56"/>
        <v>13.999831199645996</v>
      </c>
      <c r="BE33" s="9">
        <f t="shared" si="57"/>
        <v>21.47</v>
      </c>
      <c r="BF33" s="9">
        <f t="shared" si="58"/>
        <v>28.776279449462891</v>
      </c>
      <c r="BG33" s="7">
        <f t="shared" si="59"/>
        <v>21.47</v>
      </c>
      <c r="BH33" s="9">
        <f t="shared" si="60"/>
        <v>37</v>
      </c>
      <c r="BJ33" s="3"/>
      <c r="BK33" s="3"/>
      <c r="BL33" s="3"/>
      <c r="BM33" s="3"/>
      <c r="BP33" s="3"/>
      <c r="BT33" s="3"/>
      <c r="DF33" s="20">
        <v>0.21890000000000001</v>
      </c>
      <c r="DG33" s="15">
        <f t="shared" si="61"/>
        <v>0.89396887355380594</v>
      </c>
      <c r="DH33" s="15">
        <f ca="1">DM33-DO33</f>
        <v>255.65293599485676</v>
      </c>
      <c r="DI33" s="100">
        <f t="shared" ca="1" si="63"/>
        <v>1.0251883070835273</v>
      </c>
      <c r="DJ33" s="20">
        <f t="shared" si="64"/>
        <v>1.3317940426029455</v>
      </c>
      <c r="DK33" s="25">
        <f t="shared" si="65"/>
        <v>0.31935524792871672</v>
      </c>
      <c r="DL33" s="26">
        <f t="shared" si="0"/>
        <v>0.02</v>
      </c>
      <c r="DM33" s="15">
        <f t="shared" si="1"/>
        <v>673.81707763671875</v>
      </c>
      <c r="DN33" s="41">
        <f t="shared" si="2"/>
        <v>473</v>
      </c>
      <c r="DO33" s="15">
        <f t="shared" ca="1" si="3"/>
        <v>418.16414164186199</v>
      </c>
      <c r="DP33" s="26">
        <f t="shared" si="4"/>
        <v>453</v>
      </c>
      <c r="DQ33" s="21">
        <f t="shared" ca="1" si="5"/>
        <v>2816.5993052117487</v>
      </c>
      <c r="DR33" s="21">
        <v>2.87E-2</v>
      </c>
      <c r="DS33" s="26">
        <f t="shared" si="6"/>
        <v>303</v>
      </c>
      <c r="DT33" s="102">
        <f t="shared" ca="1" si="7"/>
        <v>125.80344444444444</v>
      </c>
      <c r="DU33" s="15">
        <f t="shared" si="8"/>
        <v>165</v>
      </c>
      <c r="DV33" s="15">
        <f t="shared" ca="1" si="9"/>
        <v>690.58718083896258</v>
      </c>
      <c r="DW33" s="15">
        <f t="shared" ca="1" si="10"/>
        <v>2790.6388281929471</v>
      </c>
      <c r="DX33" s="15">
        <f t="shared" si="11"/>
        <v>1.0553597967010695</v>
      </c>
      <c r="DY33" s="15">
        <f t="shared" si="12"/>
        <v>0</v>
      </c>
      <c r="DZ33" s="15">
        <f t="shared" si="13"/>
        <v>0</v>
      </c>
      <c r="EA33" s="15">
        <f t="shared" si="14"/>
        <v>0</v>
      </c>
      <c r="EB33" s="15">
        <f t="shared" si="15"/>
        <v>301.77627944946289</v>
      </c>
      <c r="EC33" s="15">
        <f t="shared" ca="1" si="16"/>
        <v>120.51637130482992</v>
      </c>
      <c r="ED33" s="15">
        <f t="shared" ca="1" si="17"/>
        <v>154.93355555555553</v>
      </c>
      <c r="EE33" s="15">
        <f t="shared" ca="1" si="18"/>
        <v>58.675293551762906</v>
      </c>
      <c r="EF33" s="15">
        <f t="shared" ca="1" si="19"/>
        <v>46.336460660086743</v>
      </c>
      <c r="EG33" s="17">
        <f t="shared" si="66"/>
        <v>673.81707763671875</v>
      </c>
      <c r="EH33" s="17">
        <f t="shared" si="20"/>
        <v>303</v>
      </c>
      <c r="EI33" s="17">
        <f t="shared" si="67"/>
        <v>673.81707763671875</v>
      </c>
      <c r="EJ33" s="17">
        <f t="shared" si="68"/>
        <v>673.81707763671875</v>
      </c>
      <c r="EK33" s="17">
        <f t="shared" si="69"/>
        <v>303</v>
      </c>
      <c r="EL33" s="15">
        <f t="shared" ca="1" si="21"/>
        <v>125.80344444444444</v>
      </c>
      <c r="EM33" s="108">
        <v>104.83</v>
      </c>
      <c r="EN33" s="21">
        <f t="shared" ca="1" si="22"/>
        <v>0.43681333333333322</v>
      </c>
      <c r="EO33" s="109">
        <v>0.36720000000000003</v>
      </c>
      <c r="EP33" s="26">
        <f t="shared" si="23"/>
        <v>10.000062092517851</v>
      </c>
      <c r="EQ33" s="17">
        <f t="shared" si="70"/>
        <v>453</v>
      </c>
      <c r="ER33" s="15">
        <f t="shared" ca="1" si="24"/>
        <v>2816.5993052117487</v>
      </c>
      <c r="ES33" s="108">
        <v>104.83</v>
      </c>
      <c r="ET33" s="15">
        <f t="shared" ca="1" si="25"/>
        <v>6.5855309782608691</v>
      </c>
      <c r="EU33" s="109">
        <v>0.36720000000000003</v>
      </c>
      <c r="EV33" s="17">
        <f t="shared" ca="1" si="71"/>
        <v>691.16414164186199</v>
      </c>
      <c r="EW33" s="17">
        <f t="shared" si="72"/>
        <v>284.05156230926514</v>
      </c>
      <c r="EX33" s="15">
        <f t="shared" ca="1" si="26"/>
        <v>46.336460660086743</v>
      </c>
      <c r="EY33" s="108">
        <v>104.83</v>
      </c>
      <c r="EZ33" s="21">
        <f t="shared" ca="1" si="27"/>
        <v>0.16068567442364162</v>
      </c>
      <c r="FA33" s="109">
        <v>0.36720000000000003</v>
      </c>
      <c r="FB33" s="17">
        <f t="shared" si="73"/>
        <v>286.999831199646</v>
      </c>
      <c r="FC33" s="15">
        <f t="shared" ca="1" si="28"/>
        <v>58.675293551762906</v>
      </c>
      <c r="FD33" s="108">
        <v>104.83</v>
      </c>
      <c r="FE33" s="21">
        <f t="shared" ca="1" si="29"/>
        <v>0.20179764617284138</v>
      </c>
      <c r="FF33" s="109">
        <v>0.36720000000000003</v>
      </c>
      <c r="FG33" s="17">
        <f t="shared" si="74"/>
        <v>301.77627944946289</v>
      </c>
      <c r="FH33" s="15">
        <f t="shared" ca="1" si="30"/>
        <v>120.51637130482992</v>
      </c>
      <c r="FI33" s="108">
        <v>104.83</v>
      </c>
      <c r="FJ33" s="21">
        <f t="shared" ca="1" si="31"/>
        <v>0.40784700787862138</v>
      </c>
      <c r="FK33" s="109">
        <v>0.36720000000000003</v>
      </c>
      <c r="FL33" s="17">
        <f t="shared" si="75"/>
        <v>310</v>
      </c>
      <c r="FM33" s="15">
        <f t="shared" ca="1" si="32"/>
        <v>154.93355555555553</v>
      </c>
      <c r="FN33" s="108">
        <v>104.83</v>
      </c>
      <c r="FO33" s="21">
        <f t="shared" ca="1" si="33"/>
        <v>0.52252222222222222</v>
      </c>
      <c r="FP33" s="106">
        <v>0.36720000000000003</v>
      </c>
      <c r="FQ33" s="15">
        <f t="shared" si="76"/>
        <v>16464.836540479097</v>
      </c>
      <c r="FR33" s="15">
        <f t="shared" si="34"/>
        <v>2794.8496827662484</v>
      </c>
      <c r="FS33" s="15">
        <f t="shared" si="35"/>
        <v>1844.6007906257239</v>
      </c>
      <c r="FT33" s="15">
        <f t="shared" si="77"/>
        <v>950.24889214052428</v>
      </c>
      <c r="FU33" s="15">
        <f t="shared" si="36"/>
        <v>4670.5024673842336</v>
      </c>
      <c r="FV33" s="15">
        <f t="shared" ca="1" si="78"/>
        <v>25.150989685402962</v>
      </c>
      <c r="FW33" s="15">
        <f t="shared" ca="1" si="37"/>
        <v>3016.8592564502001</v>
      </c>
      <c r="FX33" s="15">
        <f t="shared" ca="1" si="38"/>
        <v>2257.4675209173161</v>
      </c>
      <c r="FY33" s="15">
        <f t="shared" ca="1" si="79"/>
        <v>65.288600111110782</v>
      </c>
      <c r="FZ33" s="15">
        <f t="shared" ca="1" si="80"/>
        <v>65.288600111110782</v>
      </c>
      <c r="GA33" s="15">
        <f t="shared" ca="1" si="81"/>
        <v>21148.717736589322</v>
      </c>
      <c r="GB33" s="21">
        <f t="shared" ca="1" si="82"/>
        <v>54.835858358137983</v>
      </c>
      <c r="GC33" s="15">
        <f t="shared" ca="1" si="83"/>
        <v>21779.060477212122</v>
      </c>
      <c r="GD33" s="82">
        <f t="shared" si="39"/>
        <v>19.319355247928716</v>
      </c>
      <c r="GE33" s="82">
        <f t="shared" ca="1" si="84"/>
        <v>1.9163172859831388</v>
      </c>
      <c r="GF33" s="82">
        <f t="shared" ca="1" si="85"/>
        <v>5337.6108341099034</v>
      </c>
      <c r="GG33" s="110">
        <f t="shared" si="86"/>
        <v>0.29240217062243473</v>
      </c>
      <c r="GH33" s="110">
        <f t="shared" ca="1" si="87"/>
        <v>0.11434922069127783</v>
      </c>
      <c r="GI33" s="110">
        <f t="shared" si="88"/>
        <v>0.64682835706136954</v>
      </c>
      <c r="GJ33" s="110">
        <f t="shared" si="89"/>
        <v>0.34166107956051572</v>
      </c>
      <c r="GK33" s="110">
        <f t="shared" ca="1" si="90"/>
        <v>1.9042869779250207</v>
      </c>
      <c r="GL33" s="110">
        <f t="shared" ca="1" si="91"/>
        <v>9.6475631544688873</v>
      </c>
      <c r="GM33" s="114">
        <f t="shared" si="40"/>
        <v>43.824685229763375</v>
      </c>
      <c r="GN33" s="114">
        <f t="shared" ca="1" si="41"/>
        <v>10.583914389139618</v>
      </c>
      <c r="GO33" s="114">
        <f t="shared" ca="1" si="42"/>
        <v>-41198.356843038782</v>
      </c>
    </row>
    <row r="34" spans="1:197" x14ac:dyDescent="0.25">
      <c r="A34" s="6">
        <v>31</v>
      </c>
      <c r="B34" s="86">
        <v>27477.821716323495</v>
      </c>
      <c r="C34" s="86">
        <v>17</v>
      </c>
      <c r="D34" s="9">
        <v>19</v>
      </c>
      <c r="E34" s="8">
        <v>50016</v>
      </c>
      <c r="F34" s="28">
        <v>2</v>
      </c>
      <c r="G34" s="28">
        <v>0.05</v>
      </c>
      <c r="H34" s="87">
        <v>403.35372924804687</v>
      </c>
      <c r="I34" s="28">
        <v>180</v>
      </c>
      <c r="J34" s="87">
        <v>90</v>
      </c>
      <c r="K34" s="28">
        <v>30</v>
      </c>
      <c r="L34" s="28">
        <v>21.47</v>
      </c>
      <c r="M34" s="13">
        <v>29.079254150390625</v>
      </c>
      <c r="N34" s="28">
        <v>37</v>
      </c>
      <c r="O34" s="13">
        <v>14.259576797485352</v>
      </c>
      <c r="P34" s="13">
        <v>11.092818260192871</v>
      </c>
      <c r="Q34" s="85">
        <v>10565.322700241581</v>
      </c>
      <c r="R34" s="86">
        <v>85115.69223202765</v>
      </c>
      <c r="S34" s="7">
        <v>3.2551841735839844</v>
      </c>
      <c r="T34" s="86">
        <v>80339.917502112687</v>
      </c>
      <c r="U34" s="86">
        <f t="shared" si="43"/>
        <v>4725.8775001242757</v>
      </c>
      <c r="V34" s="7">
        <v>14</v>
      </c>
      <c r="W34" s="7">
        <v>14</v>
      </c>
      <c r="X34" s="6">
        <v>10</v>
      </c>
      <c r="Y34" s="6">
        <v>5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3"/>
      <c r="AO34" s="10">
        <v>681.69</v>
      </c>
      <c r="AP34" s="11">
        <v>30</v>
      </c>
      <c r="AQ34" s="12">
        <f t="shared" si="44"/>
        <v>19.319359839042534</v>
      </c>
      <c r="AR34" s="12">
        <f t="shared" si="45"/>
        <v>676.35372924804687</v>
      </c>
      <c r="AS34" s="9">
        <f t="shared" si="46"/>
        <v>19.319359839042534</v>
      </c>
      <c r="AT34" s="9">
        <f t="shared" si="47"/>
        <v>676.35372924804687</v>
      </c>
      <c r="AU34" s="9">
        <v>82.088154537952505</v>
      </c>
      <c r="AV34" s="9">
        <f t="shared" si="48"/>
        <v>30</v>
      </c>
      <c r="AW34" s="9">
        <f t="shared" ca="1" si="49"/>
        <v>1.9417009130791549</v>
      </c>
      <c r="AX34" s="9">
        <f t="shared" si="50"/>
        <v>180</v>
      </c>
      <c r="AY34" s="9">
        <f t="shared" si="51"/>
        <v>19.319359839042534</v>
      </c>
      <c r="AZ34" s="9">
        <f t="shared" si="52"/>
        <v>681.69</v>
      </c>
      <c r="BA34" s="13">
        <f t="shared" ca="1" si="53"/>
        <v>5415.2923438116977</v>
      </c>
      <c r="BB34" s="10">
        <f t="shared" si="54"/>
        <v>11.092818260192871</v>
      </c>
      <c r="BC34" s="9">
        <f t="shared" ca="1" si="55"/>
        <v>5415.2923438116977</v>
      </c>
      <c r="BD34" s="9">
        <f t="shared" si="56"/>
        <v>14.259576797485352</v>
      </c>
      <c r="BE34" s="9">
        <f t="shared" si="57"/>
        <v>21.47</v>
      </c>
      <c r="BF34" s="9">
        <f t="shared" si="58"/>
        <v>29.079254150390625</v>
      </c>
      <c r="BG34" s="7">
        <f t="shared" si="59"/>
        <v>21.47</v>
      </c>
      <c r="BH34" s="9">
        <f t="shared" si="60"/>
        <v>37</v>
      </c>
      <c r="BJ34" s="3"/>
      <c r="BK34" s="3"/>
      <c r="BL34" s="3"/>
      <c r="BM34" s="3"/>
      <c r="BP34" s="3"/>
      <c r="BT34" s="3"/>
      <c r="DF34" s="20">
        <v>0.21890000000000001</v>
      </c>
      <c r="DG34" s="15">
        <f t="shared" si="61"/>
        <v>0.90421782599555123</v>
      </c>
      <c r="DH34" s="15">
        <f t="shared" ca="1" si="62"/>
        <v>258.91593270948113</v>
      </c>
      <c r="DI34" s="100">
        <f t="shared" ca="1" si="63"/>
        <v>1.0257927841261374</v>
      </c>
      <c r="DJ34" s="20">
        <f t="shared" si="64"/>
        <v>1.3414170194496002</v>
      </c>
      <c r="DK34" s="25">
        <f t="shared" si="65"/>
        <v>0.31935983904253479</v>
      </c>
      <c r="DL34" s="44">
        <f t="shared" si="0"/>
        <v>0.02</v>
      </c>
      <c r="DM34" s="101">
        <f t="shared" si="1"/>
        <v>676.35372924804687</v>
      </c>
      <c r="DN34" s="55">
        <f t="shared" si="2"/>
        <v>473</v>
      </c>
      <c r="DO34" s="101">
        <f t="shared" ca="1" si="3"/>
        <v>417.43779653856575</v>
      </c>
      <c r="DP34" s="44">
        <f t="shared" si="4"/>
        <v>453</v>
      </c>
      <c r="DQ34" s="45">
        <f t="shared" ca="1" si="5"/>
        <v>2816.5993052117487</v>
      </c>
      <c r="DR34" s="21">
        <v>2.87E-2</v>
      </c>
      <c r="DS34" s="44">
        <f t="shared" si="6"/>
        <v>303</v>
      </c>
      <c r="DT34" s="102">
        <f t="shared" ca="1" si="7"/>
        <v>125.80344444444444</v>
      </c>
      <c r="DU34" s="101">
        <f t="shared" si="8"/>
        <v>165</v>
      </c>
      <c r="DV34" s="101">
        <f t="shared" ca="1" si="9"/>
        <v>690.58718083896258</v>
      </c>
      <c r="DW34" s="101">
        <f t="shared" ca="1" si="10"/>
        <v>2790.6388281929471</v>
      </c>
      <c r="DX34" s="101">
        <f t="shared" si="11"/>
        <v>1.0559400482117454</v>
      </c>
      <c r="DY34" s="101">
        <f t="shared" si="12"/>
        <v>0</v>
      </c>
      <c r="DZ34" s="101">
        <f t="shared" si="13"/>
        <v>0</v>
      </c>
      <c r="EA34" s="101">
        <f t="shared" si="14"/>
        <v>0</v>
      </c>
      <c r="EB34" s="101">
        <f t="shared" si="15"/>
        <v>302.07925415039062</v>
      </c>
      <c r="EC34" s="15">
        <f t="shared" ca="1" si="16"/>
        <v>121.78435409206814</v>
      </c>
      <c r="ED34" s="15">
        <f t="shared" ca="1" si="17"/>
        <v>154.93355555555553</v>
      </c>
      <c r="EE34" s="15">
        <f t="shared" ca="1" si="18"/>
        <v>59.76235773934259</v>
      </c>
      <c r="EF34" s="15">
        <f t="shared" ca="1" si="19"/>
        <v>46.509121398713859</v>
      </c>
      <c r="EG34" s="17">
        <f t="shared" si="66"/>
        <v>676.35372924804687</v>
      </c>
      <c r="EH34" s="17">
        <f t="shared" si="20"/>
        <v>303</v>
      </c>
      <c r="EI34" s="17">
        <f t="shared" si="67"/>
        <v>676.35372924804687</v>
      </c>
      <c r="EJ34" s="17">
        <f t="shared" si="68"/>
        <v>676.35372924804687</v>
      </c>
      <c r="EK34" s="17">
        <f t="shared" si="69"/>
        <v>303</v>
      </c>
      <c r="EL34" s="15">
        <f t="shared" ca="1" si="21"/>
        <v>125.80344444444444</v>
      </c>
      <c r="EM34" s="108">
        <v>104.83</v>
      </c>
      <c r="EN34" s="21">
        <f t="shared" ca="1" si="22"/>
        <v>0.43681333333333322</v>
      </c>
      <c r="EO34" s="109">
        <v>0.36720000000000003</v>
      </c>
      <c r="EP34" s="26">
        <f t="shared" si="23"/>
        <v>10.000062092517851</v>
      </c>
      <c r="EQ34" s="17">
        <f t="shared" si="70"/>
        <v>453</v>
      </c>
      <c r="ER34" s="15">
        <f t="shared" ca="1" si="24"/>
        <v>2816.5993052117487</v>
      </c>
      <c r="ES34" s="108">
        <v>104.83</v>
      </c>
      <c r="ET34" s="15">
        <f t="shared" ca="1" si="25"/>
        <v>6.5855309782608691</v>
      </c>
      <c r="EU34" s="109">
        <v>0.36720000000000003</v>
      </c>
      <c r="EV34" s="17">
        <f t="shared" ca="1" si="71"/>
        <v>690.43779653856575</v>
      </c>
      <c r="EW34" s="17">
        <f t="shared" si="72"/>
        <v>284.09281826019287</v>
      </c>
      <c r="EX34" s="15">
        <f t="shared" ca="1" si="26"/>
        <v>46.509121398713859</v>
      </c>
      <c r="EY34" s="108">
        <v>104.83</v>
      </c>
      <c r="EZ34" s="21">
        <f t="shared" ca="1" si="27"/>
        <v>0.16126096573935614</v>
      </c>
      <c r="FA34" s="109">
        <v>0.36720000000000003</v>
      </c>
      <c r="FB34" s="17">
        <f t="shared" si="73"/>
        <v>287.25957679748535</v>
      </c>
      <c r="FC34" s="15">
        <f t="shared" ca="1" si="28"/>
        <v>59.76235773934259</v>
      </c>
      <c r="FD34" s="108">
        <v>104.83</v>
      </c>
      <c r="FE34" s="21">
        <f t="shared" ca="1" si="29"/>
        <v>0.2054196542316013</v>
      </c>
      <c r="FF34" s="109">
        <v>0.36720000000000003</v>
      </c>
      <c r="FG34" s="17">
        <f t="shared" si="74"/>
        <v>302.07925415039062</v>
      </c>
      <c r="FH34" s="15">
        <f t="shared" ca="1" si="30"/>
        <v>121.78435409206814</v>
      </c>
      <c r="FI34" s="108">
        <v>104.83</v>
      </c>
      <c r="FJ34" s="21">
        <f t="shared" ca="1" si="31"/>
        <v>0.41207182176378038</v>
      </c>
      <c r="FK34" s="109">
        <v>0.36720000000000003</v>
      </c>
      <c r="FL34" s="17">
        <f t="shared" si="75"/>
        <v>310</v>
      </c>
      <c r="FM34" s="15">
        <f t="shared" ca="1" si="32"/>
        <v>154.93355555555553</v>
      </c>
      <c r="FN34" s="108">
        <v>104.83</v>
      </c>
      <c r="FO34" s="21">
        <f t="shared" ca="1" si="33"/>
        <v>0.52252222222222222</v>
      </c>
      <c r="FP34" s="106">
        <v>0.36720000000000003</v>
      </c>
      <c r="FQ34" s="15">
        <f t="shared" si="76"/>
        <v>16465.073242205603</v>
      </c>
      <c r="FR34" s="15">
        <f t="shared" si="34"/>
        <v>2826.9368115905163</v>
      </c>
      <c r="FS34" s="15">
        <f t="shared" si="35"/>
        <v>1865.7782956497408</v>
      </c>
      <c r="FT34" s="15">
        <f t="shared" si="77"/>
        <v>961.15851594077537</v>
      </c>
      <c r="FU34" s="15">
        <f t="shared" si="36"/>
        <v>4725.8775001242757</v>
      </c>
      <c r="FV34" s="15">
        <f t="shared" ca="1" si="78"/>
        <v>25.332720030839894</v>
      </c>
      <c r="FW34" s="15">
        <f t="shared" ca="1" si="37"/>
        <v>3007.4436040906153</v>
      </c>
      <c r="FX34" s="15">
        <f t="shared" ca="1" si="38"/>
        <v>2283.3483742055191</v>
      </c>
      <c r="FY34" s="15">
        <f t="shared" ca="1" si="79"/>
        <v>65.288600111110782</v>
      </c>
      <c r="FZ34" s="15">
        <f t="shared" ca="1" si="80"/>
        <v>65.288600111110782</v>
      </c>
      <c r="GA34" s="15">
        <f t="shared" ca="1" si="81"/>
        <v>21400.165861319532</v>
      </c>
      <c r="GB34" s="21">
        <f t="shared" ca="1" si="82"/>
        <v>55.562203461434251</v>
      </c>
      <c r="GC34" s="15">
        <f t="shared" ca="1" si="83"/>
        <v>22087.075509746559</v>
      </c>
      <c r="GD34" s="82">
        <f t="shared" si="39"/>
        <v>19.319359839042534</v>
      </c>
      <c r="GE34" s="82">
        <f t="shared" ca="1" si="84"/>
        <v>1.9417009130791549</v>
      </c>
      <c r="GF34" s="82">
        <f t="shared" ca="1" si="85"/>
        <v>5415.2923438116977</v>
      </c>
      <c r="GG34" s="110">
        <f t="shared" si="86"/>
        <v>0.29586473473078478</v>
      </c>
      <c r="GH34" s="110">
        <f t="shared" ca="1" si="87"/>
        <v>0.11528816422239042</v>
      </c>
      <c r="GI34" s="110">
        <f t="shared" si="88"/>
        <v>0.6526233650852109</v>
      </c>
      <c r="GJ34" s="110">
        <f t="shared" si="89"/>
        <v>0.34651930079798565</v>
      </c>
      <c r="GK34" s="110">
        <f t="shared" ca="1" si="90"/>
        <v>1.9778262836578249</v>
      </c>
      <c r="GL34" s="110">
        <f t="shared" ca="1" si="91"/>
        <v>9.6731080369773448</v>
      </c>
      <c r="GM34" s="114">
        <f t="shared" si="40"/>
        <v>43.249138228066052</v>
      </c>
      <c r="GN34" s="114">
        <f t="shared" ca="1" si="41"/>
        <v>10.43646657925169</v>
      </c>
      <c r="GO34" s="114">
        <f t="shared" ca="1" si="42"/>
        <v>-39743.342214687655</v>
      </c>
    </row>
    <row r="35" spans="1:197" x14ac:dyDescent="0.25">
      <c r="A35" s="50"/>
      <c r="B35" s="50"/>
      <c r="C35" s="50"/>
      <c r="D35" s="19"/>
      <c r="E35" s="51"/>
      <c r="F35" s="63"/>
      <c r="H35" s="63"/>
      <c r="L35" s="47"/>
      <c r="M35" s="47">
        <v>29.103978618498772</v>
      </c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19"/>
      <c r="BI35" s="19"/>
      <c r="BJ35" s="57"/>
      <c r="BK35" s="27"/>
      <c r="BL35" s="27"/>
      <c r="BM35" s="57"/>
      <c r="BN35" s="58"/>
      <c r="BO35" s="58"/>
      <c r="BP35" s="57"/>
      <c r="BQ35" s="19"/>
      <c r="BR35" s="19"/>
      <c r="BS35" s="57"/>
      <c r="BT35" s="19"/>
      <c r="BU35" s="19"/>
      <c r="BV35" s="57"/>
      <c r="BW35" s="19"/>
      <c r="BX35" s="59"/>
      <c r="BY35" s="27"/>
      <c r="BZ35" s="59"/>
      <c r="CA35" s="19"/>
      <c r="CB35" s="19"/>
      <c r="CC35" s="57"/>
      <c r="CD35" s="59"/>
      <c r="CE35" s="59"/>
      <c r="CF35" s="59"/>
      <c r="CG35" s="59"/>
      <c r="CH35" s="19"/>
      <c r="CI35" s="19"/>
      <c r="CJ35" s="57"/>
      <c r="CK35" s="60"/>
      <c r="CL35" s="19"/>
      <c r="CM35" s="57"/>
      <c r="CN35" s="19"/>
      <c r="CO35" s="59"/>
      <c r="CP35" s="27"/>
      <c r="CQ35" s="59"/>
      <c r="CR35" s="19"/>
      <c r="CS35" s="19"/>
      <c r="CT35" s="57"/>
      <c r="CU35" s="19"/>
      <c r="CV35" s="19"/>
      <c r="CW35" s="27"/>
      <c r="CX35" s="27"/>
      <c r="CY35" s="19"/>
      <c r="CZ35" s="19"/>
      <c r="DA35" s="57"/>
      <c r="DB35" s="19"/>
      <c r="DC35" s="19"/>
      <c r="DD35" s="27"/>
      <c r="DE35" s="27"/>
      <c r="DF35" s="19"/>
      <c r="DG35" s="19"/>
      <c r="DH35" s="57"/>
      <c r="DI35" s="19"/>
      <c r="DJ35" s="19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59"/>
      <c r="ED35" s="59"/>
      <c r="EE35" s="14"/>
      <c r="EF35" s="14"/>
      <c r="EG35" s="14"/>
      <c r="EH35" s="14"/>
      <c r="EM35" s="19"/>
      <c r="GN35" s="46"/>
    </row>
    <row r="36" spans="1:197" x14ac:dyDescent="0.25">
      <c r="A36" s="50"/>
      <c r="B36" s="50"/>
      <c r="C36" s="50"/>
      <c r="D36" s="19"/>
      <c r="E36" s="51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19"/>
      <c r="BI36" s="19"/>
      <c r="BJ36" s="57"/>
      <c r="BK36" s="27"/>
      <c r="BL36" s="27"/>
      <c r="BM36" s="57"/>
      <c r="BN36" s="58"/>
      <c r="BO36" s="58"/>
      <c r="BP36" s="57"/>
      <c r="BQ36" s="19"/>
      <c r="BR36" s="19"/>
      <c r="BS36" s="57"/>
      <c r="BT36" s="19"/>
      <c r="BU36" s="19"/>
      <c r="BV36" s="57"/>
      <c r="BW36" s="19"/>
      <c r="BX36" s="59"/>
      <c r="BY36" s="27"/>
      <c r="BZ36" s="59"/>
      <c r="CA36" s="19"/>
      <c r="CB36" s="19"/>
      <c r="CC36" s="57"/>
      <c r="CD36" s="59"/>
      <c r="CE36" s="59"/>
      <c r="CF36" s="59"/>
      <c r="CG36" s="59"/>
      <c r="CH36" s="19"/>
      <c r="CI36" s="19"/>
      <c r="CJ36" s="57"/>
      <c r="CK36" s="60"/>
      <c r="CL36" s="19"/>
      <c r="CM36" s="57"/>
      <c r="CN36" s="19"/>
      <c r="CO36" s="59"/>
      <c r="CP36" s="27"/>
      <c r="CQ36" s="59"/>
      <c r="CR36" s="19"/>
      <c r="CS36" s="19"/>
      <c r="CT36" s="57"/>
      <c r="CU36" s="19"/>
      <c r="CV36" s="19"/>
      <c r="CW36" s="27"/>
      <c r="CX36" s="27"/>
      <c r="CY36" s="19"/>
      <c r="CZ36" s="19"/>
      <c r="DA36" s="57"/>
      <c r="DB36" s="19"/>
      <c r="DC36" s="19"/>
      <c r="DD36" s="27"/>
      <c r="DE36" s="27"/>
      <c r="DF36" s="19"/>
      <c r="DG36" s="19"/>
      <c r="DH36" s="57"/>
      <c r="DI36" s="19"/>
      <c r="DJ36" s="19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59"/>
      <c r="ED36" s="59"/>
      <c r="EE36" s="14"/>
      <c r="EF36" s="14"/>
      <c r="EG36" s="14"/>
      <c r="EH36" s="14"/>
      <c r="EM36" s="19"/>
      <c r="GN36" s="46"/>
    </row>
    <row r="37" spans="1:197" x14ac:dyDescent="0.25">
      <c r="A37" s="50"/>
      <c r="B37" s="50"/>
      <c r="C37" s="50"/>
      <c r="D37" s="19"/>
      <c r="E37" s="51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19"/>
      <c r="BI37" s="19"/>
      <c r="BJ37" s="57"/>
      <c r="BK37" s="27"/>
      <c r="BL37" s="27"/>
      <c r="BM37" s="57"/>
      <c r="BN37" s="58"/>
      <c r="BO37" s="58"/>
      <c r="BP37" s="57"/>
      <c r="BQ37" s="19"/>
      <c r="BR37" s="19"/>
      <c r="BS37" s="57"/>
      <c r="BT37" s="19"/>
      <c r="BU37" s="19"/>
      <c r="BV37" s="57"/>
      <c r="BW37" s="19"/>
      <c r="BX37" s="59"/>
      <c r="BY37" s="27"/>
      <c r="BZ37" s="59"/>
      <c r="CA37" s="19"/>
      <c r="CB37" s="19"/>
      <c r="CC37" s="57"/>
      <c r="CD37" s="59"/>
      <c r="CE37" s="59"/>
      <c r="CF37" s="59"/>
      <c r="CG37" s="59"/>
      <c r="CH37" s="19"/>
      <c r="CI37" s="19"/>
      <c r="CJ37" s="57"/>
      <c r="CK37" s="60"/>
      <c r="CL37" s="19"/>
      <c r="CM37" s="57"/>
      <c r="CN37" s="19"/>
      <c r="CO37" s="59"/>
      <c r="CP37" s="27"/>
      <c r="CQ37" s="59"/>
      <c r="CR37" s="19"/>
      <c r="CS37" s="19"/>
      <c r="CT37" s="57"/>
      <c r="CU37" s="19"/>
      <c r="CV37" s="19"/>
      <c r="CW37" s="27"/>
      <c r="CX37" s="27"/>
      <c r="CY37" s="19"/>
      <c r="CZ37" s="19"/>
      <c r="DA37" s="57"/>
      <c r="DB37" s="19"/>
      <c r="DC37" s="19"/>
      <c r="DD37" s="27"/>
      <c r="DE37" s="27"/>
      <c r="DF37" s="19"/>
      <c r="DG37" s="19"/>
      <c r="DH37" s="57"/>
      <c r="DI37" s="19"/>
      <c r="DJ37" s="19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59"/>
      <c r="ED37" s="59"/>
      <c r="EE37" s="14"/>
      <c r="EF37" s="14"/>
      <c r="EG37" s="14"/>
      <c r="EH37" s="14"/>
      <c r="GN37" s="46"/>
    </row>
    <row r="38" spans="1:197" x14ac:dyDescent="0.25">
      <c r="A38" s="50"/>
      <c r="B38" s="50"/>
      <c r="C38" s="50"/>
      <c r="D38" s="19"/>
      <c r="E38" s="51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19"/>
      <c r="BI38" s="19"/>
      <c r="BJ38" s="57"/>
      <c r="BK38" s="27"/>
      <c r="BL38" s="27"/>
      <c r="BM38" s="57"/>
      <c r="BN38" s="58"/>
      <c r="BO38" s="58"/>
      <c r="BP38" s="57"/>
      <c r="BQ38" s="19"/>
      <c r="BR38" s="19"/>
      <c r="BS38" s="57"/>
      <c r="BT38" s="19"/>
      <c r="BU38" s="19"/>
      <c r="BV38" s="57"/>
      <c r="BW38" s="19"/>
      <c r="BX38" s="59"/>
      <c r="BY38" s="27"/>
      <c r="BZ38" s="59"/>
      <c r="CA38" s="19"/>
      <c r="CB38" s="19"/>
      <c r="CC38" s="57"/>
      <c r="CD38" s="59"/>
      <c r="CE38" s="59"/>
      <c r="CF38" s="59"/>
      <c r="CG38" s="59"/>
      <c r="CH38" s="19"/>
      <c r="CI38" s="19"/>
      <c r="CJ38" s="57"/>
      <c r="CK38" s="60"/>
      <c r="CL38" s="19"/>
      <c r="CM38" s="57"/>
      <c r="CN38" s="19"/>
      <c r="CO38" s="59"/>
      <c r="CP38" s="27"/>
      <c r="CQ38" s="59"/>
      <c r="CR38" s="19"/>
      <c r="CS38" s="19"/>
      <c r="CT38" s="57"/>
      <c r="CU38" s="19"/>
      <c r="CV38" s="19"/>
      <c r="CW38" s="27"/>
      <c r="CX38" s="27"/>
      <c r="CY38" s="19"/>
      <c r="CZ38" s="19"/>
      <c r="DA38" s="57"/>
      <c r="DB38" s="19"/>
      <c r="DC38" s="19"/>
      <c r="DD38" s="27"/>
      <c r="DE38" s="27"/>
      <c r="DF38" s="19"/>
      <c r="DG38" s="19"/>
      <c r="DH38" s="57"/>
      <c r="DI38" s="19"/>
      <c r="DJ38" s="19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59"/>
      <c r="ED38" s="59"/>
      <c r="EE38" s="14"/>
      <c r="EF38" s="14"/>
      <c r="EG38" s="14"/>
      <c r="EH38" s="14"/>
      <c r="GN38" s="46"/>
    </row>
    <row r="39" spans="1:197" x14ac:dyDescent="0.25">
      <c r="A39" s="50"/>
      <c r="B39" s="50"/>
      <c r="C39" s="50"/>
      <c r="D39" s="19"/>
      <c r="E39" s="51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19"/>
      <c r="BI39" s="19"/>
      <c r="BJ39" s="57"/>
      <c r="BK39" s="27"/>
      <c r="BL39" s="27"/>
      <c r="BM39" s="57"/>
      <c r="BN39" s="58"/>
      <c r="BO39" s="58"/>
      <c r="BP39" s="57"/>
      <c r="BQ39" s="19"/>
      <c r="BR39" s="19"/>
      <c r="BS39" s="57"/>
      <c r="BT39" s="19"/>
      <c r="BU39" s="19"/>
      <c r="BV39" s="57"/>
      <c r="BW39" s="19"/>
      <c r="BX39" s="59"/>
      <c r="BY39" s="27"/>
      <c r="BZ39" s="59"/>
      <c r="CA39" s="19"/>
      <c r="CB39" s="19"/>
      <c r="CC39" s="57"/>
      <c r="CD39" s="59"/>
      <c r="CE39" s="59"/>
      <c r="CF39" s="59"/>
      <c r="CG39" s="59"/>
      <c r="CH39" s="19"/>
      <c r="CI39" s="19"/>
      <c r="CJ39" s="57"/>
      <c r="CK39" s="60"/>
      <c r="CL39" s="19"/>
      <c r="CM39" s="57"/>
      <c r="CN39" s="19"/>
      <c r="CO39" s="59"/>
      <c r="CP39" s="27"/>
      <c r="CQ39" s="59"/>
      <c r="CR39" s="19"/>
      <c r="CS39" s="19"/>
      <c r="CT39" s="57"/>
      <c r="CU39" s="19"/>
      <c r="CV39" s="19"/>
      <c r="CW39" s="27"/>
      <c r="CX39" s="27"/>
      <c r="CY39" s="19"/>
      <c r="CZ39" s="19"/>
      <c r="DA39" s="57"/>
      <c r="DB39" s="19"/>
      <c r="DC39" s="19"/>
      <c r="DD39" s="27"/>
      <c r="DE39" s="27"/>
      <c r="DF39" s="19"/>
      <c r="DG39" s="19"/>
      <c r="DH39" s="57"/>
      <c r="DI39" s="19"/>
      <c r="DJ39" s="19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59"/>
      <c r="ED39" s="59"/>
      <c r="EE39" s="14"/>
      <c r="EF39" s="14"/>
      <c r="EG39" s="14"/>
      <c r="EH39" s="14"/>
      <c r="GN39" s="46"/>
    </row>
    <row r="40" spans="1:197" x14ac:dyDescent="0.25">
      <c r="A40" s="50"/>
      <c r="B40" s="50"/>
      <c r="C40" s="50"/>
      <c r="D40" s="19"/>
      <c r="E40" s="51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19"/>
      <c r="BI40" s="19"/>
      <c r="BJ40" s="57"/>
      <c r="BK40" s="27"/>
      <c r="BL40" s="27"/>
      <c r="BM40" s="57"/>
      <c r="BN40" s="58"/>
      <c r="BO40" s="58"/>
      <c r="BP40" s="57"/>
      <c r="BQ40" s="19"/>
      <c r="BR40" s="19"/>
      <c r="BS40" s="57"/>
      <c r="BT40" s="19"/>
      <c r="BU40" s="19"/>
      <c r="BV40" s="57"/>
      <c r="BW40" s="19"/>
      <c r="BX40" s="59"/>
      <c r="BY40" s="27"/>
      <c r="BZ40" s="59"/>
      <c r="CA40" s="19"/>
      <c r="CB40" s="19"/>
      <c r="CC40" s="57"/>
      <c r="CD40" s="59"/>
      <c r="CE40" s="59"/>
      <c r="CF40" s="59"/>
      <c r="CG40" s="59"/>
      <c r="CH40" s="19"/>
      <c r="CI40" s="19"/>
      <c r="CJ40" s="57"/>
      <c r="CK40" s="60"/>
      <c r="CL40" s="19"/>
      <c r="CM40" s="57"/>
      <c r="CN40" s="19"/>
      <c r="CO40" s="59"/>
      <c r="CP40" s="27"/>
      <c r="CQ40" s="59"/>
      <c r="CR40" s="19"/>
      <c r="CS40" s="19"/>
      <c r="CT40" s="57"/>
      <c r="CU40" s="19"/>
      <c r="CV40" s="19"/>
      <c r="CW40" s="27"/>
      <c r="CX40" s="27"/>
      <c r="CY40" s="19"/>
      <c r="CZ40" s="19"/>
      <c r="DA40" s="57"/>
      <c r="DB40" s="19"/>
      <c r="DC40" s="19"/>
      <c r="DD40" s="27"/>
      <c r="DE40" s="27"/>
      <c r="DF40" s="19"/>
      <c r="DG40" s="19"/>
      <c r="DH40" s="57"/>
      <c r="DI40" s="19"/>
      <c r="DJ40" s="19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59"/>
      <c r="ED40" s="59"/>
      <c r="EE40" s="14"/>
      <c r="EF40" s="14"/>
      <c r="EG40" s="14"/>
      <c r="EH40" s="14"/>
      <c r="GN40" s="46"/>
    </row>
    <row r="41" spans="1:197" x14ac:dyDescent="0.25">
      <c r="A41" s="50"/>
      <c r="B41" s="50"/>
      <c r="C41" s="50"/>
      <c r="D41" s="19"/>
      <c r="E41" s="51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19"/>
      <c r="BI41" s="19"/>
      <c r="BJ41" s="57"/>
      <c r="BK41" s="27"/>
      <c r="BL41" s="27"/>
      <c r="BM41" s="57"/>
      <c r="BN41" s="58"/>
      <c r="BO41" s="58"/>
      <c r="BP41" s="57"/>
      <c r="BQ41" s="19"/>
      <c r="BR41" s="19"/>
      <c r="BS41" s="57"/>
      <c r="BT41" s="19"/>
      <c r="BU41" s="19"/>
      <c r="BV41" s="57"/>
      <c r="BW41" s="19"/>
      <c r="BX41" s="59"/>
      <c r="BY41" s="27"/>
      <c r="BZ41" s="59"/>
      <c r="CA41" s="19"/>
      <c r="CB41" s="19"/>
      <c r="CC41" s="57"/>
      <c r="CD41" s="59"/>
      <c r="CE41" s="59"/>
      <c r="CF41" s="59"/>
      <c r="CG41" s="59"/>
      <c r="CH41" s="19"/>
      <c r="CI41" s="19"/>
      <c r="CJ41" s="57"/>
      <c r="CK41" s="60"/>
      <c r="CL41" s="19"/>
      <c r="CM41" s="57"/>
      <c r="CN41" s="19"/>
      <c r="CO41" s="59"/>
      <c r="CP41" s="27"/>
      <c r="CQ41" s="59"/>
      <c r="CR41" s="19"/>
      <c r="CS41" s="19"/>
      <c r="CT41" s="57"/>
      <c r="CU41" s="19"/>
      <c r="CV41" s="19"/>
      <c r="CW41" s="27"/>
      <c r="CX41" s="27"/>
      <c r="CY41" s="19"/>
      <c r="CZ41" s="19"/>
      <c r="DA41" s="57"/>
      <c r="DB41" s="19"/>
      <c r="DC41" s="19"/>
      <c r="DD41" s="27"/>
      <c r="DE41" s="27"/>
      <c r="DF41" s="19"/>
      <c r="DG41" s="19"/>
      <c r="DH41" s="57"/>
      <c r="DI41" s="19"/>
      <c r="DJ41" s="19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59"/>
      <c r="ED41" s="59"/>
      <c r="EE41" s="14"/>
      <c r="EF41" s="14"/>
      <c r="EG41" s="14"/>
      <c r="EH41" s="14"/>
      <c r="GN41" s="46"/>
    </row>
    <row r="42" spans="1:197" x14ac:dyDescent="0.25">
      <c r="A42" s="50"/>
      <c r="B42" s="50"/>
      <c r="C42" s="50"/>
      <c r="D42" s="19"/>
      <c r="E42" s="51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19"/>
      <c r="BI42" s="19"/>
      <c r="BJ42" s="57"/>
      <c r="BK42" s="27"/>
      <c r="BL42" s="27"/>
      <c r="BM42" s="57"/>
      <c r="BN42" s="58"/>
      <c r="BO42" s="58"/>
      <c r="BP42" s="57"/>
      <c r="BQ42" s="19"/>
      <c r="BR42" s="19"/>
      <c r="BS42" s="57"/>
      <c r="BT42" s="19"/>
      <c r="BU42" s="19"/>
      <c r="BV42" s="57"/>
      <c r="BW42" s="19"/>
      <c r="BX42" s="59"/>
      <c r="BY42" s="27"/>
      <c r="BZ42" s="59"/>
      <c r="CA42" s="19"/>
      <c r="CB42" s="19"/>
      <c r="CC42" s="57"/>
      <c r="CD42" s="59"/>
      <c r="CE42" s="59"/>
      <c r="CF42" s="59"/>
      <c r="CG42" s="59"/>
      <c r="CH42" s="19"/>
      <c r="CI42" s="19"/>
      <c r="CJ42" s="57"/>
      <c r="CK42" s="60"/>
      <c r="CL42" s="19"/>
      <c r="CM42" s="57"/>
      <c r="CN42" s="19"/>
      <c r="CO42" s="59"/>
      <c r="CP42" s="27"/>
      <c r="CQ42" s="59"/>
      <c r="CR42" s="19"/>
      <c r="CS42" s="19"/>
      <c r="CT42" s="57"/>
      <c r="CU42" s="19"/>
      <c r="CV42" s="19"/>
      <c r="CW42" s="27"/>
      <c r="CX42" s="27"/>
      <c r="CY42" s="19"/>
      <c r="CZ42" s="19"/>
      <c r="DA42" s="57"/>
      <c r="DB42" s="19"/>
      <c r="DC42" s="19"/>
      <c r="DD42" s="27"/>
      <c r="DE42" s="27"/>
      <c r="DF42" s="19"/>
      <c r="DG42" s="19"/>
      <c r="DH42" s="57"/>
      <c r="DI42" s="19"/>
      <c r="DJ42" s="19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59"/>
      <c r="ED42" s="59"/>
      <c r="EE42" s="14"/>
      <c r="EF42" s="14"/>
      <c r="EG42" s="14"/>
      <c r="EH42" s="14"/>
      <c r="GN42" s="46"/>
    </row>
    <row r="43" spans="1:197" x14ac:dyDescent="0.25">
      <c r="A43" s="50"/>
      <c r="B43" s="50"/>
      <c r="C43" s="50"/>
      <c r="D43" s="19"/>
      <c r="E43" s="51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19"/>
      <c r="BI43" s="19"/>
      <c r="BJ43" s="57"/>
      <c r="BK43" s="27"/>
      <c r="BL43" s="27"/>
      <c r="BM43" s="57"/>
      <c r="BN43" s="58"/>
      <c r="BO43" s="58"/>
      <c r="BP43" s="57"/>
      <c r="BQ43" s="19"/>
      <c r="BR43" s="19"/>
      <c r="BS43" s="57"/>
      <c r="BT43" s="19"/>
      <c r="BU43" s="19"/>
      <c r="BV43" s="57"/>
      <c r="BW43" s="19"/>
      <c r="BX43" s="59"/>
      <c r="BY43" s="27"/>
      <c r="BZ43" s="59"/>
      <c r="CA43" s="19"/>
      <c r="CB43" s="19"/>
      <c r="CC43" s="57"/>
      <c r="CD43" s="59"/>
      <c r="CE43" s="59"/>
      <c r="CF43" s="59"/>
      <c r="CG43" s="59"/>
      <c r="CH43" s="19"/>
      <c r="CI43" s="19"/>
      <c r="CJ43" s="57"/>
      <c r="CK43" s="60"/>
      <c r="CL43" s="19"/>
      <c r="CM43" s="57"/>
      <c r="CN43" s="19"/>
      <c r="CO43" s="59"/>
      <c r="CP43" s="27"/>
      <c r="CQ43" s="59"/>
      <c r="CR43" s="19"/>
      <c r="CS43" s="19"/>
      <c r="CT43" s="57"/>
      <c r="CU43" s="19"/>
      <c r="CV43" s="19"/>
      <c r="CW43" s="27"/>
      <c r="CX43" s="27"/>
      <c r="CY43" s="19"/>
      <c r="CZ43" s="19"/>
      <c r="DA43" s="57"/>
      <c r="DB43" s="19"/>
      <c r="DC43" s="19"/>
      <c r="DD43" s="27"/>
      <c r="DE43" s="27"/>
      <c r="DF43" s="19"/>
      <c r="DG43" s="19"/>
      <c r="DH43" s="57"/>
      <c r="DI43" s="19"/>
      <c r="DJ43" s="19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59"/>
      <c r="ED43" s="59"/>
      <c r="EE43" s="14"/>
      <c r="EF43" s="14"/>
      <c r="EG43" s="14"/>
      <c r="EH43" s="14"/>
      <c r="GN43" s="46"/>
    </row>
    <row r="44" spans="1:197" x14ac:dyDescent="0.25">
      <c r="A44" s="50"/>
      <c r="B44" s="50"/>
      <c r="C44" s="50"/>
      <c r="D44" s="19"/>
      <c r="E44" s="51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19"/>
      <c r="BI44" s="19"/>
      <c r="BJ44" s="57"/>
      <c r="BK44" s="27"/>
      <c r="BL44" s="27"/>
      <c r="BM44" s="57"/>
      <c r="BN44" s="58"/>
      <c r="BO44" s="58"/>
      <c r="BP44" s="57"/>
      <c r="BQ44" s="19"/>
      <c r="BR44" s="19"/>
      <c r="BS44" s="57"/>
      <c r="BT44" s="19"/>
      <c r="BU44" s="19"/>
      <c r="BV44" s="57"/>
      <c r="BW44" s="19"/>
      <c r="BX44" s="59"/>
      <c r="BY44" s="27"/>
      <c r="BZ44" s="59"/>
      <c r="CA44" s="19"/>
      <c r="CB44" s="19"/>
      <c r="CC44" s="57"/>
      <c r="CD44" s="59"/>
      <c r="CE44" s="59"/>
      <c r="CF44" s="59"/>
      <c r="CG44" s="59"/>
      <c r="CH44" s="19"/>
      <c r="CI44" s="19"/>
      <c r="CJ44" s="57"/>
      <c r="CK44" s="60"/>
      <c r="CL44" s="19"/>
      <c r="CM44" s="57"/>
      <c r="CN44" s="19"/>
      <c r="CO44" s="59"/>
      <c r="CP44" s="27"/>
      <c r="CQ44" s="59"/>
      <c r="CR44" s="19"/>
      <c r="CS44" s="19"/>
      <c r="CT44" s="57"/>
      <c r="CU44" s="19"/>
      <c r="CV44" s="19"/>
      <c r="CW44" s="27"/>
      <c r="CX44" s="27"/>
      <c r="CY44" s="19"/>
      <c r="CZ44" s="19"/>
      <c r="DA44" s="57"/>
      <c r="DB44" s="19"/>
      <c r="DC44" s="19"/>
      <c r="DD44" s="27"/>
      <c r="DE44" s="27"/>
      <c r="DF44" s="19"/>
      <c r="DG44" s="19"/>
      <c r="DH44" s="57"/>
      <c r="DI44" s="19"/>
      <c r="DJ44" s="19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59"/>
      <c r="ED44" s="59"/>
      <c r="EE44" s="14"/>
      <c r="EF44" s="14"/>
      <c r="EG44" s="14"/>
      <c r="EH44" s="14"/>
      <c r="GN44" s="46"/>
    </row>
    <row r="45" spans="1:197" x14ac:dyDescent="0.25">
      <c r="A45" s="50"/>
      <c r="B45" s="50"/>
      <c r="C45" s="50"/>
      <c r="D45" s="19"/>
      <c r="E45" s="51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19"/>
      <c r="BI45" s="19"/>
      <c r="BJ45" s="57"/>
      <c r="BK45" s="27"/>
      <c r="BL45" s="27"/>
      <c r="BM45" s="57"/>
      <c r="BN45" s="58"/>
      <c r="BO45" s="58"/>
      <c r="BP45" s="57"/>
      <c r="BQ45" s="19"/>
      <c r="BR45" s="19"/>
      <c r="BS45" s="57"/>
      <c r="BT45" s="19"/>
      <c r="BU45" s="19"/>
      <c r="BV45" s="57"/>
      <c r="BW45" s="19"/>
      <c r="BX45" s="59"/>
      <c r="BY45" s="27"/>
      <c r="BZ45" s="59"/>
      <c r="CA45" s="19"/>
      <c r="CB45" s="19"/>
      <c r="CC45" s="57"/>
      <c r="CD45" s="59"/>
      <c r="CE45" s="59"/>
      <c r="CF45" s="59"/>
      <c r="CG45" s="59"/>
      <c r="CH45" s="19"/>
      <c r="CI45" s="19"/>
      <c r="CJ45" s="57"/>
      <c r="CK45" s="60"/>
      <c r="CL45" s="19"/>
      <c r="CM45" s="57"/>
      <c r="CN45" s="19"/>
      <c r="CO45" s="59"/>
      <c r="CP45" s="27"/>
      <c r="CQ45" s="59"/>
      <c r="CR45" s="19"/>
      <c r="CS45" s="19"/>
      <c r="CT45" s="57"/>
      <c r="CU45" s="19"/>
      <c r="CV45" s="19"/>
      <c r="CW45" s="27"/>
      <c r="CX45" s="27"/>
      <c r="CY45" s="19"/>
      <c r="CZ45" s="19"/>
      <c r="DA45" s="57"/>
      <c r="DB45" s="19"/>
      <c r="DC45" s="19"/>
      <c r="DD45" s="27"/>
      <c r="DE45" s="27"/>
      <c r="DF45" s="19"/>
      <c r="DG45" s="19"/>
      <c r="DH45" s="57"/>
      <c r="DI45" s="19"/>
      <c r="DJ45" s="19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59"/>
      <c r="ED45" s="59"/>
      <c r="EE45" s="14"/>
      <c r="EF45" s="14"/>
      <c r="EG45" s="14"/>
      <c r="EH45" s="14"/>
      <c r="GN45" s="46"/>
    </row>
    <row r="46" spans="1:197" x14ac:dyDescent="0.25">
      <c r="A46" s="50"/>
      <c r="B46" s="50"/>
      <c r="C46" s="50"/>
      <c r="D46" s="19"/>
      <c r="E46" s="51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19"/>
      <c r="BI46" s="19"/>
      <c r="BJ46" s="57"/>
      <c r="BK46" s="27"/>
      <c r="BL46" s="27"/>
      <c r="BM46" s="57"/>
      <c r="BN46" s="58"/>
      <c r="BO46" s="58"/>
      <c r="BP46" s="57"/>
      <c r="BQ46" s="19"/>
      <c r="BR46" s="19"/>
      <c r="BS46" s="57"/>
      <c r="BT46" s="19"/>
      <c r="BU46" s="19"/>
      <c r="BV46" s="57"/>
      <c r="BW46" s="19"/>
      <c r="BX46" s="59"/>
      <c r="BY46" s="27"/>
      <c r="BZ46" s="59"/>
      <c r="CA46" s="19"/>
      <c r="CB46" s="19"/>
      <c r="CC46" s="57"/>
      <c r="CD46" s="59"/>
      <c r="CE46" s="59"/>
      <c r="CF46" s="59"/>
      <c r="CG46" s="59"/>
      <c r="CH46" s="19"/>
      <c r="CI46" s="19"/>
      <c r="CJ46" s="57"/>
      <c r="CK46" s="60"/>
      <c r="CL46" s="19"/>
      <c r="CM46" s="57"/>
      <c r="CN46" s="19"/>
      <c r="CO46" s="59"/>
      <c r="CP46" s="27"/>
      <c r="CQ46" s="59"/>
      <c r="CR46" s="19"/>
      <c r="CS46" s="19"/>
      <c r="CT46" s="57"/>
      <c r="CU46" s="19"/>
      <c r="CV46" s="19"/>
      <c r="CW46" s="27"/>
      <c r="CX46" s="27"/>
      <c r="CY46" s="19"/>
      <c r="CZ46" s="19"/>
      <c r="DA46" s="57"/>
      <c r="DB46" s="19"/>
      <c r="DC46" s="19"/>
      <c r="DD46" s="27"/>
      <c r="DE46" s="27"/>
      <c r="DF46" s="19"/>
      <c r="DG46" s="19"/>
      <c r="DH46" s="57"/>
      <c r="DI46" s="19"/>
      <c r="DJ46" s="19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59"/>
      <c r="ED46" s="59"/>
      <c r="EE46" s="14"/>
      <c r="EF46" s="14"/>
      <c r="EG46" s="14"/>
      <c r="EH46" s="14"/>
      <c r="GN46" s="46"/>
    </row>
    <row r="47" spans="1:197" x14ac:dyDescent="0.25">
      <c r="A47" s="50"/>
      <c r="B47" s="50"/>
      <c r="C47" s="50"/>
      <c r="D47" s="19"/>
      <c r="E47" s="51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19"/>
      <c r="BI47" s="19"/>
      <c r="BJ47" s="57"/>
      <c r="BK47" s="27"/>
      <c r="BL47" s="27"/>
      <c r="BM47" s="57"/>
      <c r="BN47" s="58"/>
      <c r="BO47" s="58"/>
      <c r="BP47" s="57"/>
      <c r="BQ47" s="19"/>
      <c r="BR47" s="19"/>
      <c r="BS47" s="57"/>
      <c r="BT47" s="19"/>
      <c r="BU47" s="19"/>
      <c r="BV47" s="57"/>
      <c r="BW47" s="19"/>
      <c r="BX47" s="59"/>
      <c r="BY47" s="27"/>
      <c r="BZ47" s="59"/>
      <c r="CA47" s="19"/>
      <c r="CB47" s="19"/>
      <c r="CC47" s="57"/>
      <c r="CD47" s="59"/>
      <c r="CE47" s="59"/>
      <c r="CF47" s="59"/>
      <c r="CG47" s="59"/>
      <c r="CH47" s="19"/>
      <c r="CI47" s="19"/>
      <c r="CJ47" s="57"/>
      <c r="CK47" s="60"/>
      <c r="CL47" s="19"/>
      <c r="CM47" s="57"/>
      <c r="CN47" s="19"/>
      <c r="CO47" s="59"/>
      <c r="CP47" s="27"/>
      <c r="CQ47" s="59"/>
      <c r="CR47" s="19"/>
      <c r="CS47" s="19"/>
      <c r="CT47" s="57"/>
      <c r="CU47" s="19"/>
      <c r="CV47" s="19"/>
      <c r="CW47" s="27"/>
      <c r="CX47" s="27"/>
      <c r="CY47" s="19"/>
      <c r="CZ47" s="19"/>
      <c r="DA47" s="57"/>
      <c r="DB47" s="19"/>
      <c r="DC47" s="19"/>
      <c r="DD47" s="27"/>
      <c r="DE47" s="27"/>
      <c r="DF47" s="19"/>
      <c r="DG47" s="19"/>
      <c r="DH47" s="57"/>
      <c r="DI47" s="19"/>
      <c r="DJ47" s="19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59"/>
      <c r="ED47" s="59"/>
      <c r="EE47" s="14"/>
      <c r="EF47" s="14"/>
      <c r="EG47" s="14"/>
      <c r="EH47" s="14"/>
      <c r="GN47" s="46"/>
    </row>
    <row r="48" spans="1:197" x14ac:dyDescent="0.25">
      <c r="A48" s="50"/>
      <c r="B48" s="50"/>
      <c r="C48" s="50"/>
      <c r="D48" s="19"/>
      <c r="E48" s="51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19"/>
      <c r="BI48" s="19"/>
      <c r="BJ48" s="57"/>
      <c r="BK48" s="27"/>
      <c r="BL48" s="27"/>
      <c r="BM48" s="57"/>
      <c r="BN48" s="58"/>
      <c r="BO48" s="58"/>
      <c r="BP48" s="57"/>
      <c r="BQ48" s="19"/>
      <c r="BR48" s="19"/>
      <c r="BS48" s="57"/>
      <c r="BT48" s="19"/>
      <c r="BU48" s="19"/>
      <c r="BV48" s="57"/>
      <c r="BW48" s="19"/>
      <c r="BX48" s="59"/>
      <c r="BY48" s="27"/>
      <c r="BZ48" s="59"/>
      <c r="CA48" s="19"/>
      <c r="CB48" s="19"/>
      <c r="CC48" s="57"/>
      <c r="CD48" s="59"/>
      <c r="CE48" s="59"/>
      <c r="CF48" s="59"/>
      <c r="CG48" s="59"/>
      <c r="CH48" s="19"/>
      <c r="CI48" s="19"/>
      <c r="CJ48" s="57"/>
      <c r="CK48" s="60"/>
      <c r="CL48" s="19"/>
      <c r="CM48" s="57"/>
      <c r="CN48" s="19"/>
      <c r="CO48" s="59"/>
      <c r="CP48" s="27"/>
      <c r="CQ48" s="59"/>
      <c r="CR48" s="19"/>
      <c r="CS48" s="19"/>
      <c r="CT48" s="57"/>
      <c r="CU48" s="19"/>
      <c r="CV48" s="19"/>
      <c r="CW48" s="27"/>
      <c r="CX48" s="27"/>
      <c r="CY48" s="19"/>
      <c r="CZ48" s="19"/>
      <c r="DA48" s="57"/>
      <c r="DB48" s="19"/>
      <c r="DC48" s="19"/>
      <c r="DD48" s="27"/>
      <c r="DE48" s="27"/>
      <c r="DF48" s="19"/>
      <c r="DG48" s="19"/>
      <c r="DH48" s="57"/>
      <c r="DI48" s="19"/>
      <c r="DJ48" s="19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59"/>
      <c r="ED48" s="59"/>
      <c r="EE48" s="14"/>
      <c r="EF48" s="14"/>
      <c r="EG48" s="14"/>
      <c r="EH48" s="14"/>
      <c r="GN48" s="46"/>
    </row>
    <row r="49" spans="1:196" x14ac:dyDescent="0.25">
      <c r="A49" s="50"/>
      <c r="B49" s="50"/>
      <c r="C49" s="50"/>
      <c r="D49" s="19"/>
      <c r="E49" s="51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19"/>
      <c r="BI49" s="19"/>
      <c r="BJ49" s="57"/>
      <c r="BK49" s="27"/>
      <c r="BL49" s="27"/>
      <c r="BM49" s="57"/>
      <c r="BN49" s="58"/>
      <c r="BO49" s="58"/>
      <c r="BP49" s="57"/>
      <c r="BQ49" s="19"/>
      <c r="BR49" s="19"/>
      <c r="BS49" s="57"/>
      <c r="BT49" s="19"/>
      <c r="BU49" s="19"/>
      <c r="BV49" s="57"/>
      <c r="BW49" s="19"/>
      <c r="BX49" s="59"/>
      <c r="BY49" s="27"/>
      <c r="BZ49" s="59"/>
      <c r="CA49" s="19"/>
      <c r="CB49" s="19"/>
      <c r="CC49" s="57"/>
      <c r="CD49" s="59"/>
      <c r="CE49" s="59"/>
      <c r="CF49" s="59"/>
      <c r="CG49" s="59"/>
      <c r="CH49" s="19"/>
      <c r="CI49" s="19"/>
      <c r="CJ49" s="57"/>
      <c r="CK49" s="60"/>
      <c r="CL49" s="19"/>
      <c r="CM49" s="57"/>
      <c r="CN49" s="19"/>
      <c r="CO49" s="59"/>
      <c r="CP49" s="27"/>
      <c r="CQ49" s="59"/>
      <c r="CR49" s="19"/>
      <c r="CS49" s="19"/>
      <c r="CT49" s="57"/>
      <c r="CU49" s="19"/>
      <c r="CV49" s="19"/>
      <c r="CW49" s="27"/>
      <c r="CX49" s="27"/>
      <c r="CY49" s="19"/>
      <c r="CZ49" s="19"/>
      <c r="DA49" s="57"/>
      <c r="DB49" s="19"/>
      <c r="DC49" s="19"/>
      <c r="DD49" s="27"/>
      <c r="DE49" s="27"/>
      <c r="DF49" s="19"/>
      <c r="DG49" s="19"/>
      <c r="DH49" s="57"/>
      <c r="DI49" s="19"/>
      <c r="DJ49" s="19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59"/>
      <c r="ED49" s="59"/>
      <c r="EE49" s="14"/>
      <c r="EF49" s="14"/>
      <c r="EG49" s="14"/>
      <c r="EH49" s="14"/>
      <c r="GN49" s="46"/>
    </row>
    <row r="50" spans="1:196" x14ac:dyDescent="0.25">
      <c r="A50" s="50"/>
      <c r="B50" s="50"/>
      <c r="C50" s="50"/>
      <c r="D50" s="19"/>
      <c r="E50" s="51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19"/>
      <c r="BI50" s="19"/>
      <c r="BJ50" s="57"/>
      <c r="BK50" s="27"/>
      <c r="BL50" s="27"/>
      <c r="BM50" s="57"/>
      <c r="BN50" s="58"/>
      <c r="BO50" s="58"/>
      <c r="BP50" s="57"/>
      <c r="BQ50" s="19"/>
      <c r="BR50" s="19"/>
      <c r="BS50" s="57"/>
      <c r="BT50" s="19"/>
      <c r="BU50" s="19"/>
      <c r="BV50" s="57"/>
      <c r="BW50" s="19"/>
      <c r="BX50" s="59"/>
      <c r="BY50" s="27"/>
      <c r="BZ50" s="59"/>
      <c r="CA50" s="19"/>
      <c r="CB50" s="19"/>
      <c r="CC50" s="57"/>
      <c r="CD50" s="59"/>
      <c r="CE50" s="59"/>
      <c r="CF50" s="59"/>
      <c r="CG50" s="59"/>
      <c r="CH50" s="19"/>
      <c r="CI50" s="19"/>
      <c r="CJ50" s="57"/>
      <c r="CK50" s="60"/>
      <c r="CL50" s="19"/>
      <c r="CM50" s="57"/>
      <c r="CN50" s="19"/>
      <c r="CO50" s="59"/>
      <c r="CP50" s="27"/>
      <c r="CQ50" s="59"/>
      <c r="CR50" s="19"/>
      <c r="CS50" s="19"/>
      <c r="CT50" s="57"/>
      <c r="CU50" s="19"/>
      <c r="CV50" s="19"/>
      <c r="CW50" s="27"/>
      <c r="CX50" s="27"/>
      <c r="CY50" s="19"/>
      <c r="CZ50" s="19"/>
      <c r="DA50" s="57"/>
      <c r="DB50" s="19"/>
      <c r="DC50" s="19"/>
      <c r="DD50" s="27"/>
      <c r="DE50" s="27"/>
      <c r="DF50" s="19"/>
      <c r="DG50" s="19"/>
      <c r="DH50" s="57"/>
      <c r="DI50" s="19"/>
      <c r="DJ50" s="19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59"/>
      <c r="ED50" s="59"/>
      <c r="EE50" s="14"/>
      <c r="EF50" s="14"/>
      <c r="EG50" s="14"/>
      <c r="EH50" s="14"/>
      <c r="GN50" s="46"/>
    </row>
    <row r="51" spans="1:196" x14ac:dyDescent="0.25">
      <c r="A51" s="50"/>
      <c r="B51" s="50"/>
      <c r="C51" s="50"/>
      <c r="D51" s="19"/>
      <c r="E51" s="51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19"/>
      <c r="BI51" s="19"/>
      <c r="BJ51" s="57"/>
      <c r="BK51" s="27"/>
      <c r="BL51" s="27"/>
      <c r="BM51" s="57"/>
      <c r="BN51" s="58"/>
      <c r="BO51" s="58"/>
      <c r="BP51" s="57"/>
      <c r="BQ51" s="19"/>
      <c r="BR51" s="19"/>
      <c r="BS51" s="57"/>
      <c r="BT51" s="19"/>
      <c r="BU51" s="19"/>
      <c r="BV51" s="57"/>
      <c r="BW51" s="19"/>
      <c r="BX51" s="59"/>
      <c r="BY51" s="27"/>
      <c r="BZ51" s="59"/>
      <c r="CA51" s="19"/>
      <c r="CB51" s="19"/>
      <c r="CC51" s="57"/>
      <c r="CD51" s="59"/>
      <c r="CE51" s="59"/>
      <c r="CF51" s="59"/>
      <c r="CG51" s="59"/>
      <c r="CH51" s="19"/>
      <c r="CI51" s="19"/>
      <c r="CJ51" s="57"/>
      <c r="CK51" s="60"/>
      <c r="CL51" s="19"/>
      <c r="CM51" s="57"/>
      <c r="CN51" s="19"/>
      <c r="CO51" s="59"/>
      <c r="CP51" s="27"/>
      <c r="CQ51" s="59"/>
      <c r="CR51" s="19"/>
      <c r="CS51" s="19"/>
      <c r="CT51" s="57"/>
      <c r="CU51" s="19"/>
      <c r="CV51" s="19"/>
      <c r="CW51" s="27"/>
      <c r="CX51" s="27"/>
      <c r="CY51" s="19"/>
      <c r="CZ51" s="19"/>
      <c r="DA51" s="57"/>
      <c r="DB51" s="19"/>
      <c r="DC51" s="19"/>
      <c r="DD51" s="27"/>
      <c r="DE51" s="27"/>
      <c r="DF51" s="19"/>
      <c r="DG51" s="19"/>
      <c r="DH51" s="57"/>
      <c r="DI51" s="19"/>
      <c r="DJ51" s="19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59"/>
      <c r="ED51" s="59"/>
      <c r="EE51" s="14"/>
      <c r="EF51" s="14"/>
      <c r="EG51" s="14"/>
      <c r="EH51" s="14"/>
      <c r="GN51" s="46"/>
    </row>
    <row r="52" spans="1:196" x14ac:dyDescent="0.25">
      <c r="A52" s="50"/>
      <c r="B52" s="50"/>
      <c r="C52" s="50"/>
      <c r="D52" s="19"/>
      <c r="E52" s="51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19"/>
      <c r="BI52" s="19"/>
      <c r="BJ52" s="57"/>
      <c r="BK52" s="27"/>
      <c r="BL52" s="27"/>
      <c r="BM52" s="57"/>
      <c r="BN52" s="58"/>
      <c r="BO52" s="58"/>
      <c r="BP52" s="57"/>
      <c r="BQ52" s="19"/>
      <c r="BR52" s="19"/>
      <c r="BS52" s="57"/>
      <c r="BT52" s="19"/>
      <c r="BU52" s="19"/>
      <c r="BV52" s="57"/>
      <c r="BW52" s="19"/>
      <c r="BX52" s="59"/>
      <c r="BY52" s="27"/>
      <c r="BZ52" s="59"/>
      <c r="CA52" s="19"/>
      <c r="CB52" s="19"/>
      <c r="CC52" s="57"/>
      <c r="CD52" s="59"/>
      <c r="CE52" s="59"/>
      <c r="CF52" s="59"/>
      <c r="CG52" s="59"/>
      <c r="CH52" s="19"/>
      <c r="CI52" s="19"/>
      <c r="CJ52" s="57"/>
      <c r="CK52" s="60"/>
      <c r="CL52" s="19"/>
      <c r="CM52" s="57"/>
      <c r="CN52" s="19"/>
      <c r="CO52" s="59"/>
      <c r="CP52" s="27"/>
      <c r="CQ52" s="59"/>
      <c r="CR52" s="19"/>
      <c r="CS52" s="19"/>
      <c r="CT52" s="57"/>
      <c r="CU52" s="19"/>
      <c r="CV52" s="19"/>
      <c r="CW52" s="27"/>
      <c r="CX52" s="27"/>
      <c r="CY52" s="19"/>
      <c r="CZ52" s="19"/>
      <c r="DA52" s="57"/>
      <c r="DB52" s="19"/>
      <c r="DC52" s="19"/>
      <c r="DD52" s="27"/>
      <c r="DE52" s="27"/>
      <c r="DF52" s="19"/>
      <c r="DG52" s="19"/>
      <c r="DH52" s="57"/>
      <c r="DI52" s="19"/>
      <c r="DJ52" s="19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59"/>
      <c r="ED52" s="59"/>
      <c r="EE52" s="14"/>
      <c r="EF52" s="14"/>
      <c r="EG52" s="14"/>
      <c r="EH52" s="14"/>
      <c r="GN52" s="46"/>
    </row>
    <row r="53" spans="1:196" x14ac:dyDescent="0.25">
      <c r="A53" s="50"/>
      <c r="B53" s="50"/>
      <c r="C53" s="50"/>
      <c r="D53" s="19"/>
      <c r="E53" s="51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19"/>
      <c r="BI53" s="19"/>
      <c r="BJ53" s="57"/>
      <c r="BK53" s="27"/>
      <c r="BL53" s="27"/>
      <c r="BM53" s="57"/>
      <c r="BN53" s="58"/>
      <c r="BO53" s="58"/>
      <c r="BP53" s="57"/>
      <c r="BQ53" s="19"/>
      <c r="BR53" s="19"/>
      <c r="BS53" s="57"/>
      <c r="BT53" s="19"/>
      <c r="BU53" s="19"/>
      <c r="BV53" s="57"/>
      <c r="BW53" s="19"/>
      <c r="BX53" s="59"/>
      <c r="BY53" s="27"/>
      <c r="BZ53" s="59"/>
      <c r="CA53" s="19"/>
      <c r="CB53" s="19"/>
      <c r="CC53" s="57"/>
      <c r="CD53" s="59"/>
      <c r="CE53" s="59"/>
      <c r="CF53" s="59"/>
      <c r="CG53" s="59"/>
      <c r="CH53" s="19"/>
      <c r="CI53" s="19"/>
      <c r="CJ53" s="57"/>
      <c r="CK53" s="60"/>
      <c r="CL53" s="19"/>
      <c r="CM53" s="57"/>
      <c r="CN53" s="19"/>
      <c r="CO53" s="59"/>
      <c r="CP53" s="27"/>
      <c r="CQ53" s="59"/>
      <c r="CR53" s="19"/>
      <c r="CS53" s="19"/>
      <c r="CT53" s="57"/>
      <c r="CU53" s="19"/>
      <c r="CV53" s="19"/>
      <c r="CW53" s="27"/>
      <c r="CX53" s="27"/>
      <c r="CY53" s="19"/>
      <c r="CZ53" s="19"/>
      <c r="DA53" s="57"/>
      <c r="DB53" s="19"/>
      <c r="DC53" s="19"/>
      <c r="DD53" s="27"/>
      <c r="DE53" s="27"/>
      <c r="DF53" s="19"/>
      <c r="DG53" s="19"/>
      <c r="DH53" s="57"/>
      <c r="DI53" s="19"/>
      <c r="DJ53" s="19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59"/>
      <c r="ED53" s="59"/>
      <c r="EE53" s="14"/>
      <c r="EF53" s="14"/>
      <c r="EG53" s="14"/>
      <c r="EH53" s="14"/>
      <c r="GN53" s="46"/>
    </row>
    <row r="54" spans="1:196" x14ac:dyDescent="0.25">
      <c r="A54" s="50"/>
      <c r="B54" s="50"/>
      <c r="C54" s="50"/>
      <c r="D54" s="19"/>
      <c r="E54" s="5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19"/>
      <c r="BI54" s="19"/>
      <c r="BJ54" s="57"/>
      <c r="BK54" s="27"/>
      <c r="BL54" s="27"/>
      <c r="BM54" s="57"/>
      <c r="BN54" s="58"/>
      <c r="BO54" s="58"/>
      <c r="BP54" s="57"/>
      <c r="BQ54" s="19"/>
      <c r="BR54" s="19"/>
      <c r="BS54" s="57"/>
      <c r="BT54" s="19"/>
      <c r="BU54" s="19"/>
      <c r="BV54" s="57"/>
      <c r="BW54" s="19"/>
      <c r="BX54" s="59"/>
      <c r="BY54" s="27"/>
      <c r="BZ54" s="59"/>
      <c r="CA54" s="19"/>
      <c r="CB54" s="19"/>
      <c r="CC54" s="57"/>
      <c r="CD54" s="59"/>
      <c r="CE54" s="59"/>
      <c r="CF54" s="59"/>
      <c r="CG54" s="59"/>
      <c r="CH54" s="19"/>
      <c r="CI54" s="19"/>
      <c r="CJ54" s="57"/>
      <c r="CK54" s="60"/>
      <c r="CL54" s="19"/>
      <c r="CM54" s="57"/>
      <c r="CN54" s="19"/>
      <c r="CO54" s="59"/>
      <c r="CP54" s="27"/>
      <c r="CQ54" s="59"/>
      <c r="CR54" s="19"/>
      <c r="CS54" s="19"/>
      <c r="CT54" s="57"/>
      <c r="CU54" s="19"/>
      <c r="CV54" s="19"/>
      <c r="CW54" s="27"/>
      <c r="CX54" s="27"/>
      <c r="CY54" s="19"/>
      <c r="CZ54" s="19"/>
      <c r="DA54" s="57"/>
      <c r="DB54" s="19"/>
      <c r="DC54" s="19"/>
      <c r="DD54" s="27"/>
      <c r="DE54" s="27"/>
      <c r="DF54" s="19"/>
      <c r="DG54" s="19"/>
      <c r="DH54" s="57"/>
      <c r="DI54" s="19"/>
      <c r="DJ54" s="19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59"/>
      <c r="ED54" s="59"/>
      <c r="EE54" s="14"/>
      <c r="EF54" s="14"/>
      <c r="EG54" s="14"/>
      <c r="EH54" s="14"/>
      <c r="GN54" s="46"/>
    </row>
    <row r="55" spans="1:196" x14ac:dyDescent="0.25">
      <c r="A55" s="50"/>
      <c r="B55" s="50"/>
      <c r="C55" s="50"/>
      <c r="D55" s="19"/>
      <c r="E55" s="51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19"/>
      <c r="BI55" s="19"/>
      <c r="BJ55" s="57"/>
      <c r="BK55" s="27"/>
      <c r="BL55" s="27"/>
      <c r="BM55" s="57"/>
      <c r="BN55" s="58"/>
      <c r="BO55" s="58"/>
      <c r="BP55" s="57"/>
      <c r="BQ55" s="19"/>
      <c r="BR55" s="19"/>
      <c r="BS55" s="57"/>
      <c r="BT55" s="19"/>
      <c r="BU55" s="19"/>
      <c r="BV55" s="57"/>
      <c r="BW55" s="19"/>
      <c r="BX55" s="59"/>
      <c r="BY55" s="27"/>
      <c r="BZ55" s="59"/>
      <c r="CA55" s="19"/>
      <c r="CB55" s="19"/>
      <c r="CC55" s="57"/>
      <c r="CD55" s="59"/>
      <c r="CE55" s="59"/>
      <c r="CF55" s="59"/>
      <c r="CG55" s="59"/>
      <c r="CH55" s="19"/>
      <c r="CI55" s="19"/>
      <c r="CJ55" s="57"/>
      <c r="CK55" s="60"/>
      <c r="CL55" s="19"/>
      <c r="CM55" s="57"/>
      <c r="CN55" s="19"/>
      <c r="CO55" s="59"/>
      <c r="CP55" s="27"/>
      <c r="CQ55" s="59"/>
      <c r="CR55" s="19"/>
      <c r="CS55" s="19"/>
      <c r="CT55" s="57"/>
      <c r="CU55" s="19"/>
      <c r="CV55" s="19"/>
      <c r="CW55" s="27"/>
      <c r="CX55" s="27"/>
      <c r="CY55" s="19"/>
      <c r="CZ55" s="19"/>
      <c r="DA55" s="57"/>
      <c r="DB55" s="19"/>
      <c r="DC55" s="19"/>
      <c r="DD55" s="27"/>
      <c r="DE55" s="27"/>
      <c r="DF55" s="19"/>
      <c r="DG55" s="19"/>
      <c r="DH55" s="57"/>
      <c r="DI55" s="19"/>
      <c r="DJ55" s="19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59"/>
      <c r="ED55" s="59"/>
      <c r="EE55" s="14"/>
      <c r="EF55" s="14"/>
      <c r="EG55" s="14"/>
      <c r="EH55" s="14"/>
      <c r="GN55" s="46"/>
    </row>
    <row r="56" spans="1:196" x14ac:dyDescent="0.25">
      <c r="A56" s="50"/>
      <c r="B56" s="50"/>
      <c r="C56" s="50"/>
      <c r="D56" s="19"/>
      <c r="E56" s="51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19"/>
      <c r="BI56" s="19"/>
      <c r="BJ56" s="57"/>
      <c r="BK56" s="27"/>
      <c r="BL56" s="27"/>
      <c r="BM56" s="57"/>
      <c r="BN56" s="58"/>
      <c r="BO56" s="58"/>
      <c r="BP56" s="57"/>
      <c r="BQ56" s="19"/>
      <c r="BR56" s="19"/>
      <c r="BS56" s="57"/>
      <c r="BT56" s="19"/>
      <c r="BU56" s="19"/>
      <c r="BV56" s="57"/>
      <c r="BW56" s="19"/>
      <c r="BX56" s="59"/>
      <c r="BY56" s="27"/>
      <c r="BZ56" s="59"/>
      <c r="CA56" s="19"/>
      <c r="CB56" s="19"/>
      <c r="CC56" s="57"/>
      <c r="CD56" s="59"/>
      <c r="CE56" s="59"/>
      <c r="CF56" s="59"/>
      <c r="CG56" s="59"/>
      <c r="CH56" s="19"/>
      <c r="CI56" s="19"/>
      <c r="CJ56" s="57"/>
      <c r="CK56" s="60"/>
      <c r="CL56" s="19"/>
      <c r="CM56" s="57"/>
      <c r="CN56" s="19"/>
      <c r="CO56" s="59"/>
      <c r="CP56" s="27"/>
      <c r="CQ56" s="59"/>
      <c r="CR56" s="19"/>
      <c r="CS56" s="19"/>
      <c r="CT56" s="57"/>
      <c r="CU56" s="19"/>
      <c r="CV56" s="19"/>
      <c r="CW56" s="27"/>
      <c r="CX56" s="27"/>
      <c r="CY56" s="19"/>
      <c r="CZ56" s="19"/>
      <c r="DA56" s="57"/>
      <c r="DB56" s="19"/>
      <c r="DC56" s="19"/>
      <c r="DD56" s="27"/>
      <c r="DE56" s="27"/>
      <c r="DF56" s="19"/>
      <c r="DG56" s="19"/>
      <c r="DH56" s="57"/>
      <c r="DI56" s="19"/>
      <c r="DJ56" s="19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59"/>
      <c r="ED56" s="59"/>
      <c r="EE56" s="14"/>
      <c r="EF56" s="14"/>
      <c r="EG56" s="14"/>
      <c r="EH56" s="14"/>
      <c r="GN56" s="46"/>
    </row>
    <row r="57" spans="1:196" x14ac:dyDescent="0.25">
      <c r="A57" s="50"/>
      <c r="B57" s="50"/>
      <c r="C57" s="50"/>
      <c r="D57" s="19"/>
      <c r="E57" s="51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19"/>
      <c r="BI57" s="19"/>
      <c r="BJ57" s="57"/>
      <c r="BK57" s="27"/>
      <c r="BL57" s="27"/>
      <c r="BM57" s="57"/>
      <c r="BN57" s="58"/>
      <c r="BO57" s="58"/>
      <c r="BP57" s="57"/>
      <c r="BQ57" s="19"/>
      <c r="BR57" s="19"/>
      <c r="BS57" s="57"/>
      <c r="BT57" s="19"/>
      <c r="BU57" s="19"/>
      <c r="BV57" s="57"/>
      <c r="BW57" s="19"/>
      <c r="BX57" s="59"/>
      <c r="BY57" s="27"/>
      <c r="BZ57" s="59"/>
      <c r="CA57" s="19"/>
      <c r="CB57" s="19"/>
      <c r="CC57" s="57"/>
      <c r="CD57" s="59"/>
      <c r="CE57" s="59"/>
      <c r="CF57" s="59"/>
      <c r="CG57" s="59"/>
      <c r="CH57" s="19"/>
      <c r="CI57" s="19"/>
      <c r="CJ57" s="57"/>
      <c r="CK57" s="60"/>
      <c r="CL57" s="19"/>
      <c r="CM57" s="57"/>
      <c r="CN57" s="19"/>
      <c r="CO57" s="59"/>
      <c r="CP57" s="27"/>
      <c r="CQ57" s="59"/>
      <c r="CR57" s="19"/>
      <c r="CS57" s="19"/>
      <c r="CT57" s="57"/>
      <c r="CU57" s="19"/>
      <c r="CV57" s="19"/>
      <c r="CW57" s="27"/>
      <c r="CX57" s="27"/>
      <c r="CY57" s="19"/>
      <c r="CZ57" s="19"/>
      <c r="DA57" s="57"/>
      <c r="DB57" s="19"/>
      <c r="DC57" s="19"/>
      <c r="DD57" s="27"/>
      <c r="DE57" s="27"/>
      <c r="DF57" s="19"/>
      <c r="DG57" s="19"/>
      <c r="DH57" s="57"/>
      <c r="DI57" s="19"/>
      <c r="DJ57" s="19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59"/>
      <c r="ED57" s="59"/>
      <c r="EE57" s="14"/>
      <c r="EF57" s="14"/>
      <c r="EG57" s="14"/>
      <c r="EH57" s="14"/>
      <c r="GN57" s="46"/>
    </row>
    <row r="58" spans="1:196" x14ac:dyDescent="0.25">
      <c r="A58" s="50"/>
      <c r="B58" s="50"/>
      <c r="C58" s="50"/>
      <c r="D58" s="19"/>
      <c r="E58" s="51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19"/>
      <c r="BI58" s="19"/>
      <c r="BJ58" s="57"/>
      <c r="BK58" s="27"/>
      <c r="BL58" s="27"/>
      <c r="BM58" s="57"/>
      <c r="BN58" s="58"/>
      <c r="BO58" s="58"/>
      <c r="BP58" s="57"/>
      <c r="BQ58" s="19"/>
      <c r="BR58" s="19"/>
      <c r="BS58" s="57"/>
      <c r="BT58" s="19"/>
      <c r="BU58" s="19"/>
      <c r="BV58" s="57"/>
      <c r="BW58" s="19"/>
      <c r="BX58" s="59"/>
      <c r="BY58" s="27"/>
      <c r="BZ58" s="59"/>
      <c r="CA58" s="19"/>
      <c r="CB58" s="19"/>
      <c r="CC58" s="57"/>
      <c r="CD58" s="59"/>
      <c r="CE58" s="59"/>
      <c r="CF58" s="59"/>
      <c r="CG58" s="59"/>
      <c r="CH58" s="19"/>
      <c r="CI58" s="19"/>
      <c r="CJ58" s="57"/>
      <c r="CK58" s="60"/>
      <c r="CL58" s="19"/>
      <c r="CM58" s="57"/>
      <c r="CN58" s="19"/>
      <c r="CO58" s="59"/>
      <c r="CP58" s="27"/>
      <c r="CQ58" s="59"/>
      <c r="CR58" s="19"/>
      <c r="CS58" s="19"/>
      <c r="CT58" s="57"/>
      <c r="CU58" s="19"/>
      <c r="CV58" s="19"/>
      <c r="CW58" s="27"/>
      <c r="CX58" s="27"/>
      <c r="CY58" s="19"/>
      <c r="CZ58" s="19"/>
      <c r="DA58" s="57"/>
      <c r="DB58" s="19"/>
      <c r="DC58" s="19"/>
      <c r="DD58" s="27"/>
      <c r="DE58" s="27"/>
      <c r="DF58" s="19"/>
      <c r="DG58" s="19"/>
      <c r="DH58" s="57"/>
      <c r="DI58" s="19"/>
      <c r="DJ58" s="19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59"/>
      <c r="ED58" s="59"/>
      <c r="EE58" s="14"/>
      <c r="EF58" s="14"/>
      <c r="EG58" s="14"/>
      <c r="EH58" s="14"/>
      <c r="GN58" s="46"/>
    </row>
    <row r="59" spans="1:196" x14ac:dyDescent="0.25">
      <c r="A59" s="50"/>
      <c r="B59" s="50"/>
      <c r="C59" s="50"/>
      <c r="D59" s="19"/>
      <c r="E59" s="51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19"/>
      <c r="BI59" s="19"/>
      <c r="BJ59" s="57"/>
      <c r="BK59" s="27"/>
      <c r="BL59" s="27"/>
      <c r="BM59" s="57"/>
      <c r="BN59" s="58"/>
      <c r="BO59" s="58"/>
      <c r="BP59" s="57"/>
      <c r="BQ59" s="19"/>
      <c r="BR59" s="19"/>
      <c r="BS59" s="57"/>
      <c r="BT59" s="19"/>
      <c r="BU59" s="19"/>
      <c r="BV59" s="57"/>
      <c r="BW59" s="19"/>
      <c r="BX59" s="59"/>
      <c r="BY59" s="27"/>
      <c r="BZ59" s="59"/>
      <c r="CA59" s="19"/>
      <c r="CB59" s="19"/>
      <c r="CC59" s="57"/>
      <c r="CD59" s="59"/>
      <c r="CE59" s="59"/>
      <c r="CF59" s="59"/>
      <c r="CG59" s="59"/>
      <c r="CH59" s="19"/>
      <c r="CI59" s="19"/>
      <c r="CJ59" s="57"/>
      <c r="CK59" s="60"/>
      <c r="CL59" s="19"/>
      <c r="CM59" s="57"/>
      <c r="CN59" s="19"/>
      <c r="CO59" s="59"/>
      <c r="CP59" s="27"/>
      <c r="CQ59" s="59"/>
      <c r="CR59" s="19"/>
      <c r="CS59" s="19"/>
      <c r="CT59" s="57"/>
      <c r="CU59" s="19"/>
      <c r="CV59" s="19"/>
      <c r="CW59" s="27"/>
      <c r="CX59" s="27"/>
      <c r="CY59" s="19"/>
      <c r="CZ59" s="19"/>
      <c r="DA59" s="57"/>
      <c r="DB59" s="19"/>
      <c r="DC59" s="19"/>
      <c r="DD59" s="27"/>
      <c r="DE59" s="27"/>
      <c r="DF59" s="19"/>
      <c r="DG59" s="19"/>
      <c r="DH59" s="57"/>
      <c r="DI59" s="19"/>
      <c r="DJ59" s="19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59"/>
      <c r="ED59" s="59"/>
      <c r="EE59" s="14"/>
      <c r="EF59" s="14"/>
      <c r="EG59" s="14"/>
      <c r="EH59" s="14"/>
      <c r="GN59" s="46"/>
    </row>
    <row r="60" spans="1:196" x14ac:dyDescent="0.25">
      <c r="A60" s="50"/>
      <c r="B60" s="50"/>
      <c r="C60" s="50"/>
      <c r="D60" s="19"/>
      <c r="E60" s="51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19"/>
      <c r="BI60" s="19"/>
      <c r="BJ60" s="57"/>
      <c r="BK60" s="27"/>
      <c r="BL60" s="27"/>
      <c r="BM60" s="57"/>
      <c r="BN60" s="58"/>
      <c r="BO60" s="58"/>
      <c r="BP60" s="57"/>
      <c r="BQ60" s="19"/>
      <c r="BR60" s="19"/>
      <c r="BS60" s="57"/>
      <c r="BT60" s="19"/>
      <c r="BU60" s="19"/>
      <c r="BV60" s="57"/>
      <c r="BW60" s="19"/>
      <c r="BX60" s="59"/>
      <c r="BY60" s="27"/>
      <c r="BZ60" s="59"/>
      <c r="CA60" s="19"/>
      <c r="CB60" s="19"/>
      <c r="CC60" s="57"/>
      <c r="CD60" s="59"/>
      <c r="CE60" s="59"/>
      <c r="CF60" s="59"/>
      <c r="CG60" s="59"/>
      <c r="CH60" s="19"/>
      <c r="CI60" s="19"/>
      <c r="CJ60" s="57"/>
      <c r="CK60" s="60"/>
      <c r="CL60" s="19"/>
      <c r="CM60" s="57"/>
      <c r="CN60" s="19"/>
      <c r="CO60" s="59"/>
      <c r="CP60" s="27"/>
      <c r="CQ60" s="59"/>
      <c r="CR60" s="19"/>
      <c r="CS60" s="19"/>
      <c r="CT60" s="57"/>
      <c r="CU60" s="19"/>
      <c r="CV60" s="19"/>
      <c r="CW60" s="27"/>
      <c r="CX60" s="27"/>
      <c r="CY60" s="19"/>
      <c r="CZ60" s="19"/>
      <c r="DA60" s="57"/>
      <c r="DB60" s="19"/>
      <c r="DC60" s="19"/>
      <c r="DD60" s="27"/>
      <c r="DE60" s="27"/>
      <c r="DF60" s="19"/>
      <c r="DG60" s="19"/>
      <c r="DH60" s="57"/>
      <c r="DI60" s="19"/>
      <c r="DJ60" s="19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59"/>
      <c r="ED60" s="59"/>
      <c r="EE60" s="14"/>
      <c r="EF60" s="14"/>
      <c r="EG60" s="14"/>
      <c r="EH60" s="14"/>
      <c r="GN60" s="46"/>
    </row>
    <row r="61" spans="1:196" x14ac:dyDescent="0.25">
      <c r="A61" s="50"/>
      <c r="B61" s="50"/>
      <c r="C61" s="50"/>
      <c r="D61" s="19"/>
      <c r="E61" s="51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19"/>
      <c r="BI61" s="19"/>
      <c r="BJ61" s="57"/>
      <c r="BK61" s="27"/>
      <c r="BL61" s="27"/>
      <c r="BM61" s="57"/>
      <c r="BN61" s="58"/>
      <c r="BO61" s="58"/>
      <c r="BP61" s="57"/>
      <c r="BQ61" s="19"/>
      <c r="BR61" s="19"/>
      <c r="BS61" s="57"/>
      <c r="BT61" s="19"/>
      <c r="BU61" s="19"/>
      <c r="BV61" s="57"/>
      <c r="BW61" s="19"/>
      <c r="BX61" s="59"/>
      <c r="BY61" s="27"/>
      <c r="BZ61" s="59"/>
      <c r="CA61" s="19"/>
      <c r="CB61" s="19"/>
      <c r="CC61" s="57"/>
      <c r="CD61" s="59"/>
      <c r="CE61" s="59"/>
      <c r="CF61" s="59"/>
      <c r="CG61" s="59"/>
      <c r="CH61" s="19"/>
      <c r="CI61" s="19"/>
      <c r="CJ61" s="57"/>
      <c r="CK61" s="60"/>
      <c r="CL61" s="19"/>
      <c r="CM61" s="57"/>
      <c r="CN61" s="19"/>
      <c r="CO61" s="59"/>
      <c r="CP61" s="27"/>
      <c r="CQ61" s="59"/>
      <c r="CR61" s="19"/>
      <c r="CS61" s="19"/>
      <c r="CT61" s="57"/>
      <c r="CU61" s="19"/>
      <c r="CV61" s="19"/>
      <c r="CW61" s="27"/>
      <c r="CX61" s="27"/>
      <c r="CY61" s="19"/>
      <c r="CZ61" s="19"/>
      <c r="DA61" s="57"/>
      <c r="DB61" s="19"/>
      <c r="DC61" s="19"/>
      <c r="DD61" s="27"/>
      <c r="DE61" s="27"/>
      <c r="DF61" s="19"/>
      <c r="DG61" s="19"/>
      <c r="DH61" s="57"/>
      <c r="DI61" s="19"/>
      <c r="DJ61" s="19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59"/>
      <c r="ED61" s="59"/>
      <c r="EE61" s="14"/>
      <c r="EF61" s="14"/>
      <c r="EG61" s="14"/>
      <c r="EH61" s="14"/>
      <c r="GN61" s="46"/>
    </row>
    <row r="62" spans="1:196" x14ac:dyDescent="0.25">
      <c r="A62" s="50"/>
      <c r="B62" s="50"/>
      <c r="C62" s="50"/>
      <c r="D62" s="19"/>
      <c r="E62" s="51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19"/>
      <c r="BI62" s="19"/>
      <c r="BJ62" s="57"/>
      <c r="BK62" s="27"/>
      <c r="BL62" s="27"/>
      <c r="BM62" s="57"/>
      <c r="BN62" s="58"/>
      <c r="BO62" s="58"/>
      <c r="BP62" s="57"/>
      <c r="BQ62" s="19"/>
      <c r="BR62" s="19"/>
      <c r="BS62" s="57"/>
      <c r="BT62" s="19"/>
      <c r="BU62" s="19"/>
      <c r="BV62" s="57"/>
      <c r="BW62" s="19"/>
      <c r="BX62" s="59"/>
      <c r="BY62" s="27"/>
      <c r="BZ62" s="59"/>
      <c r="CA62" s="19"/>
      <c r="CB62" s="19"/>
      <c r="CC62" s="57"/>
      <c r="CD62" s="59"/>
      <c r="CE62" s="59"/>
      <c r="CF62" s="59"/>
      <c r="CG62" s="59"/>
      <c r="CH62" s="19"/>
      <c r="CI62" s="19"/>
      <c r="CJ62" s="57"/>
      <c r="CK62" s="60"/>
      <c r="CL62" s="19"/>
      <c r="CM62" s="57"/>
      <c r="CN62" s="19"/>
      <c r="CO62" s="59"/>
      <c r="CP62" s="27"/>
      <c r="CQ62" s="59"/>
      <c r="CR62" s="19"/>
      <c r="CS62" s="19"/>
      <c r="CT62" s="57"/>
      <c r="CU62" s="19"/>
      <c r="CV62" s="19"/>
      <c r="CW62" s="27"/>
      <c r="CX62" s="27"/>
      <c r="CY62" s="19"/>
      <c r="CZ62" s="19"/>
      <c r="DA62" s="57"/>
      <c r="DB62" s="19"/>
      <c r="DC62" s="19"/>
      <c r="DD62" s="27"/>
      <c r="DE62" s="27"/>
      <c r="DF62" s="19"/>
      <c r="DG62" s="19"/>
      <c r="DH62" s="57"/>
      <c r="DI62" s="19"/>
      <c r="DJ62" s="19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59"/>
      <c r="ED62" s="59"/>
      <c r="EE62" s="14"/>
      <c r="EF62" s="14"/>
      <c r="EG62" s="14"/>
      <c r="EH62" s="14"/>
      <c r="GN62" s="46"/>
    </row>
    <row r="63" spans="1:196" x14ac:dyDescent="0.25">
      <c r="A63" s="50"/>
      <c r="B63" s="50"/>
      <c r="C63" s="50"/>
      <c r="D63" s="19"/>
      <c r="E63" s="51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19"/>
      <c r="BI63" s="19"/>
      <c r="BJ63" s="57"/>
      <c r="BK63" s="27"/>
      <c r="BL63" s="27"/>
      <c r="BM63" s="57"/>
      <c r="BN63" s="58"/>
      <c r="BO63" s="58"/>
      <c r="BP63" s="57"/>
      <c r="BQ63" s="19"/>
      <c r="BR63" s="19"/>
      <c r="BS63" s="57"/>
      <c r="BT63" s="19"/>
      <c r="BU63" s="19"/>
      <c r="BV63" s="57"/>
      <c r="BW63" s="19"/>
      <c r="BX63" s="59"/>
      <c r="BY63" s="27"/>
      <c r="BZ63" s="59"/>
      <c r="CA63" s="19"/>
      <c r="CB63" s="19"/>
      <c r="CC63" s="57"/>
      <c r="CD63" s="59"/>
      <c r="CE63" s="59"/>
      <c r="CF63" s="59"/>
      <c r="CG63" s="59"/>
      <c r="CH63" s="19"/>
      <c r="CI63" s="19"/>
      <c r="CJ63" s="57"/>
      <c r="CK63" s="60"/>
      <c r="CL63" s="19"/>
      <c r="CM63" s="57"/>
      <c r="CN63" s="19"/>
      <c r="CO63" s="59"/>
      <c r="CP63" s="27"/>
      <c r="CQ63" s="59"/>
      <c r="CR63" s="19"/>
      <c r="CS63" s="19"/>
      <c r="CT63" s="57"/>
      <c r="CU63" s="19"/>
      <c r="CV63" s="19"/>
      <c r="CW63" s="27"/>
      <c r="CX63" s="27"/>
      <c r="CY63" s="19"/>
      <c r="CZ63" s="19"/>
      <c r="DA63" s="57"/>
      <c r="DB63" s="19"/>
      <c r="DC63" s="19"/>
      <c r="DD63" s="27"/>
      <c r="DE63" s="27"/>
      <c r="DF63" s="19"/>
      <c r="DG63" s="19"/>
      <c r="DH63" s="57"/>
      <c r="DI63" s="19"/>
      <c r="DJ63" s="19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59"/>
      <c r="ED63" s="59"/>
      <c r="EE63" s="14"/>
      <c r="EF63" s="14"/>
      <c r="EG63" s="14"/>
      <c r="EH63" s="14"/>
      <c r="GN63" s="46"/>
    </row>
    <row r="64" spans="1:196" x14ac:dyDescent="0.25">
      <c r="A64" s="50"/>
      <c r="B64" s="50"/>
      <c r="C64" s="50"/>
      <c r="D64" s="19"/>
      <c r="E64" s="51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19"/>
      <c r="BI64" s="19"/>
      <c r="BJ64" s="57"/>
      <c r="BK64" s="27"/>
      <c r="BL64" s="27"/>
      <c r="BM64" s="57"/>
      <c r="BN64" s="58"/>
      <c r="BO64" s="58"/>
      <c r="BP64" s="57"/>
      <c r="BQ64" s="19"/>
      <c r="BR64" s="19"/>
      <c r="BS64" s="57"/>
      <c r="BT64" s="19"/>
      <c r="BU64" s="19"/>
      <c r="BV64" s="57"/>
      <c r="BW64" s="19"/>
      <c r="BX64" s="59"/>
      <c r="BY64" s="27"/>
      <c r="BZ64" s="59"/>
      <c r="CA64" s="19"/>
      <c r="CB64" s="19"/>
      <c r="CC64" s="57"/>
      <c r="CD64" s="59"/>
      <c r="CE64" s="59"/>
      <c r="CF64" s="59"/>
      <c r="CG64" s="59"/>
      <c r="CH64" s="19"/>
      <c r="CI64" s="19"/>
      <c r="CJ64" s="57"/>
      <c r="CK64" s="60"/>
      <c r="CL64" s="19"/>
      <c r="CM64" s="57"/>
      <c r="CN64" s="19"/>
      <c r="CO64" s="59"/>
      <c r="CP64" s="27"/>
      <c r="CQ64" s="59"/>
      <c r="CR64" s="19"/>
      <c r="CS64" s="19"/>
      <c r="CT64" s="57"/>
      <c r="CU64" s="19"/>
      <c r="CV64" s="19"/>
      <c r="CW64" s="27"/>
      <c r="CX64" s="27"/>
      <c r="CY64" s="19"/>
      <c r="CZ64" s="19"/>
      <c r="DA64" s="57"/>
      <c r="DB64" s="19"/>
      <c r="DC64" s="19"/>
      <c r="DD64" s="27"/>
      <c r="DE64" s="27"/>
      <c r="DF64" s="19"/>
      <c r="DG64" s="19"/>
      <c r="DH64" s="57"/>
      <c r="DI64" s="19"/>
      <c r="DJ64" s="19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59"/>
      <c r="ED64" s="59"/>
      <c r="EE64" s="14"/>
      <c r="EF64" s="14"/>
      <c r="EG64" s="14"/>
      <c r="EH64" s="14"/>
      <c r="GN64" s="46"/>
    </row>
    <row r="65" spans="1:196" x14ac:dyDescent="0.25">
      <c r="A65" s="50"/>
      <c r="B65" s="50"/>
      <c r="C65" s="50"/>
      <c r="D65" s="19"/>
      <c r="E65" s="51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19"/>
      <c r="BI65" s="19"/>
      <c r="BJ65" s="57"/>
      <c r="BK65" s="27"/>
      <c r="BL65" s="27"/>
      <c r="BM65" s="57"/>
      <c r="BN65" s="58"/>
      <c r="BO65" s="58"/>
      <c r="BP65" s="57"/>
      <c r="BQ65" s="19"/>
      <c r="BR65" s="19"/>
      <c r="BS65" s="57"/>
      <c r="BT65" s="19"/>
      <c r="BU65" s="19"/>
      <c r="BV65" s="57"/>
      <c r="BW65" s="19"/>
      <c r="BX65" s="59"/>
      <c r="BY65" s="27"/>
      <c r="BZ65" s="59"/>
      <c r="CA65" s="19"/>
      <c r="CB65" s="19"/>
      <c r="CC65" s="57"/>
      <c r="CD65" s="59"/>
      <c r="CE65" s="59"/>
      <c r="CF65" s="59"/>
      <c r="CG65" s="59"/>
      <c r="CH65" s="19"/>
      <c r="CI65" s="19"/>
      <c r="CJ65" s="57"/>
      <c r="CK65" s="60"/>
      <c r="CL65" s="19"/>
      <c r="CM65" s="57"/>
      <c r="CN65" s="19"/>
      <c r="CO65" s="59"/>
      <c r="CP65" s="27"/>
      <c r="CQ65" s="59"/>
      <c r="CR65" s="19"/>
      <c r="CS65" s="19"/>
      <c r="CT65" s="57"/>
      <c r="CU65" s="19"/>
      <c r="CV65" s="19"/>
      <c r="CW65" s="27"/>
      <c r="CX65" s="27"/>
      <c r="CY65" s="19"/>
      <c r="CZ65" s="19"/>
      <c r="DA65" s="57"/>
      <c r="DB65" s="19"/>
      <c r="DC65" s="19"/>
      <c r="DD65" s="27"/>
      <c r="DE65" s="27"/>
      <c r="DF65" s="19"/>
      <c r="DG65" s="19"/>
      <c r="DH65" s="57"/>
      <c r="DI65" s="19"/>
      <c r="DJ65" s="19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59"/>
      <c r="ED65" s="59"/>
      <c r="EE65" s="14"/>
      <c r="EF65" s="14"/>
      <c r="EG65" s="14"/>
      <c r="EH65" s="14"/>
      <c r="GN65" s="46"/>
    </row>
    <row r="66" spans="1:196" x14ac:dyDescent="0.25">
      <c r="A66" s="50"/>
      <c r="B66" s="50"/>
      <c r="C66" s="50"/>
      <c r="D66" s="19"/>
      <c r="E66" s="51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19"/>
      <c r="BI66" s="19"/>
      <c r="BJ66" s="57"/>
      <c r="BK66" s="27"/>
      <c r="BL66" s="27"/>
      <c r="BM66" s="57"/>
      <c r="BN66" s="58"/>
      <c r="BO66" s="58"/>
      <c r="BP66" s="57"/>
      <c r="BQ66" s="19"/>
      <c r="BR66" s="19"/>
      <c r="BS66" s="57"/>
      <c r="BT66" s="19"/>
      <c r="BU66" s="19"/>
      <c r="BV66" s="57"/>
      <c r="BW66" s="19"/>
      <c r="BX66" s="59"/>
      <c r="BY66" s="27"/>
      <c r="BZ66" s="59"/>
      <c r="CA66" s="19"/>
      <c r="CB66" s="19"/>
      <c r="CC66" s="57"/>
      <c r="CD66" s="59"/>
      <c r="CE66" s="59"/>
      <c r="CF66" s="59"/>
      <c r="CG66" s="59"/>
      <c r="CH66" s="19"/>
      <c r="CI66" s="19"/>
      <c r="CJ66" s="57"/>
      <c r="CK66" s="60"/>
      <c r="CL66" s="19"/>
      <c r="CM66" s="57"/>
      <c r="CN66" s="19"/>
      <c r="CO66" s="59"/>
      <c r="CP66" s="27"/>
      <c r="CQ66" s="59"/>
      <c r="CR66" s="19"/>
      <c r="CS66" s="19"/>
      <c r="CT66" s="57"/>
      <c r="CU66" s="19"/>
      <c r="CV66" s="19"/>
      <c r="CW66" s="27"/>
      <c r="CX66" s="27"/>
      <c r="CY66" s="19"/>
      <c r="CZ66" s="19"/>
      <c r="DA66" s="57"/>
      <c r="DB66" s="19"/>
      <c r="DC66" s="19"/>
      <c r="DD66" s="27"/>
      <c r="DE66" s="27"/>
      <c r="DF66" s="19"/>
      <c r="DG66" s="19"/>
      <c r="DH66" s="57"/>
      <c r="DI66" s="19"/>
      <c r="DJ66" s="19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59"/>
      <c r="ED66" s="59"/>
      <c r="EE66" s="14"/>
      <c r="EF66" s="14"/>
      <c r="EG66" s="14"/>
      <c r="EH66" s="14"/>
      <c r="GN66" s="46"/>
    </row>
    <row r="67" spans="1:196" x14ac:dyDescent="0.25">
      <c r="A67" s="50"/>
      <c r="B67" s="50"/>
      <c r="C67" s="50"/>
      <c r="D67" s="19"/>
      <c r="E67" s="51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19"/>
      <c r="BI67" s="19"/>
      <c r="BJ67" s="57"/>
      <c r="BK67" s="27"/>
      <c r="BL67" s="27"/>
      <c r="BM67" s="57"/>
      <c r="BN67" s="58"/>
      <c r="BO67" s="58"/>
      <c r="BP67" s="57"/>
      <c r="BQ67" s="19"/>
      <c r="BR67" s="19"/>
      <c r="BS67" s="57"/>
      <c r="BT67" s="19"/>
      <c r="BU67" s="19"/>
      <c r="BV67" s="57"/>
      <c r="BW67" s="19"/>
      <c r="BX67" s="59"/>
      <c r="BY67" s="27"/>
      <c r="BZ67" s="59"/>
      <c r="CA67" s="19"/>
      <c r="CB67" s="19"/>
      <c r="CC67" s="57"/>
      <c r="CD67" s="59"/>
      <c r="CE67" s="59"/>
      <c r="CF67" s="59"/>
      <c r="CG67" s="59"/>
      <c r="CH67" s="19"/>
      <c r="CI67" s="19"/>
      <c r="CJ67" s="57"/>
      <c r="CK67" s="60"/>
      <c r="CL67" s="19"/>
      <c r="CM67" s="57"/>
      <c r="CN67" s="19"/>
      <c r="CO67" s="59"/>
      <c r="CP67" s="27"/>
      <c r="CQ67" s="59"/>
      <c r="CR67" s="19"/>
      <c r="CS67" s="19"/>
      <c r="CT67" s="57"/>
      <c r="CU67" s="19"/>
      <c r="CV67" s="19"/>
      <c r="CW67" s="27"/>
      <c r="CX67" s="27"/>
      <c r="CY67" s="19"/>
      <c r="CZ67" s="19"/>
      <c r="DA67" s="57"/>
      <c r="DB67" s="19"/>
      <c r="DC67" s="19"/>
      <c r="DD67" s="27"/>
      <c r="DE67" s="27"/>
      <c r="DF67" s="19"/>
      <c r="DG67" s="19"/>
      <c r="DH67" s="57"/>
      <c r="DI67" s="19"/>
      <c r="DJ67" s="19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59"/>
      <c r="ED67" s="59"/>
      <c r="EE67" s="14"/>
      <c r="EF67" s="14"/>
      <c r="EG67" s="14"/>
      <c r="EH67" s="14"/>
      <c r="GN67" s="46"/>
    </row>
    <row r="68" spans="1:196" x14ac:dyDescent="0.25">
      <c r="A68" s="50"/>
      <c r="B68" s="50"/>
      <c r="C68" s="50"/>
      <c r="D68" s="19"/>
      <c r="E68" s="51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19"/>
      <c r="BI68" s="19"/>
      <c r="BJ68" s="57"/>
      <c r="BK68" s="27"/>
      <c r="BL68" s="27"/>
      <c r="BM68" s="57"/>
      <c r="BN68" s="58"/>
      <c r="BO68" s="58"/>
      <c r="BP68" s="57"/>
      <c r="BQ68" s="19"/>
      <c r="BR68" s="19"/>
      <c r="BS68" s="57"/>
      <c r="BT68" s="19"/>
      <c r="BU68" s="19"/>
      <c r="BV68" s="57"/>
      <c r="BW68" s="19"/>
      <c r="BX68" s="59"/>
      <c r="BY68" s="27"/>
      <c r="BZ68" s="59"/>
      <c r="CA68" s="19"/>
      <c r="CB68" s="19"/>
      <c r="CC68" s="57"/>
      <c r="CD68" s="59"/>
      <c r="CE68" s="59"/>
      <c r="CF68" s="59"/>
      <c r="CG68" s="59"/>
      <c r="CH68" s="19"/>
      <c r="CI68" s="19"/>
      <c r="CJ68" s="57"/>
      <c r="CK68" s="60"/>
      <c r="CL68" s="19"/>
      <c r="CM68" s="57"/>
      <c r="CN68" s="19"/>
      <c r="CO68" s="59"/>
      <c r="CP68" s="27"/>
      <c r="CQ68" s="59"/>
      <c r="CR68" s="19"/>
      <c r="CS68" s="19"/>
      <c r="CT68" s="57"/>
      <c r="CU68" s="19"/>
      <c r="CV68" s="19"/>
      <c r="CW68" s="27"/>
      <c r="CX68" s="27"/>
      <c r="CY68" s="19"/>
      <c r="CZ68" s="19"/>
      <c r="DA68" s="57"/>
      <c r="DB68" s="19"/>
      <c r="DC68" s="19"/>
      <c r="DD68" s="27"/>
      <c r="DE68" s="27"/>
      <c r="DF68" s="19"/>
      <c r="DG68" s="19"/>
      <c r="DH68" s="57"/>
      <c r="DI68" s="19"/>
      <c r="DJ68" s="19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59"/>
      <c r="ED68" s="59"/>
      <c r="EE68" s="14"/>
      <c r="EF68" s="14"/>
      <c r="EG68" s="14"/>
      <c r="EH68" s="14"/>
      <c r="GN68" s="46"/>
    </row>
    <row r="69" spans="1:196" x14ac:dyDescent="0.25">
      <c r="A69" s="50"/>
      <c r="B69" s="50"/>
      <c r="C69" s="50"/>
      <c r="D69" s="19"/>
      <c r="E69" s="51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19"/>
      <c r="BI69" s="19"/>
      <c r="BJ69" s="57"/>
      <c r="BK69" s="27"/>
      <c r="BL69" s="27"/>
      <c r="BM69" s="57"/>
      <c r="BN69" s="58"/>
      <c r="BO69" s="58"/>
      <c r="BP69" s="57"/>
      <c r="BQ69" s="19"/>
      <c r="BR69" s="19"/>
      <c r="BS69" s="57"/>
      <c r="BT69" s="19"/>
      <c r="BU69" s="19"/>
      <c r="BV69" s="57"/>
      <c r="BW69" s="19"/>
      <c r="BX69" s="59"/>
      <c r="BY69" s="27"/>
      <c r="BZ69" s="59"/>
      <c r="CA69" s="19"/>
      <c r="CB69" s="19"/>
      <c r="CC69" s="57"/>
      <c r="CD69" s="59"/>
      <c r="CE69" s="59"/>
      <c r="CF69" s="59"/>
      <c r="CG69" s="59"/>
      <c r="CH69" s="19"/>
      <c r="CI69" s="19"/>
      <c r="CJ69" s="57"/>
      <c r="CK69" s="60"/>
      <c r="CL69" s="19"/>
      <c r="CM69" s="57"/>
      <c r="CN69" s="19"/>
      <c r="CO69" s="59"/>
      <c r="CP69" s="27"/>
      <c r="CQ69" s="59"/>
      <c r="CR69" s="19"/>
      <c r="CS69" s="19"/>
      <c r="CT69" s="57"/>
      <c r="CU69" s="19"/>
      <c r="CV69" s="19"/>
      <c r="CW69" s="27"/>
      <c r="CX69" s="27"/>
      <c r="CY69" s="19"/>
      <c r="CZ69" s="19"/>
      <c r="DA69" s="57"/>
      <c r="DB69" s="19"/>
      <c r="DC69" s="19"/>
      <c r="DD69" s="27"/>
      <c r="DE69" s="27"/>
      <c r="DF69" s="19"/>
      <c r="DG69" s="19"/>
      <c r="DH69" s="57"/>
      <c r="DI69" s="19"/>
      <c r="DJ69" s="19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59"/>
      <c r="ED69" s="59"/>
      <c r="EE69" s="14"/>
      <c r="EF69" s="14"/>
      <c r="EG69" s="14"/>
      <c r="EH69" s="14"/>
      <c r="GN69" s="46"/>
    </row>
    <row r="70" spans="1:196" x14ac:dyDescent="0.25">
      <c r="A70" s="50"/>
      <c r="B70" s="50"/>
      <c r="C70" s="50"/>
      <c r="D70" s="19"/>
      <c r="E70" s="51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19"/>
      <c r="BI70" s="19"/>
      <c r="BJ70" s="57"/>
      <c r="BK70" s="27"/>
      <c r="BL70" s="27"/>
      <c r="BM70" s="57"/>
      <c r="BN70" s="58"/>
      <c r="BO70" s="58"/>
      <c r="BP70" s="57"/>
      <c r="BQ70" s="19"/>
      <c r="BR70" s="19"/>
      <c r="BS70" s="57"/>
      <c r="BT70" s="19"/>
      <c r="BU70" s="19"/>
      <c r="BV70" s="57"/>
      <c r="BW70" s="19"/>
      <c r="BX70" s="59"/>
      <c r="BY70" s="27"/>
      <c r="BZ70" s="59"/>
      <c r="CA70" s="19"/>
      <c r="CB70" s="19"/>
      <c r="CC70" s="57"/>
      <c r="CD70" s="59"/>
      <c r="CE70" s="59"/>
      <c r="CF70" s="59"/>
      <c r="CG70" s="59"/>
      <c r="CH70" s="19"/>
      <c r="CI70" s="19"/>
      <c r="CJ70" s="57"/>
      <c r="CK70" s="60"/>
      <c r="CL70" s="19"/>
      <c r="CM70" s="57"/>
      <c r="CN70" s="19"/>
      <c r="CO70" s="59"/>
      <c r="CP70" s="27"/>
      <c r="CQ70" s="59"/>
      <c r="CR70" s="19"/>
      <c r="CS70" s="19"/>
      <c r="CT70" s="57"/>
      <c r="CU70" s="19"/>
      <c r="CV70" s="19"/>
      <c r="CW70" s="27"/>
      <c r="CX70" s="27"/>
      <c r="CY70" s="19"/>
      <c r="CZ70" s="19"/>
      <c r="DA70" s="57"/>
      <c r="DB70" s="19"/>
      <c r="DC70" s="19"/>
      <c r="DD70" s="27"/>
      <c r="DE70" s="27"/>
      <c r="DF70" s="19"/>
      <c r="DG70" s="19"/>
      <c r="DH70" s="57"/>
      <c r="DI70" s="19"/>
      <c r="DJ70" s="19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59"/>
      <c r="ED70" s="59"/>
      <c r="EE70" s="14"/>
      <c r="EF70" s="14"/>
      <c r="EG70" s="14"/>
      <c r="EH70" s="14"/>
      <c r="GN70" s="46"/>
    </row>
    <row r="71" spans="1:196" x14ac:dyDescent="0.25">
      <c r="A71" s="50"/>
      <c r="B71" s="50"/>
      <c r="C71" s="50"/>
      <c r="D71" s="19"/>
      <c r="E71" s="51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19"/>
      <c r="BI71" s="19"/>
      <c r="BJ71" s="57"/>
      <c r="BK71" s="27"/>
      <c r="BL71" s="27"/>
      <c r="BM71" s="57"/>
      <c r="BN71" s="58"/>
      <c r="BO71" s="58"/>
      <c r="BP71" s="57"/>
      <c r="BQ71" s="19"/>
      <c r="BR71" s="19"/>
      <c r="BS71" s="57"/>
      <c r="BT71" s="19"/>
      <c r="BU71" s="19"/>
      <c r="BV71" s="57"/>
      <c r="BW71" s="19"/>
      <c r="BX71" s="59"/>
      <c r="BY71" s="27"/>
      <c r="BZ71" s="59"/>
      <c r="CA71" s="19"/>
      <c r="CB71" s="19"/>
      <c r="CC71" s="57"/>
      <c r="CD71" s="59"/>
      <c r="CE71" s="59"/>
      <c r="CF71" s="59"/>
      <c r="CG71" s="59"/>
      <c r="CH71" s="19"/>
      <c r="CI71" s="19"/>
      <c r="CJ71" s="57"/>
      <c r="CK71" s="60"/>
      <c r="CL71" s="19"/>
      <c r="CM71" s="57"/>
      <c r="CN71" s="19"/>
      <c r="CO71" s="59"/>
      <c r="CP71" s="27"/>
      <c r="CQ71" s="59"/>
      <c r="CR71" s="19"/>
      <c r="CS71" s="19"/>
      <c r="CT71" s="57"/>
      <c r="CU71" s="19"/>
      <c r="CV71" s="19"/>
      <c r="CW71" s="27"/>
      <c r="CX71" s="27"/>
      <c r="CY71" s="19"/>
      <c r="CZ71" s="19"/>
      <c r="DA71" s="57"/>
      <c r="DB71" s="19"/>
      <c r="DC71" s="19"/>
      <c r="DD71" s="27"/>
      <c r="DE71" s="27"/>
      <c r="DF71" s="19"/>
      <c r="DG71" s="19"/>
      <c r="DH71" s="57"/>
      <c r="DI71" s="19"/>
      <c r="DJ71" s="19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59"/>
      <c r="ED71" s="59"/>
      <c r="EE71" s="14"/>
      <c r="EF71" s="14"/>
      <c r="EG71" s="14"/>
      <c r="EH71" s="14"/>
      <c r="GN71" s="46"/>
    </row>
    <row r="72" spans="1:196" x14ac:dyDescent="0.25">
      <c r="A72" s="50"/>
      <c r="B72" s="50"/>
      <c r="C72" s="50"/>
      <c r="D72" s="19"/>
      <c r="E72" s="51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19"/>
      <c r="BI72" s="19"/>
      <c r="BJ72" s="57"/>
      <c r="BK72" s="27"/>
      <c r="BL72" s="27"/>
      <c r="BM72" s="57"/>
      <c r="BN72" s="58"/>
      <c r="BO72" s="58"/>
      <c r="BP72" s="57"/>
      <c r="BQ72" s="19"/>
      <c r="BR72" s="19"/>
      <c r="BS72" s="57"/>
      <c r="BT72" s="19"/>
      <c r="BU72" s="19"/>
      <c r="BV72" s="57"/>
      <c r="BW72" s="19"/>
      <c r="BX72" s="59"/>
      <c r="BY72" s="27"/>
      <c r="BZ72" s="59"/>
      <c r="CA72" s="19"/>
      <c r="CB72" s="19"/>
      <c r="CC72" s="57"/>
      <c r="CD72" s="59"/>
      <c r="CE72" s="59"/>
      <c r="CF72" s="59"/>
      <c r="CG72" s="59"/>
      <c r="CH72" s="19"/>
      <c r="CI72" s="19"/>
      <c r="CJ72" s="57"/>
      <c r="CK72" s="60"/>
      <c r="CL72" s="19"/>
      <c r="CM72" s="57"/>
      <c r="CN72" s="19"/>
      <c r="CO72" s="59"/>
      <c r="CP72" s="27"/>
      <c r="CQ72" s="59"/>
      <c r="CR72" s="19"/>
      <c r="CS72" s="19"/>
      <c r="CT72" s="57"/>
      <c r="CU72" s="19"/>
      <c r="CV72" s="19"/>
      <c r="CW72" s="27"/>
      <c r="CX72" s="27"/>
      <c r="CY72" s="19"/>
      <c r="CZ72" s="19"/>
      <c r="DA72" s="57"/>
      <c r="DB72" s="19"/>
      <c r="DC72" s="19"/>
      <c r="DD72" s="27"/>
      <c r="DE72" s="27"/>
      <c r="DF72" s="19"/>
      <c r="DG72" s="19"/>
      <c r="DH72" s="57"/>
      <c r="DI72" s="19"/>
      <c r="DJ72" s="19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59"/>
      <c r="ED72" s="59"/>
      <c r="EE72" s="14"/>
      <c r="EF72" s="14"/>
      <c r="EG72" s="14"/>
      <c r="EH72" s="14"/>
      <c r="GN72" s="46"/>
    </row>
    <row r="73" spans="1:196" x14ac:dyDescent="0.25">
      <c r="A73" s="50"/>
      <c r="B73" s="50"/>
      <c r="C73" s="50"/>
      <c r="D73" s="19"/>
      <c r="E73" s="51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19"/>
      <c r="BI73" s="19"/>
      <c r="BJ73" s="57"/>
      <c r="BK73" s="27"/>
      <c r="BL73" s="27"/>
      <c r="BM73" s="57"/>
      <c r="BN73" s="58"/>
      <c r="BO73" s="58"/>
      <c r="BP73" s="57"/>
      <c r="BQ73" s="19"/>
      <c r="BR73" s="19"/>
      <c r="BS73" s="57"/>
      <c r="BT73" s="19"/>
      <c r="BU73" s="19"/>
      <c r="BV73" s="57"/>
      <c r="BW73" s="19"/>
      <c r="BX73" s="59"/>
      <c r="BY73" s="27"/>
      <c r="BZ73" s="59"/>
      <c r="CA73" s="19"/>
      <c r="CB73" s="19"/>
      <c r="CC73" s="57"/>
      <c r="CD73" s="59"/>
      <c r="CE73" s="59"/>
      <c r="CF73" s="59"/>
      <c r="CG73" s="59"/>
      <c r="CH73" s="19"/>
      <c r="CI73" s="19"/>
      <c r="CJ73" s="57"/>
      <c r="CK73" s="60"/>
      <c r="CL73" s="19"/>
      <c r="CM73" s="57"/>
      <c r="CN73" s="19"/>
      <c r="CO73" s="59"/>
      <c r="CP73" s="27"/>
      <c r="CQ73" s="59"/>
      <c r="CR73" s="19"/>
      <c r="CS73" s="19"/>
      <c r="CT73" s="57"/>
      <c r="CU73" s="19"/>
      <c r="CV73" s="19"/>
      <c r="CW73" s="27"/>
      <c r="CX73" s="27"/>
      <c r="CY73" s="19"/>
      <c r="CZ73" s="19"/>
      <c r="DA73" s="57"/>
      <c r="DB73" s="19"/>
      <c r="DC73" s="19"/>
      <c r="DD73" s="27"/>
      <c r="DE73" s="27"/>
      <c r="DF73" s="19"/>
      <c r="DG73" s="19"/>
      <c r="DH73" s="57"/>
      <c r="DI73" s="19"/>
      <c r="DJ73" s="19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59"/>
      <c r="ED73" s="59"/>
      <c r="EE73" s="14"/>
      <c r="EF73" s="14"/>
      <c r="EG73" s="14"/>
      <c r="EH73" s="14"/>
      <c r="GN73" s="46"/>
    </row>
    <row r="74" spans="1:196" x14ac:dyDescent="0.25">
      <c r="A74" s="50"/>
      <c r="B74" s="50"/>
      <c r="C74" s="50"/>
      <c r="D74" s="19"/>
      <c r="E74" s="51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19"/>
      <c r="BI74" s="19"/>
      <c r="BJ74" s="57"/>
      <c r="BK74" s="27"/>
      <c r="BL74" s="27"/>
      <c r="BM74" s="57"/>
      <c r="BN74" s="58"/>
      <c r="BO74" s="58"/>
      <c r="BP74" s="57"/>
      <c r="BQ74" s="19"/>
      <c r="BR74" s="19"/>
      <c r="BS74" s="57"/>
      <c r="BT74" s="19"/>
      <c r="BU74" s="19"/>
      <c r="BV74" s="57"/>
      <c r="BW74" s="19"/>
      <c r="BX74" s="59"/>
      <c r="BY74" s="27"/>
      <c r="BZ74" s="59"/>
      <c r="CA74" s="19"/>
      <c r="CB74" s="19"/>
      <c r="CC74" s="57"/>
      <c r="CD74" s="59"/>
      <c r="CE74" s="59"/>
      <c r="CF74" s="59"/>
      <c r="CG74" s="59"/>
      <c r="CH74" s="19"/>
      <c r="CI74" s="19"/>
      <c r="CJ74" s="57"/>
      <c r="CK74" s="60"/>
      <c r="CL74" s="19"/>
      <c r="CM74" s="57"/>
      <c r="CN74" s="19"/>
      <c r="CO74" s="59"/>
      <c r="CP74" s="27"/>
      <c r="CQ74" s="59"/>
      <c r="CR74" s="19"/>
      <c r="CS74" s="19"/>
      <c r="CT74" s="57"/>
      <c r="CU74" s="19"/>
      <c r="CV74" s="19"/>
      <c r="CW74" s="27"/>
      <c r="CX74" s="27"/>
      <c r="CY74" s="19"/>
      <c r="CZ74" s="19"/>
      <c r="DA74" s="57"/>
      <c r="DB74" s="19"/>
      <c r="DC74" s="19"/>
      <c r="DD74" s="27"/>
      <c r="DE74" s="27"/>
      <c r="DF74" s="19"/>
      <c r="DG74" s="19"/>
      <c r="DH74" s="57"/>
      <c r="DI74" s="19"/>
      <c r="DJ74" s="19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59"/>
      <c r="ED74" s="59"/>
      <c r="EE74" s="14"/>
      <c r="EF74" s="14"/>
      <c r="EG74" s="14"/>
      <c r="EH74" s="14"/>
      <c r="GN74" s="46"/>
    </row>
    <row r="75" spans="1:196" x14ac:dyDescent="0.25">
      <c r="A75" s="50"/>
      <c r="B75" s="50"/>
      <c r="C75" s="50"/>
      <c r="D75" s="19"/>
      <c r="E75" s="51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19"/>
      <c r="BI75" s="19"/>
      <c r="BJ75" s="57"/>
      <c r="BK75" s="27"/>
      <c r="BL75" s="27"/>
      <c r="BM75" s="57"/>
      <c r="BN75" s="58"/>
      <c r="BO75" s="58"/>
      <c r="BP75" s="57"/>
      <c r="BQ75" s="19"/>
      <c r="BR75" s="19"/>
      <c r="BS75" s="57"/>
      <c r="BT75" s="19"/>
      <c r="BU75" s="19"/>
      <c r="BV75" s="57"/>
      <c r="BW75" s="19"/>
      <c r="BX75" s="59"/>
      <c r="BY75" s="27"/>
      <c r="BZ75" s="59"/>
      <c r="CA75" s="19"/>
      <c r="CB75" s="19"/>
      <c r="CC75" s="57"/>
      <c r="CD75" s="59"/>
      <c r="CE75" s="59"/>
      <c r="CF75" s="59"/>
      <c r="CG75" s="59"/>
      <c r="CH75" s="19"/>
      <c r="CI75" s="19"/>
      <c r="CJ75" s="57"/>
      <c r="CK75" s="60"/>
      <c r="CL75" s="19"/>
      <c r="CM75" s="57"/>
      <c r="CN75" s="19"/>
      <c r="CO75" s="59"/>
      <c r="CP75" s="27"/>
      <c r="CQ75" s="59"/>
      <c r="CR75" s="19"/>
      <c r="CS75" s="19"/>
      <c r="CT75" s="57"/>
      <c r="CU75" s="19"/>
      <c r="CV75" s="19"/>
      <c r="CW75" s="27"/>
      <c r="CX75" s="27"/>
      <c r="CY75" s="19"/>
      <c r="CZ75" s="19"/>
      <c r="DA75" s="57"/>
      <c r="DB75" s="19"/>
      <c r="DC75" s="19"/>
      <c r="DD75" s="27"/>
      <c r="DE75" s="27"/>
      <c r="DF75" s="19"/>
      <c r="DG75" s="19"/>
      <c r="DH75" s="57"/>
      <c r="DI75" s="19"/>
      <c r="DJ75" s="19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59"/>
      <c r="ED75" s="59"/>
      <c r="EE75" s="14"/>
      <c r="EF75" s="14"/>
      <c r="EG75" s="14"/>
      <c r="EH75" s="14"/>
      <c r="GN75" s="46"/>
    </row>
    <row r="76" spans="1:196" x14ac:dyDescent="0.25">
      <c r="A76" s="50"/>
      <c r="B76" s="50"/>
      <c r="C76" s="50"/>
      <c r="D76" s="19"/>
      <c r="E76" s="51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19"/>
      <c r="BI76" s="19"/>
      <c r="BJ76" s="57"/>
      <c r="BK76" s="27"/>
      <c r="BL76" s="27"/>
      <c r="BM76" s="57"/>
      <c r="BN76" s="58"/>
      <c r="BO76" s="58"/>
      <c r="BP76" s="57"/>
      <c r="BQ76" s="19"/>
      <c r="BR76" s="19"/>
      <c r="BS76" s="57"/>
      <c r="BT76" s="19"/>
      <c r="BU76" s="19"/>
      <c r="BV76" s="57"/>
      <c r="BW76" s="19"/>
      <c r="BX76" s="59"/>
      <c r="BY76" s="27"/>
      <c r="BZ76" s="59"/>
      <c r="CA76" s="19"/>
      <c r="CB76" s="19"/>
      <c r="CC76" s="57"/>
      <c r="CD76" s="59"/>
      <c r="CE76" s="59"/>
      <c r="CF76" s="59"/>
      <c r="CG76" s="59"/>
      <c r="CH76" s="19"/>
      <c r="CI76" s="19"/>
      <c r="CJ76" s="57"/>
      <c r="CK76" s="60"/>
      <c r="CL76" s="19"/>
      <c r="CM76" s="57"/>
      <c r="CN76" s="19"/>
      <c r="CO76" s="59"/>
      <c r="CP76" s="27"/>
      <c r="CQ76" s="59"/>
      <c r="CR76" s="19"/>
      <c r="CS76" s="19"/>
      <c r="CT76" s="57"/>
      <c r="CU76" s="19"/>
      <c r="CV76" s="19"/>
      <c r="CW76" s="27"/>
      <c r="CX76" s="27"/>
      <c r="CY76" s="19"/>
      <c r="CZ76" s="19"/>
      <c r="DA76" s="57"/>
      <c r="DB76" s="19"/>
      <c r="DC76" s="19"/>
      <c r="DD76" s="27"/>
      <c r="DE76" s="27"/>
      <c r="DF76" s="19"/>
      <c r="DG76" s="19"/>
      <c r="DH76" s="57"/>
      <c r="DI76" s="19"/>
      <c r="DJ76" s="19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59"/>
      <c r="ED76" s="59"/>
      <c r="EE76" s="14"/>
      <c r="EF76" s="14"/>
      <c r="EG76" s="14"/>
      <c r="EH76" s="14"/>
      <c r="GN76" s="46"/>
    </row>
    <row r="77" spans="1:196" x14ac:dyDescent="0.25">
      <c r="A77" s="50"/>
      <c r="B77" s="50"/>
      <c r="C77" s="50"/>
      <c r="D77" s="19"/>
      <c r="E77" s="51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19"/>
      <c r="BI77" s="19"/>
      <c r="BJ77" s="57"/>
      <c r="BK77" s="27"/>
      <c r="BL77" s="27"/>
      <c r="BM77" s="57"/>
      <c r="BN77" s="58"/>
      <c r="BO77" s="58"/>
      <c r="BP77" s="57"/>
      <c r="BQ77" s="19"/>
      <c r="BR77" s="19"/>
      <c r="BS77" s="57"/>
      <c r="BT77" s="19"/>
      <c r="BU77" s="19"/>
      <c r="BV77" s="57"/>
      <c r="BW77" s="19"/>
      <c r="BX77" s="59"/>
      <c r="BY77" s="27"/>
      <c r="BZ77" s="59"/>
      <c r="CA77" s="19"/>
      <c r="CB77" s="19"/>
      <c r="CC77" s="57"/>
      <c r="CD77" s="59"/>
      <c r="CE77" s="59"/>
      <c r="CF77" s="59"/>
      <c r="CG77" s="59"/>
      <c r="CH77" s="19"/>
      <c r="CI77" s="19"/>
      <c r="CJ77" s="57"/>
      <c r="CK77" s="60"/>
      <c r="CL77" s="19"/>
      <c r="CM77" s="57"/>
      <c r="CN77" s="19"/>
      <c r="CO77" s="59"/>
      <c r="CP77" s="27"/>
      <c r="CQ77" s="59"/>
      <c r="CR77" s="19"/>
      <c r="CS77" s="19"/>
      <c r="CT77" s="57"/>
      <c r="CU77" s="19"/>
      <c r="CV77" s="19"/>
      <c r="CW77" s="27"/>
      <c r="CX77" s="27"/>
      <c r="CY77" s="19"/>
      <c r="CZ77" s="19"/>
      <c r="DA77" s="57"/>
      <c r="DB77" s="19"/>
      <c r="DC77" s="19"/>
      <c r="DD77" s="27"/>
      <c r="DE77" s="27"/>
      <c r="DF77" s="19"/>
      <c r="DG77" s="19"/>
      <c r="DH77" s="57"/>
      <c r="DI77" s="19"/>
      <c r="DJ77" s="19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59"/>
      <c r="ED77" s="59"/>
      <c r="EE77" s="14"/>
      <c r="EF77" s="14"/>
      <c r="EG77" s="14"/>
      <c r="EH77" s="14"/>
      <c r="GN77" s="46"/>
    </row>
    <row r="78" spans="1:196" x14ac:dyDescent="0.25">
      <c r="A78" s="50"/>
      <c r="B78" s="50"/>
      <c r="C78" s="50"/>
      <c r="D78" s="19"/>
      <c r="E78" s="51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19"/>
      <c r="BI78" s="19"/>
      <c r="BJ78" s="57"/>
      <c r="BK78" s="27"/>
      <c r="BL78" s="27"/>
      <c r="BM78" s="57"/>
      <c r="BN78" s="58"/>
      <c r="BO78" s="58"/>
      <c r="BP78" s="57"/>
      <c r="BQ78" s="19"/>
      <c r="BR78" s="19"/>
      <c r="BS78" s="57"/>
      <c r="BT78" s="19"/>
      <c r="BU78" s="19"/>
      <c r="BV78" s="57"/>
      <c r="BW78" s="19"/>
      <c r="BX78" s="59"/>
      <c r="BY78" s="27"/>
      <c r="BZ78" s="59"/>
      <c r="CA78" s="19"/>
      <c r="CB78" s="19"/>
      <c r="CC78" s="57"/>
      <c r="CD78" s="59"/>
      <c r="CE78" s="59"/>
      <c r="CF78" s="59"/>
      <c r="CG78" s="59"/>
      <c r="CH78" s="19"/>
      <c r="CI78" s="19"/>
      <c r="CJ78" s="57"/>
      <c r="CK78" s="60"/>
      <c r="CL78" s="19"/>
      <c r="CM78" s="57"/>
      <c r="CN78" s="19"/>
      <c r="CO78" s="59"/>
      <c r="CP78" s="27"/>
      <c r="CQ78" s="59"/>
      <c r="CR78" s="19"/>
      <c r="CS78" s="19"/>
      <c r="CT78" s="57"/>
      <c r="CU78" s="19"/>
      <c r="CV78" s="19"/>
      <c r="CW78" s="27"/>
      <c r="CX78" s="27"/>
      <c r="CY78" s="19"/>
      <c r="CZ78" s="19"/>
      <c r="DA78" s="57"/>
      <c r="DB78" s="19"/>
      <c r="DC78" s="19"/>
      <c r="DD78" s="27"/>
      <c r="DE78" s="27"/>
      <c r="DF78" s="19"/>
      <c r="DG78" s="19"/>
      <c r="DH78" s="57"/>
      <c r="DI78" s="19"/>
      <c r="DJ78" s="19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59"/>
      <c r="ED78" s="59"/>
      <c r="EE78" s="14"/>
      <c r="EF78" s="14"/>
      <c r="EG78" s="14"/>
      <c r="EH78" s="14"/>
      <c r="GN78" s="46"/>
    </row>
    <row r="79" spans="1:196" x14ac:dyDescent="0.25">
      <c r="A79" s="50"/>
      <c r="B79" s="50"/>
      <c r="C79" s="50"/>
      <c r="D79" s="19"/>
      <c r="E79" s="51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19"/>
      <c r="BI79" s="19"/>
      <c r="BJ79" s="57"/>
      <c r="BK79" s="27"/>
      <c r="BL79" s="27"/>
      <c r="BM79" s="57"/>
      <c r="BN79" s="58"/>
      <c r="BO79" s="58"/>
      <c r="BP79" s="57"/>
      <c r="BQ79" s="19"/>
      <c r="BR79" s="19"/>
      <c r="BS79" s="57"/>
      <c r="BT79" s="19"/>
      <c r="BU79" s="19"/>
      <c r="BV79" s="57"/>
      <c r="BW79" s="19"/>
      <c r="BX79" s="59"/>
      <c r="BY79" s="27"/>
      <c r="BZ79" s="59"/>
      <c r="CA79" s="19"/>
      <c r="CB79" s="19"/>
      <c r="CC79" s="57"/>
      <c r="CD79" s="59"/>
      <c r="CE79" s="59"/>
      <c r="CF79" s="59"/>
      <c r="CG79" s="59"/>
      <c r="CH79" s="19"/>
      <c r="CI79" s="19"/>
      <c r="CJ79" s="57"/>
      <c r="CK79" s="60"/>
      <c r="CL79" s="19"/>
      <c r="CM79" s="57"/>
      <c r="CN79" s="19"/>
      <c r="CO79" s="59"/>
      <c r="CP79" s="27"/>
      <c r="CQ79" s="59"/>
      <c r="CR79" s="19"/>
      <c r="CS79" s="19"/>
      <c r="CT79" s="57"/>
      <c r="CU79" s="19"/>
      <c r="CV79" s="19"/>
      <c r="CW79" s="27"/>
      <c r="CX79" s="27"/>
      <c r="CY79" s="19"/>
      <c r="CZ79" s="19"/>
      <c r="DA79" s="57"/>
      <c r="DB79" s="19"/>
      <c r="DC79" s="19"/>
      <c r="DD79" s="27"/>
      <c r="DE79" s="27"/>
      <c r="DF79" s="19"/>
      <c r="DG79" s="19"/>
      <c r="DH79" s="57"/>
      <c r="DI79" s="19"/>
      <c r="DJ79" s="19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59"/>
      <c r="ED79" s="59"/>
      <c r="EE79" s="14"/>
      <c r="EF79" s="14"/>
      <c r="EG79" s="14"/>
      <c r="EH79" s="14"/>
      <c r="GN79" s="46"/>
    </row>
    <row r="80" spans="1:196" x14ac:dyDescent="0.25">
      <c r="A80" s="50"/>
      <c r="B80" s="50"/>
      <c r="C80" s="50"/>
      <c r="D80" s="19"/>
      <c r="E80" s="51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19"/>
      <c r="BI80" s="19"/>
      <c r="BJ80" s="57"/>
      <c r="BK80" s="27"/>
      <c r="BL80" s="27"/>
      <c r="BM80" s="57"/>
      <c r="BN80" s="58"/>
      <c r="BO80" s="58"/>
      <c r="BP80" s="57"/>
      <c r="BQ80" s="19"/>
      <c r="BR80" s="19"/>
      <c r="BS80" s="57"/>
      <c r="BT80" s="19"/>
      <c r="BU80" s="19"/>
      <c r="BV80" s="57"/>
      <c r="BW80" s="19"/>
      <c r="BX80" s="59"/>
      <c r="BY80" s="27"/>
      <c r="BZ80" s="59"/>
      <c r="CA80" s="19"/>
      <c r="CB80" s="19"/>
      <c r="CC80" s="57"/>
      <c r="CD80" s="59"/>
      <c r="CE80" s="59"/>
      <c r="CF80" s="59"/>
      <c r="CG80" s="59"/>
      <c r="CH80" s="19"/>
      <c r="CI80" s="19"/>
      <c r="CJ80" s="57"/>
      <c r="CK80" s="60"/>
      <c r="CL80" s="19"/>
      <c r="CM80" s="57"/>
      <c r="CN80" s="19"/>
      <c r="CO80" s="59"/>
      <c r="CP80" s="27"/>
      <c r="CQ80" s="59"/>
      <c r="CR80" s="19"/>
      <c r="CS80" s="19"/>
      <c r="CT80" s="57"/>
      <c r="CU80" s="19"/>
      <c r="CV80" s="19"/>
      <c r="CW80" s="27"/>
      <c r="CX80" s="27"/>
      <c r="CY80" s="19"/>
      <c r="CZ80" s="19"/>
      <c r="DA80" s="57"/>
      <c r="DB80" s="19"/>
      <c r="DC80" s="19"/>
      <c r="DD80" s="27"/>
      <c r="DE80" s="27"/>
      <c r="DF80" s="19"/>
      <c r="DG80" s="19"/>
      <c r="DH80" s="57"/>
      <c r="DI80" s="19"/>
      <c r="DJ80" s="19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59"/>
      <c r="ED80" s="59"/>
      <c r="EE80" s="14"/>
      <c r="EF80" s="14"/>
      <c r="EG80" s="14"/>
      <c r="EH80" s="14"/>
      <c r="GN80" s="46"/>
    </row>
    <row r="81" spans="1:196" x14ac:dyDescent="0.25">
      <c r="A81" s="50"/>
      <c r="B81" s="50"/>
      <c r="C81" s="50"/>
      <c r="D81" s="19"/>
      <c r="E81" s="51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19"/>
      <c r="BI81" s="19"/>
      <c r="BJ81" s="57"/>
      <c r="BK81" s="27"/>
      <c r="BL81" s="27"/>
      <c r="BM81" s="57"/>
      <c r="BN81" s="58"/>
      <c r="BO81" s="58"/>
      <c r="BP81" s="57"/>
      <c r="BQ81" s="19"/>
      <c r="BR81" s="19"/>
      <c r="BS81" s="57"/>
      <c r="BT81" s="19"/>
      <c r="BU81" s="19"/>
      <c r="BV81" s="57"/>
      <c r="BW81" s="19"/>
      <c r="BX81" s="59"/>
      <c r="BY81" s="27"/>
      <c r="BZ81" s="59"/>
      <c r="CA81" s="19"/>
      <c r="CB81" s="19"/>
      <c r="CC81" s="57"/>
      <c r="CD81" s="59"/>
      <c r="CE81" s="59"/>
      <c r="CF81" s="59"/>
      <c r="CG81" s="59"/>
      <c r="CH81" s="19"/>
      <c r="CI81" s="19"/>
      <c r="CJ81" s="57"/>
      <c r="CK81" s="60"/>
      <c r="CL81" s="19"/>
      <c r="CM81" s="57"/>
      <c r="CN81" s="19"/>
      <c r="CO81" s="59"/>
      <c r="CP81" s="27"/>
      <c r="CQ81" s="59"/>
      <c r="CR81" s="19"/>
      <c r="CS81" s="19"/>
      <c r="CT81" s="57"/>
      <c r="CU81" s="19"/>
      <c r="CV81" s="19"/>
      <c r="CW81" s="27"/>
      <c r="CX81" s="27"/>
      <c r="CY81" s="19"/>
      <c r="CZ81" s="19"/>
      <c r="DA81" s="57"/>
      <c r="DB81" s="19"/>
      <c r="DC81" s="19"/>
      <c r="DD81" s="27"/>
      <c r="DE81" s="27"/>
      <c r="DF81" s="19"/>
      <c r="DG81" s="19"/>
      <c r="DH81" s="57"/>
      <c r="DI81" s="19"/>
      <c r="DJ81" s="19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59"/>
      <c r="ED81" s="59"/>
      <c r="EE81" s="14"/>
      <c r="EF81" s="14"/>
      <c r="EG81" s="14"/>
      <c r="EH81" s="14"/>
      <c r="GN81" s="46"/>
    </row>
    <row r="82" spans="1:196" x14ac:dyDescent="0.25">
      <c r="A82" s="50"/>
      <c r="B82" s="50"/>
      <c r="C82" s="50"/>
      <c r="D82" s="19"/>
      <c r="E82" s="51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19"/>
      <c r="BI82" s="19"/>
      <c r="BJ82" s="57"/>
      <c r="BK82" s="27"/>
      <c r="BL82" s="27"/>
      <c r="BM82" s="57"/>
      <c r="BN82" s="58"/>
      <c r="BO82" s="58"/>
      <c r="BP82" s="57"/>
      <c r="BQ82" s="19"/>
      <c r="BR82" s="19"/>
      <c r="BS82" s="57"/>
      <c r="BT82" s="19"/>
      <c r="BU82" s="19"/>
      <c r="BV82" s="57"/>
      <c r="BW82" s="19"/>
      <c r="BX82" s="59"/>
      <c r="BY82" s="27"/>
      <c r="BZ82" s="59"/>
      <c r="CA82" s="19"/>
      <c r="CB82" s="19"/>
      <c r="CC82" s="57"/>
      <c r="CD82" s="59"/>
      <c r="CE82" s="59"/>
      <c r="CF82" s="59"/>
      <c r="CG82" s="59"/>
      <c r="CH82" s="19"/>
      <c r="CI82" s="19"/>
      <c r="CJ82" s="57"/>
      <c r="CK82" s="60"/>
      <c r="CL82" s="19"/>
      <c r="CM82" s="57"/>
      <c r="CN82" s="19"/>
      <c r="CO82" s="59"/>
      <c r="CP82" s="27"/>
      <c r="CQ82" s="59"/>
      <c r="CR82" s="19"/>
      <c r="CS82" s="19"/>
      <c r="CT82" s="57"/>
      <c r="CU82" s="19"/>
      <c r="CV82" s="19"/>
      <c r="CW82" s="27"/>
      <c r="CX82" s="27"/>
      <c r="CY82" s="19"/>
      <c r="CZ82" s="19"/>
      <c r="DA82" s="57"/>
      <c r="DB82" s="19"/>
      <c r="DC82" s="19"/>
      <c r="DD82" s="27"/>
      <c r="DE82" s="27"/>
      <c r="DF82" s="19"/>
      <c r="DG82" s="19"/>
      <c r="DH82" s="57"/>
      <c r="DI82" s="19"/>
      <c r="DJ82" s="19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59"/>
      <c r="ED82" s="59"/>
      <c r="EE82" s="14"/>
      <c r="EF82" s="14"/>
      <c r="EG82" s="14"/>
      <c r="EH82" s="14"/>
      <c r="GN82" s="46"/>
    </row>
    <row r="83" spans="1:196" x14ac:dyDescent="0.25">
      <c r="A83" s="50"/>
      <c r="B83" s="50"/>
      <c r="C83" s="50"/>
      <c r="D83" s="19"/>
      <c r="E83" s="51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19"/>
      <c r="BI83" s="19"/>
      <c r="BJ83" s="57"/>
      <c r="BK83" s="27"/>
      <c r="BL83" s="27"/>
      <c r="BM83" s="57"/>
      <c r="BN83" s="58"/>
      <c r="BO83" s="58"/>
      <c r="BP83" s="57"/>
      <c r="BQ83" s="19"/>
      <c r="BR83" s="19"/>
      <c r="BS83" s="57"/>
      <c r="BT83" s="19"/>
      <c r="BU83" s="19"/>
      <c r="BV83" s="57"/>
      <c r="BW83" s="19"/>
      <c r="BX83" s="59"/>
      <c r="BY83" s="27"/>
      <c r="BZ83" s="59"/>
      <c r="CA83" s="19"/>
      <c r="CB83" s="19"/>
      <c r="CC83" s="57"/>
      <c r="CD83" s="59"/>
      <c r="CE83" s="59"/>
      <c r="CF83" s="59"/>
      <c r="CG83" s="59"/>
      <c r="CH83" s="19"/>
      <c r="CI83" s="19"/>
      <c r="CJ83" s="57"/>
      <c r="CK83" s="60"/>
      <c r="CL83" s="19"/>
      <c r="CM83" s="57"/>
      <c r="CN83" s="19"/>
      <c r="CO83" s="59"/>
      <c r="CP83" s="27"/>
      <c r="CQ83" s="59"/>
      <c r="CR83" s="19"/>
      <c r="CS83" s="19"/>
      <c r="CT83" s="57"/>
      <c r="CU83" s="19"/>
      <c r="CV83" s="19"/>
      <c r="CW83" s="27"/>
      <c r="CX83" s="27"/>
      <c r="CY83" s="19"/>
      <c r="CZ83" s="19"/>
      <c r="DA83" s="57"/>
      <c r="DB83" s="19"/>
      <c r="DC83" s="19"/>
      <c r="DD83" s="27"/>
      <c r="DE83" s="27"/>
      <c r="DF83" s="19"/>
      <c r="DG83" s="19"/>
      <c r="DH83" s="57"/>
      <c r="DI83" s="19"/>
      <c r="DJ83" s="19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59"/>
      <c r="ED83" s="59"/>
      <c r="EE83" s="14"/>
      <c r="EF83" s="14"/>
      <c r="EG83" s="14"/>
      <c r="EH83" s="14"/>
      <c r="GN83" s="46"/>
    </row>
    <row r="84" spans="1:196" x14ac:dyDescent="0.25">
      <c r="A84" s="50"/>
      <c r="B84" s="50"/>
      <c r="C84" s="50"/>
      <c r="D84" s="19"/>
      <c r="E84" s="51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19"/>
      <c r="BI84" s="19"/>
      <c r="BJ84" s="57"/>
      <c r="BK84" s="27"/>
      <c r="BL84" s="27"/>
      <c r="BM84" s="57"/>
      <c r="BN84" s="58"/>
      <c r="BO84" s="58"/>
      <c r="BP84" s="57"/>
      <c r="BQ84" s="19"/>
      <c r="BR84" s="19"/>
      <c r="BS84" s="57"/>
      <c r="BT84" s="19"/>
      <c r="BU84" s="19"/>
      <c r="BV84" s="57"/>
      <c r="BW84" s="19"/>
      <c r="BX84" s="59"/>
      <c r="BY84" s="27"/>
      <c r="BZ84" s="59"/>
      <c r="CA84" s="19"/>
      <c r="CB84" s="19"/>
      <c r="CC84" s="57"/>
      <c r="CD84" s="59"/>
      <c r="CE84" s="59"/>
      <c r="CF84" s="59"/>
      <c r="CG84" s="59"/>
      <c r="CH84" s="19"/>
      <c r="CI84" s="19"/>
      <c r="CJ84" s="57"/>
      <c r="CK84" s="60"/>
      <c r="CL84" s="19"/>
      <c r="CM84" s="57"/>
      <c r="CN84" s="19"/>
      <c r="CO84" s="59"/>
      <c r="CP84" s="27"/>
      <c r="CQ84" s="59"/>
      <c r="CR84" s="19"/>
      <c r="CS84" s="19"/>
      <c r="CT84" s="57"/>
      <c r="CU84" s="19"/>
      <c r="CV84" s="19"/>
      <c r="CW84" s="27"/>
      <c r="CX84" s="27"/>
      <c r="CY84" s="19"/>
      <c r="CZ84" s="19"/>
      <c r="DA84" s="57"/>
      <c r="DB84" s="19"/>
      <c r="DC84" s="19"/>
      <c r="DD84" s="27"/>
      <c r="DE84" s="27"/>
      <c r="DF84" s="19"/>
      <c r="DG84" s="19"/>
      <c r="DH84" s="57"/>
      <c r="DI84" s="19"/>
      <c r="DJ84" s="19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59"/>
      <c r="ED84" s="59"/>
      <c r="EE84" s="14"/>
      <c r="EF84" s="14"/>
      <c r="EG84" s="14"/>
      <c r="EH84" s="14"/>
      <c r="GN84" s="46"/>
    </row>
    <row r="85" spans="1:196" x14ac:dyDescent="0.25">
      <c r="A85" s="50"/>
      <c r="B85" s="50"/>
      <c r="C85" s="50"/>
      <c r="D85" s="19"/>
      <c r="E85" s="51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19"/>
      <c r="BI85" s="19"/>
      <c r="BJ85" s="57"/>
      <c r="BK85" s="27"/>
      <c r="BL85" s="27"/>
      <c r="BM85" s="57"/>
      <c r="BN85" s="58"/>
      <c r="BO85" s="58"/>
      <c r="BP85" s="57"/>
      <c r="BQ85" s="19"/>
      <c r="BR85" s="19"/>
      <c r="BS85" s="57"/>
      <c r="BT85" s="19"/>
      <c r="BU85" s="19"/>
      <c r="BV85" s="57"/>
      <c r="BW85" s="19"/>
      <c r="BX85" s="59"/>
      <c r="BY85" s="27"/>
      <c r="BZ85" s="59"/>
      <c r="CA85" s="19"/>
      <c r="CB85" s="19"/>
      <c r="CC85" s="57"/>
      <c r="CD85" s="59"/>
      <c r="CE85" s="59"/>
      <c r="CF85" s="59"/>
      <c r="CG85" s="59"/>
      <c r="CH85" s="19"/>
      <c r="CI85" s="19"/>
      <c r="CJ85" s="57"/>
      <c r="CK85" s="60"/>
      <c r="CL85" s="19"/>
      <c r="CM85" s="57"/>
      <c r="CN85" s="19"/>
      <c r="CO85" s="59"/>
      <c r="CP85" s="27"/>
      <c r="CQ85" s="59"/>
      <c r="CR85" s="19"/>
      <c r="CS85" s="19"/>
      <c r="CT85" s="57"/>
      <c r="CU85" s="19"/>
      <c r="CV85" s="19"/>
      <c r="CW85" s="27"/>
      <c r="CX85" s="27"/>
      <c r="CY85" s="19"/>
      <c r="CZ85" s="19"/>
      <c r="DA85" s="57"/>
      <c r="DB85" s="19"/>
      <c r="DC85" s="19"/>
      <c r="DD85" s="27"/>
      <c r="DE85" s="27"/>
      <c r="DF85" s="19"/>
      <c r="DG85" s="19"/>
      <c r="DH85" s="57"/>
      <c r="DI85" s="19"/>
      <c r="DJ85" s="19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59"/>
      <c r="ED85" s="59"/>
      <c r="EE85" s="14"/>
      <c r="EF85" s="14"/>
      <c r="EG85" s="14"/>
      <c r="EH85" s="14"/>
      <c r="GN85" s="46"/>
    </row>
    <row r="86" spans="1:196" x14ac:dyDescent="0.25">
      <c r="A86" s="50"/>
      <c r="B86" s="50"/>
      <c r="C86" s="50"/>
      <c r="D86" s="19"/>
      <c r="E86" s="51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19"/>
      <c r="BI86" s="19"/>
      <c r="BJ86" s="57"/>
      <c r="BK86" s="27"/>
      <c r="BL86" s="27"/>
      <c r="BM86" s="57"/>
      <c r="BN86" s="58"/>
      <c r="BO86" s="58"/>
      <c r="BP86" s="57"/>
      <c r="BQ86" s="19"/>
      <c r="BR86" s="19"/>
      <c r="BS86" s="57"/>
      <c r="BT86" s="19"/>
      <c r="BU86" s="19"/>
      <c r="BV86" s="57"/>
      <c r="BW86" s="19"/>
      <c r="BX86" s="59"/>
      <c r="BY86" s="27"/>
      <c r="BZ86" s="59"/>
      <c r="CA86" s="19"/>
      <c r="CB86" s="19"/>
      <c r="CC86" s="57"/>
      <c r="CD86" s="59"/>
      <c r="CE86" s="59"/>
      <c r="CF86" s="59"/>
      <c r="CG86" s="59"/>
      <c r="CH86" s="19"/>
      <c r="CI86" s="19"/>
      <c r="CJ86" s="57"/>
      <c r="CK86" s="60"/>
      <c r="CL86" s="19"/>
      <c r="CM86" s="57"/>
      <c r="CN86" s="19"/>
      <c r="CO86" s="59"/>
      <c r="CP86" s="27"/>
      <c r="CQ86" s="59"/>
      <c r="CR86" s="19"/>
      <c r="CS86" s="19"/>
      <c r="CT86" s="57"/>
      <c r="CU86" s="19"/>
      <c r="CV86" s="19"/>
      <c r="CW86" s="27"/>
      <c r="CX86" s="27"/>
      <c r="CY86" s="19"/>
      <c r="CZ86" s="19"/>
      <c r="DA86" s="57"/>
      <c r="DB86" s="19"/>
      <c r="DC86" s="19"/>
      <c r="DD86" s="27"/>
      <c r="DE86" s="27"/>
      <c r="DF86" s="19"/>
      <c r="DG86" s="19"/>
      <c r="DH86" s="57"/>
      <c r="DI86" s="19"/>
      <c r="DJ86" s="19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59"/>
      <c r="ED86" s="59"/>
      <c r="EE86" s="14"/>
      <c r="EF86" s="14"/>
      <c r="EG86" s="14"/>
      <c r="EH86" s="14"/>
      <c r="GN86" s="46"/>
    </row>
    <row r="87" spans="1:196" x14ac:dyDescent="0.25">
      <c r="A87" s="50"/>
      <c r="B87" s="50"/>
      <c r="C87" s="50"/>
      <c r="D87" s="19"/>
      <c r="E87" s="51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19"/>
      <c r="BI87" s="19"/>
      <c r="BJ87" s="57"/>
      <c r="BK87" s="27"/>
      <c r="BL87" s="27"/>
      <c r="BM87" s="57"/>
      <c r="BN87" s="58"/>
      <c r="BO87" s="58"/>
      <c r="BP87" s="57"/>
      <c r="BQ87" s="19"/>
      <c r="BR87" s="19"/>
      <c r="BS87" s="57"/>
      <c r="BT87" s="19"/>
      <c r="BU87" s="19"/>
      <c r="BV87" s="57"/>
      <c r="BW87" s="19"/>
      <c r="BX87" s="59"/>
      <c r="BY87" s="27"/>
      <c r="BZ87" s="59"/>
      <c r="CA87" s="19"/>
      <c r="CB87" s="19"/>
      <c r="CC87" s="57"/>
      <c r="CD87" s="59"/>
      <c r="CE87" s="59"/>
      <c r="CF87" s="59"/>
      <c r="CG87" s="59"/>
      <c r="CH87" s="19"/>
      <c r="CI87" s="19"/>
      <c r="CJ87" s="57"/>
      <c r="CK87" s="60"/>
      <c r="CL87" s="19"/>
      <c r="CM87" s="57"/>
      <c r="CN87" s="19"/>
      <c r="CO87" s="59"/>
      <c r="CP87" s="27"/>
      <c r="CQ87" s="59"/>
      <c r="CR87" s="19"/>
      <c r="CS87" s="19"/>
      <c r="CT87" s="57"/>
      <c r="CU87" s="19"/>
      <c r="CV87" s="19"/>
      <c r="CW87" s="27"/>
      <c r="CX87" s="27"/>
      <c r="CY87" s="19"/>
      <c r="CZ87" s="19"/>
      <c r="DA87" s="57"/>
      <c r="DB87" s="19"/>
      <c r="DC87" s="19"/>
      <c r="DD87" s="27"/>
      <c r="DE87" s="27"/>
      <c r="DF87" s="19"/>
      <c r="DG87" s="19"/>
      <c r="DH87" s="57"/>
      <c r="DI87" s="19"/>
      <c r="DJ87" s="19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59"/>
      <c r="ED87" s="59"/>
      <c r="EE87" s="14"/>
      <c r="EF87" s="14"/>
      <c r="EG87" s="14"/>
      <c r="EH87" s="14"/>
      <c r="GN87" s="46"/>
    </row>
    <row r="88" spans="1:196" x14ac:dyDescent="0.25">
      <c r="A88" s="50"/>
      <c r="B88" s="50"/>
      <c r="C88" s="50"/>
      <c r="D88" s="19"/>
      <c r="E88" s="51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19"/>
      <c r="BI88" s="19"/>
      <c r="BJ88" s="57"/>
      <c r="BK88" s="27"/>
      <c r="BL88" s="27"/>
      <c r="BM88" s="57"/>
      <c r="BN88" s="58"/>
      <c r="BO88" s="58"/>
      <c r="BP88" s="57"/>
      <c r="BQ88" s="19"/>
      <c r="BR88" s="19"/>
      <c r="BS88" s="57"/>
      <c r="BT88" s="19"/>
      <c r="BU88" s="19"/>
      <c r="BV88" s="57"/>
      <c r="BW88" s="19"/>
      <c r="BX88" s="59"/>
      <c r="BY88" s="27"/>
      <c r="BZ88" s="59"/>
      <c r="CA88" s="19"/>
      <c r="CB88" s="19"/>
      <c r="CC88" s="57"/>
      <c r="CD88" s="59"/>
      <c r="CE88" s="59"/>
      <c r="CF88" s="59"/>
      <c r="CG88" s="59"/>
      <c r="CH88" s="19"/>
      <c r="CI88" s="19"/>
      <c r="CJ88" s="57"/>
      <c r="CK88" s="60"/>
      <c r="CL88" s="19"/>
      <c r="CM88" s="57"/>
      <c r="CN88" s="19"/>
      <c r="CO88" s="59"/>
      <c r="CP88" s="27"/>
      <c r="CQ88" s="59"/>
      <c r="CR88" s="19"/>
      <c r="CS88" s="19"/>
      <c r="CT88" s="57"/>
      <c r="CU88" s="19"/>
      <c r="CV88" s="19"/>
      <c r="CW88" s="27"/>
      <c r="CX88" s="27"/>
      <c r="CY88" s="19"/>
      <c r="CZ88" s="19"/>
      <c r="DA88" s="57"/>
      <c r="DB88" s="19"/>
      <c r="DC88" s="19"/>
      <c r="DD88" s="27"/>
      <c r="DE88" s="27"/>
      <c r="DF88" s="19"/>
      <c r="DG88" s="19"/>
      <c r="DH88" s="57"/>
      <c r="DI88" s="19"/>
      <c r="DJ88" s="19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59"/>
      <c r="ED88" s="59"/>
      <c r="EE88" s="14"/>
      <c r="EF88" s="14"/>
      <c r="EG88" s="14"/>
      <c r="EH88" s="14"/>
      <c r="GN88" s="46"/>
    </row>
    <row r="89" spans="1:196" x14ac:dyDescent="0.25">
      <c r="A89" s="50"/>
      <c r="B89" s="50"/>
      <c r="C89" s="50"/>
      <c r="D89" s="19"/>
      <c r="E89" s="51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19"/>
      <c r="BI89" s="19"/>
      <c r="BJ89" s="57"/>
      <c r="BK89" s="27"/>
      <c r="BL89" s="27"/>
      <c r="BM89" s="57"/>
      <c r="BN89" s="58"/>
      <c r="BO89" s="58"/>
      <c r="BP89" s="57"/>
      <c r="BQ89" s="19"/>
      <c r="BR89" s="19"/>
      <c r="BS89" s="57"/>
      <c r="BT89" s="19"/>
      <c r="BU89" s="19"/>
      <c r="BV89" s="57"/>
      <c r="BW89" s="19"/>
      <c r="BX89" s="59"/>
      <c r="BY89" s="27"/>
      <c r="BZ89" s="59"/>
      <c r="CA89" s="19"/>
      <c r="CB89" s="19"/>
      <c r="CC89" s="57"/>
      <c r="CD89" s="59"/>
      <c r="CE89" s="59"/>
      <c r="CF89" s="59"/>
      <c r="CG89" s="59"/>
      <c r="CH89" s="19"/>
      <c r="CI89" s="19"/>
      <c r="CJ89" s="57"/>
      <c r="CK89" s="60"/>
      <c r="CL89" s="19"/>
      <c r="CM89" s="57"/>
      <c r="CN89" s="19"/>
      <c r="CO89" s="59"/>
      <c r="CP89" s="27"/>
      <c r="CQ89" s="59"/>
      <c r="CR89" s="19"/>
      <c r="CS89" s="19"/>
      <c r="CT89" s="57"/>
      <c r="CU89" s="19"/>
      <c r="CV89" s="19"/>
      <c r="CW89" s="27"/>
      <c r="CX89" s="27"/>
      <c r="CY89" s="19"/>
      <c r="CZ89" s="19"/>
      <c r="DA89" s="57"/>
      <c r="DB89" s="19"/>
      <c r="DC89" s="19"/>
      <c r="DD89" s="27"/>
      <c r="DE89" s="27"/>
      <c r="DF89" s="19"/>
      <c r="DG89" s="19"/>
      <c r="DH89" s="57"/>
      <c r="DI89" s="19"/>
      <c r="DJ89" s="19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59"/>
      <c r="ED89" s="59"/>
      <c r="EE89" s="14"/>
      <c r="EF89" s="14"/>
      <c r="EG89" s="14"/>
      <c r="EH89" s="14"/>
      <c r="GN89" s="46"/>
    </row>
    <row r="90" spans="1:196" x14ac:dyDescent="0.25">
      <c r="A90" s="50"/>
      <c r="B90" s="50"/>
      <c r="C90" s="50"/>
      <c r="D90" s="19"/>
      <c r="E90" s="51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19"/>
      <c r="BI90" s="19"/>
      <c r="BJ90" s="57"/>
      <c r="BK90" s="27"/>
      <c r="BL90" s="27"/>
      <c r="BM90" s="57"/>
      <c r="BN90" s="58"/>
      <c r="BO90" s="58"/>
      <c r="BP90" s="57"/>
      <c r="BQ90" s="19"/>
      <c r="BR90" s="19"/>
      <c r="BS90" s="57"/>
      <c r="BT90" s="19"/>
      <c r="BU90" s="19"/>
      <c r="BV90" s="57"/>
      <c r="BW90" s="19"/>
      <c r="BX90" s="59"/>
      <c r="BY90" s="27"/>
      <c r="BZ90" s="59"/>
      <c r="CA90" s="19"/>
      <c r="CB90" s="19"/>
      <c r="CC90" s="57"/>
      <c r="CD90" s="59"/>
      <c r="CE90" s="59"/>
      <c r="CF90" s="59"/>
      <c r="CG90" s="59"/>
      <c r="CH90" s="19"/>
      <c r="CI90" s="19"/>
      <c r="CJ90" s="57"/>
      <c r="CK90" s="60"/>
      <c r="CL90" s="19"/>
      <c r="CM90" s="57"/>
      <c r="CN90" s="19"/>
      <c r="CO90" s="59"/>
      <c r="CP90" s="27"/>
      <c r="CQ90" s="59"/>
      <c r="CR90" s="19"/>
      <c r="CS90" s="19"/>
      <c r="CT90" s="57"/>
      <c r="CU90" s="19"/>
      <c r="CV90" s="19"/>
      <c r="CW90" s="27"/>
      <c r="CX90" s="27"/>
      <c r="CY90" s="19"/>
      <c r="CZ90" s="19"/>
      <c r="DA90" s="57"/>
      <c r="DB90" s="19"/>
      <c r="DC90" s="19"/>
      <c r="DD90" s="27"/>
      <c r="DE90" s="27"/>
      <c r="DF90" s="19"/>
      <c r="DG90" s="19"/>
      <c r="DH90" s="57"/>
      <c r="DI90" s="19"/>
      <c r="DJ90" s="19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59"/>
      <c r="ED90" s="59"/>
      <c r="EE90" s="14"/>
      <c r="EF90" s="14"/>
      <c r="EG90" s="14"/>
      <c r="EH90" s="14"/>
      <c r="GN90" s="46"/>
    </row>
    <row r="91" spans="1:196" x14ac:dyDescent="0.25">
      <c r="A91" s="50"/>
      <c r="B91" s="50"/>
      <c r="C91" s="50"/>
      <c r="D91" s="19"/>
      <c r="E91" s="51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19"/>
      <c r="BI91" s="19"/>
      <c r="BJ91" s="57"/>
      <c r="BK91" s="27"/>
      <c r="BL91" s="27"/>
      <c r="BM91" s="57"/>
      <c r="BN91" s="58"/>
      <c r="BO91" s="58"/>
      <c r="BP91" s="57"/>
      <c r="BQ91" s="19"/>
      <c r="BR91" s="19"/>
      <c r="BS91" s="57"/>
      <c r="BT91" s="19"/>
      <c r="BU91" s="19"/>
      <c r="BV91" s="57"/>
      <c r="BW91" s="19"/>
      <c r="BX91" s="59"/>
      <c r="BY91" s="27"/>
      <c r="BZ91" s="59"/>
      <c r="CA91" s="19"/>
      <c r="CB91" s="19"/>
      <c r="CC91" s="57"/>
      <c r="CD91" s="59"/>
      <c r="CE91" s="59"/>
      <c r="CF91" s="59"/>
      <c r="CG91" s="59"/>
      <c r="CH91" s="19"/>
      <c r="CI91" s="19"/>
      <c r="CJ91" s="57"/>
      <c r="CK91" s="60"/>
      <c r="CL91" s="19"/>
      <c r="CM91" s="57"/>
      <c r="CN91" s="19"/>
      <c r="CO91" s="59"/>
      <c r="CP91" s="27"/>
      <c r="CQ91" s="59"/>
      <c r="CR91" s="19"/>
      <c r="CS91" s="19"/>
      <c r="CT91" s="57"/>
      <c r="CU91" s="19"/>
      <c r="CV91" s="19"/>
      <c r="CW91" s="27"/>
      <c r="CX91" s="27"/>
      <c r="CY91" s="19"/>
      <c r="CZ91" s="19"/>
      <c r="DA91" s="57"/>
      <c r="DB91" s="19"/>
      <c r="DC91" s="19"/>
      <c r="DD91" s="27"/>
      <c r="DE91" s="27"/>
      <c r="DF91" s="19"/>
      <c r="DG91" s="19"/>
      <c r="DH91" s="57"/>
      <c r="DI91" s="19"/>
      <c r="DJ91" s="19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59"/>
      <c r="ED91" s="59"/>
      <c r="EE91" s="14"/>
      <c r="EF91" s="14"/>
      <c r="EG91" s="14"/>
      <c r="EH91" s="14"/>
      <c r="GN91" s="46"/>
    </row>
    <row r="92" spans="1:196" x14ac:dyDescent="0.25">
      <c r="A92" s="50"/>
      <c r="B92" s="50"/>
      <c r="C92" s="50"/>
      <c r="D92" s="19"/>
      <c r="E92" s="51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19"/>
      <c r="BI92" s="19"/>
      <c r="BJ92" s="57"/>
      <c r="BK92" s="27"/>
      <c r="BL92" s="27"/>
      <c r="BM92" s="57"/>
      <c r="BN92" s="58"/>
      <c r="BO92" s="58"/>
      <c r="BP92" s="57"/>
      <c r="BQ92" s="19"/>
      <c r="BR92" s="19"/>
      <c r="BS92" s="57"/>
      <c r="BT92" s="19"/>
      <c r="BU92" s="19"/>
      <c r="BV92" s="57"/>
      <c r="BW92" s="19"/>
      <c r="BX92" s="59"/>
      <c r="BY92" s="27"/>
      <c r="BZ92" s="59"/>
      <c r="CA92" s="19"/>
      <c r="CB92" s="19"/>
      <c r="CC92" s="57"/>
      <c r="CD92" s="59"/>
      <c r="CE92" s="59"/>
      <c r="CF92" s="59"/>
      <c r="CG92" s="59"/>
      <c r="CH92" s="19"/>
      <c r="CI92" s="19"/>
      <c r="CJ92" s="57"/>
      <c r="CK92" s="60"/>
      <c r="CL92" s="19"/>
      <c r="CM92" s="57"/>
      <c r="CN92" s="19"/>
      <c r="CO92" s="59"/>
      <c r="CP92" s="27"/>
      <c r="CQ92" s="59"/>
      <c r="CR92" s="19"/>
      <c r="CS92" s="19"/>
      <c r="CT92" s="57"/>
      <c r="CU92" s="19"/>
      <c r="CV92" s="19"/>
      <c r="CW92" s="27"/>
      <c r="CX92" s="27"/>
      <c r="CY92" s="19"/>
      <c r="CZ92" s="19"/>
      <c r="DA92" s="57"/>
      <c r="DB92" s="19"/>
      <c r="DC92" s="19"/>
      <c r="DD92" s="27"/>
      <c r="DE92" s="27"/>
      <c r="DF92" s="19"/>
      <c r="DG92" s="19"/>
      <c r="DH92" s="57"/>
      <c r="DI92" s="19"/>
      <c r="DJ92" s="19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59"/>
      <c r="ED92" s="59"/>
      <c r="EE92" s="14"/>
      <c r="EF92" s="14"/>
      <c r="EG92" s="14"/>
      <c r="EH92" s="14"/>
      <c r="GN92" s="46"/>
    </row>
    <row r="93" spans="1:196" x14ac:dyDescent="0.25">
      <c r="A93" s="50"/>
      <c r="B93" s="50"/>
      <c r="C93" s="50"/>
      <c r="D93" s="19"/>
      <c r="E93" s="51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19"/>
      <c r="BI93" s="19"/>
      <c r="BJ93" s="57"/>
      <c r="BK93" s="27"/>
      <c r="BL93" s="27"/>
      <c r="BM93" s="57"/>
      <c r="BN93" s="58"/>
      <c r="BO93" s="58"/>
      <c r="BP93" s="57"/>
      <c r="BQ93" s="19"/>
      <c r="BR93" s="19"/>
      <c r="BS93" s="57"/>
      <c r="BT93" s="19"/>
      <c r="BU93" s="19"/>
      <c r="BV93" s="57"/>
      <c r="BW93" s="19"/>
      <c r="BX93" s="59"/>
      <c r="BY93" s="27"/>
      <c r="BZ93" s="59"/>
      <c r="CA93" s="19"/>
      <c r="CB93" s="19"/>
      <c r="CC93" s="57"/>
      <c r="CD93" s="59"/>
      <c r="CE93" s="59"/>
      <c r="CF93" s="59"/>
      <c r="CG93" s="59"/>
      <c r="CH93" s="19"/>
      <c r="CI93" s="19"/>
      <c r="CJ93" s="57"/>
      <c r="CK93" s="60"/>
      <c r="CL93" s="19"/>
      <c r="CM93" s="57"/>
      <c r="CN93" s="19"/>
      <c r="CO93" s="59"/>
      <c r="CP93" s="27"/>
      <c r="CQ93" s="59"/>
      <c r="CR93" s="19"/>
      <c r="CS93" s="19"/>
      <c r="CT93" s="57"/>
      <c r="CU93" s="19"/>
      <c r="CV93" s="19"/>
      <c r="CW93" s="27"/>
      <c r="CX93" s="27"/>
      <c r="CY93" s="19"/>
      <c r="CZ93" s="19"/>
      <c r="DA93" s="57"/>
      <c r="DB93" s="19"/>
      <c r="DC93" s="19"/>
      <c r="DD93" s="27"/>
      <c r="DE93" s="27"/>
      <c r="DF93" s="19"/>
      <c r="DG93" s="19"/>
      <c r="DH93" s="57"/>
      <c r="DI93" s="19"/>
      <c r="DJ93" s="19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59"/>
      <c r="ED93" s="59"/>
      <c r="EE93" s="14"/>
      <c r="EF93" s="14"/>
      <c r="EG93" s="14"/>
      <c r="EH93" s="14"/>
      <c r="GN93" s="46"/>
    </row>
    <row r="94" spans="1:196" x14ac:dyDescent="0.25">
      <c r="A94" s="50"/>
      <c r="B94" s="50"/>
      <c r="C94" s="50"/>
      <c r="D94" s="19"/>
      <c r="E94" s="51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19"/>
      <c r="BI94" s="19"/>
      <c r="BJ94" s="57"/>
      <c r="BK94" s="27"/>
      <c r="BL94" s="27"/>
      <c r="BM94" s="57"/>
      <c r="BN94" s="58"/>
      <c r="BO94" s="58"/>
      <c r="BP94" s="57"/>
      <c r="BQ94" s="19"/>
      <c r="BR94" s="19"/>
      <c r="BS94" s="57"/>
      <c r="BT94" s="19"/>
      <c r="BU94" s="19"/>
      <c r="BV94" s="57"/>
      <c r="BW94" s="19"/>
      <c r="BX94" s="59"/>
      <c r="BY94" s="27"/>
      <c r="BZ94" s="59"/>
      <c r="CA94" s="19"/>
      <c r="CB94" s="19"/>
      <c r="CC94" s="57"/>
      <c r="CD94" s="59"/>
      <c r="CE94" s="59"/>
      <c r="CF94" s="59"/>
      <c r="CG94" s="59"/>
      <c r="CH94" s="19"/>
      <c r="CI94" s="19"/>
      <c r="CJ94" s="57"/>
      <c r="CK94" s="60"/>
      <c r="CL94" s="19"/>
      <c r="CM94" s="57"/>
      <c r="CN94" s="19"/>
      <c r="CO94" s="59"/>
      <c r="CP94" s="27"/>
      <c r="CQ94" s="59"/>
      <c r="CR94" s="19"/>
      <c r="CS94" s="19"/>
      <c r="CT94" s="57"/>
      <c r="CU94" s="19"/>
      <c r="CV94" s="19"/>
      <c r="CW94" s="27"/>
      <c r="CX94" s="27"/>
      <c r="CY94" s="19"/>
      <c r="CZ94" s="19"/>
      <c r="DA94" s="57"/>
      <c r="DB94" s="19"/>
      <c r="DC94" s="19"/>
      <c r="DD94" s="27"/>
      <c r="DE94" s="27"/>
      <c r="DF94" s="19"/>
      <c r="DG94" s="19"/>
      <c r="DH94" s="57"/>
      <c r="DI94" s="19"/>
      <c r="DJ94" s="19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59"/>
      <c r="ED94" s="59"/>
      <c r="EE94" s="14"/>
      <c r="EF94" s="14"/>
      <c r="EG94" s="14"/>
      <c r="EH94" s="14"/>
      <c r="GN94" s="46"/>
    </row>
    <row r="95" spans="1:196" x14ac:dyDescent="0.25">
      <c r="A95" s="50"/>
      <c r="B95" s="50"/>
      <c r="C95" s="50"/>
      <c r="D95" s="19"/>
      <c r="E95" s="51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19"/>
      <c r="BI95" s="19"/>
      <c r="BJ95" s="57"/>
      <c r="BK95" s="27"/>
      <c r="BL95" s="27"/>
      <c r="BM95" s="57"/>
      <c r="BN95" s="58"/>
      <c r="BO95" s="58"/>
      <c r="BP95" s="57"/>
      <c r="BQ95" s="19"/>
      <c r="BR95" s="19"/>
      <c r="BS95" s="57"/>
      <c r="BT95" s="19"/>
      <c r="BU95" s="19"/>
      <c r="BV95" s="57"/>
      <c r="BW95" s="19"/>
      <c r="BX95" s="59"/>
      <c r="BY95" s="27"/>
      <c r="BZ95" s="59"/>
      <c r="CA95" s="19"/>
      <c r="CB95" s="19"/>
      <c r="CC95" s="57"/>
      <c r="CD95" s="59"/>
      <c r="CE95" s="59"/>
      <c r="CF95" s="59"/>
      <c r="CG95" s="59"/>
      <c r="CH95" s="19"/>
      <c r="CI95" s="19"/>
      <c r="CJ95" s="57"/>
      <c r="CK95" s="60"/>
      <c r="CL95" s="19"/>
      <c r="CM95" s="57"/>
      <c r="CN95" s="19"/>
      <c r="CO95" s="59"/>
      <c r="CP95" s="27"/>
      <c r="CQ95" s="59"/>
      <c r="CR95" s="19"/>
      <c r="CS95" s="19"/>
      <c r="CT95" s="57"/>
      <c r="CU95" s="19"/>
      <c r="CV95" s="19"/>
      <c r="CW95" s="27"/>
      <c r="CX95" s="27"/>
      <c r="CY95" s="19"/>
      <c r="CZ95" s="19"/>
      <c r="DA95" s="57"/>
      <c r="DB95" s="19"/>
      <c r="DC95" s="19"/>
      <c r="DD95" s="27"/>
      <c r="DE95" s="27"/>
      <c r="DF95" s="19"/>
      <c r="DG95" s="19"/>
      <c r="DH95" s="57"/>
      <c r="DI95" s="19"/>
      <c r="DJ95" s="19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59"/>
      <c r="ED95" s="59"/>
      <c r="EE95" s="14"/>
      <c r="EF95" s="14"/>
      <c r="EG95" s="14"/>
      <c r="EH95" s="14"/>
      <c r="GN95" s="46"/>
    </row>
    <row r="96" spans="1:196" x14ac:dyDescent="0.25">
      <c r="A96" s="50"/>
      <c r="B96" s="50"/>
      <c r="C96" s="50"/>
      <c r="D96" s="19"/>
      <c r="E96" s="51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19"/>
      <c r="BI96" s="19"/>
      <c r="BJ96" s="57"/>
      <c r="BK96" s="27"/>
      <c r="BL96" s="27"/>
      <c r="BM96" s="57"/>
      <c r="BN96" s="58"/>
      <c r="BO96" s="58"/>
      <c r="BP96" s="57"/>
      <c r="BQ96" s="19"/>
      <c r="BR96" s="19"/>
      <c r="BS96" s="57"/>
      <c r="BT96" s="19"/>
      <c r="BU96" s="19"/>
      <c r="BV96" s="57"/>
      <c r="BW96" s="19"/>
      <c r="BX96" s="59"/>
      <c r="BY96" s="27"/>
      <c r="BZ96" s="59"/>
      <c r="CA96" s="19"/>
      <c r="CB96" s="19"/>
      <c r="CC96" s="57"/>
      <c r="CD96" s="59"/>
      <c r="CE96" s="59"/>
      <c r="CF96" s="59"/>
      <c r="CG96" s="59"/>
      <c r="CH96" s="19"/>
      <c r="CI96" s="19"/>
      <c r="CJ96" s="57"/>
      <c r="CK96" s="60"/>
      <c r="CL96" s="19"/>
      <c r="CM96" s="57"/>
      <c r="CN96" s="19"/>
      <c r="CO96" s="59"/>
      <c r="CP96" s="27"/>
      <c r="CQ96" s="59"/>
      <c r="CR96" s="19"/>
      <c r="CS96" s="19"/>
      <c r="CT96" s="57"/>
      <c r="CU96" s="19"/>
      <c r="CV96" s="19"/>
      <c r="CW96" s="27"/>
      <c r="CX96" s="27"/>
      <c r="CY96" s="19"/>
      <c r="CZ96" s="19"/>
      <c r="DA96" s="57"/>
      <c r="DB96" s="19"/>
      <c r="DC96" s="19"/>
      <c r="DD96" s="27"/>
      <c r="DE96" s="27"/>
      <c r="DF96" s="19"/>
      <c r="DG96" s="19"/>
      <c r="DH96" s="57"/>
      <c r="DI96" s="19"/>
      <c r="DJ96" s="19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59"/>
      <c r="ED96" s="59"/>
      <c r="EE96" s="14"/>
      <c r="EF96" s="14"/>
      <c r="EG96" s="14"/>
      <c r="EH96" s="14"/>
      <c r="GN96" s="46"/>
    </row>
    <row r="97" spans="1:196" x14ac:dyDescent="0.25">
      <c r="A97" s="50"/>
      <c r="B97" s="50"/>
      <c r="C97" s="50"/>
      <c r="D97" s="19"/>
      <c r="E97" s="51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19"/>
      <c r="BI97" s="19"/>
      <c r="BJ97" s="57"/>
      <c r="BK97" s="27"/>
      <c r="BL97" s="27"/>
      <c r="BM97" s="57"/>
      <c r="BN97" s="58"/>
      <c r="BO97" s="58"/>
      <c r="BP97" s="57"/>
      <c r="BQ97" s="19"/>
      <c r="BR97" s="19"/>
      <c r="BS97" s="57"/>
      <c r="BT97" s="19"/>
      <c r="BU97" s="19"/>
      <c r="BV97" s="57"/>
      <c r="BW97" s="19"/>
      <c r="BX97" s="59"/>
      <c r="BY97" s="27"/>
      <c r="BZ97" s="59"/>
      <c r="CA97" s="19"/>
      <c r="CB97" s="19"/>
      <c r="CC97" s="57"/>
      <c r="CD97" s="59"/>
      <c r="CE97" s="59"/>
      <c r="CF97" s="59"/>
      <c r="CG97" s="59"/>
      <c r="CH97" s="19"/>
      <c r="CI97" s="19"/>
      <c r="CJ97" s="57"/>
      <c r="CK97" s="60"/>
      <c r="CL97" s="19"/>
      <c r="CM97" s="57"/>
      <c r="CN97" s="19"/>
      <c r="CO97" s="59"/>
      <c r="CP97" s="27"/>
      <c r="CQ97" s="59"/>
      <c r="CR97" s="19"/>
      <c r="CS97" s="19"/>
      <c r="CT97" s="57"/>
      <c r="CU97" s="19"/>
      <c r="CV97" s="19"/>
      <c r="CW97" s="27"/>
      <c r="CX97" s="27"/>
      <c r="CY97" s="19"/>
      <c r="CZ97" s="19"/>
      <c r="DA97" s="57"/>
      <c r="DB97" s="19"/>
      <c r="DC97" s="19"/>
      <c r="DD97" s="27"/>
      <c r="DE97" s="27"/>
      <c r="DF97" s="19"/>
      <c r="DG97" s="19"/>
      <c r="DH97" s="57"/>
      <c r="DI97" s="19"/>
      <c r="DJ97" s="19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59"/>
      <c r="ED97" s="59"/>
      <c r="EE97" s="14"/>
      <c r="EF97" s="14"/>
      <c r="EG97" s="14"/>
      <c r="EH97" s="14"/>
      <c r="GN97" s="46"/>
    </row>
    <row r="98" spans="1:196" x14ac:dyDescent="0.25">
      <c r="A98" s="50"/>
      <c r="B98" s="50"/>
      <c r="C98" s="50"/>
      <c r="D98" s="19"/>
      <c r="E98" s="51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19"/>
      <c r="BI98" s="19"/>
      <c r="BJ98" s="57"/>
      <c r="BK98" s="27"/>
      <c r="BL98" s="27"/>
      <c r="BM98" s="57"/>
      <c r="BN98" s="58"/>
      <c r="BO98" s="58"/>
      <c r="BP98" s="57"/>
      <c r="BQ98" s="19"/>
      <c r="BR98" s="19"/>
      <c r="BS98" s="57"/>
      <c r="BT98" s="19"/>
      <c r="BU98" s="19"/>
      <c r="BV98" s="57"/>
      <c r="BW98" s="19"/>
      <c r="BX98" s="59"/>
      <c r="BY98" s="27"/>
      <c r="BZ98" s="59"/>
      <c r="CA98" s="19"/>
      <c r="CB98" s="19"/>
      <c r="CC98" s="57"/>
      <c r="CD98" s="59"/>
      <c r="CE98" s="59"/>
      <c r="CF98" s="59"/>
      <c r="CG98" s="59"/>
      <c r="CH98" s="19"/>
      <c r="CI98" s="19"/>
      <c r="CJ98" s="57"/>
      <c r="CK98" s="60"/>
      <c r="CL98" s="19"/>
      <c r="CM98" s="57"/>
      <c r="CN98" s="19"/>
      <c r="CO98" s="59"/>
      <c r="CP98" s="27"/>
      <c r="CQ98" s="59"/>
      <c r="CR98" s="19"/>
      <c r="CS98" s="19"/>
      <c r="CT98" s="57"/>
      <c r="CU98" s="19"/>
      <c r="CV98" s="19"/>
      <c r="CW98" s="27"/>
      <c r="CX98" s="27"/>
      <c r="CY98" s="19"/>
      <c r="CZ98" s="19"/>
      <c r="DA98" s="57"/>
      <c r="DB98" s="19"/>
      <c r="DC98" s="19"/>
      <c r="DD98" s="27"/>
      <c r="DE98" s="27"/>
      <c r="DF98" s="19"/>
      <c r="DG98" s="19"/>
      <c r="DH98" s="57"/>
      <c r="DI98" s="19"/>
      <c r="DJ98" s="19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59"/>
      <c r="ED98" s="59"/>
      <c r="EE98" s="14"/>
      <c r="EF98" s="14"/>
      <c r="EG98" s="14"/>
      <c r="EH98" s="14"/>
      <c r="GN98" s="46"/>
    </row>
    <row r="99" spans="1:196" x14ac:dyDescent="0.25">
      <c r="A99" s="50"/>
      <c r="B99" s="50"/>
      <c r="C99" s="50"/>
      <c r="D99" s="19"/>
      <c r="E99" s="51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19"/>
      <c r="BI99" s="19"/>
      <c r="BJ99" s="57"/>
      <c r="BK99" s="27"/>
      <c r="BL99" s="27"/>
      <c r="BM99" s="57"/>
      <c r="BN99" s="58"/>
      <c r="BO99" s="58"/>
      <c r="BP99" s="57"/>
      <c r="BQ99" s="19"/>
      <c r="BR99" s="19"/>
      <c r="BS99" s="57"/>
      <c r="BT99" s="19"/>
      <c r="BU99" s="19"/>
      <c r="BV99" s="57"/>
      <c r="BW99" s="19"/>
      <c r="BX99" s="59"/>
      <c r="BY99" s="27"/>
      <c r="BZ99" s="59"/>
      <c r="CA99" s="19"/>
      <c r="CB99" s="19"/>
      <c r="CC99" s="57"/>
      <c r="CD99" s="59"/>
      <c r="CE99" s="59"/>
      <c r="CF99" s="59"/>
      <c r="CG99" s="59"/>
      <c r="CH99" s="19"/>
      <c r="CI99" s="19"/>
      <c r="CJ99" s="57"/>
      <c r="CK99" s="60"/>
      <c r="CL99" s="19"/>
      <c r="CM99" s="57"/>
      <c r="CN99" s="19"/>
      <c r="CO99" s="59"/>
      <c r="CP99" s="27"/>
      <c r="CQ99" s="59"/>
      <c r="CR99" s="19"/>
      <c r="CS99" s="19"/>
      <c r="CT99" s="57"/>
      <c r="CU99" s="19"/>
      <c r="CV99" s="19"/>
      <c r="CW99" s="27"/>
      <c r="CX99" s="27"/>
      <c r="CY99" s="19"/>
      <c r="CZ99" s="19"/>
      <c r="DA99" s="57"/>
      <c r="DB99" s="19"/>
      <c r="DC99" s="19"/>
      <c r="DD99" s="27"/>
      <c r="DE99" s="27"/>
      <c r="DF99" s="19"/>
      <c r="DG99" s="19"/>
      <c r="DH99" s="57"/>
      <c r="DI99" s="19"/>
      <c r="DJ99" s="19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59"/>
      <c r="ED99" s="59"/>
      <c r="EE99" s="14"/>
      <c r="EF99" s="14"/>
      <c r="EG99" s="14"/>
      <c r="EH99" s="14"/>
      <c r="GN99" s="46"/>
    </row>
    <row r="100" spans="1:196" x14ac:dyDescent="0.25">
      <c r="A100" s="50"/>
      <c r="B100" s="50"/>
      <c r="C100" s="50"/>
      <c r="D100" s="19"/>
      <c r="E100" s="51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19"/>
      <c r="BI100" s="19"/>
      <c r="BJ100" s="57"/>
      <c r="BK100" s="27"/>
      <c r="BL100" s="27"/>
      <c r="BM100" s="57"/>
      <c r="BN100" s="58"/>
      <c r="BO100" s="58"/>
      <c r="BP100" s="57"/>
      <c r="BQ100" s="19"/>
      <c r="BR100" s="19"/>
      <c r="BS100" s="57"/>
      <c r="BT100" s="19"/>
      <c r="BU100" s="19"/>
      <c r="BV100" s="57"/>
      <c r="BW100" s="19"/>
      <c r="BX100" s="59"/>
      <c r="BY100" s="27"/>
      <c r="BZ100" s="59"/>
      <c r="CA100" s="19"/>
      <c r="CB100" s="19"/>
      <c r="CC100" s="57"/>
      <c r="CD100" s="59"/>
      <c r="CE100" s="59"/>
      <c r="CF100" s="59"/>
      <c r="CG100" s="59"/>
      <c r="CH100" s="19"/>
      <c r="CI100" s="19"/>
      <c r="CJ100" s="57"/>
      <c r="CK100" s="60"/>
      <c r="CL100" s="19"/>
      <c r="CM100" s="57"/>
      <c r="CN100" s="19"/>
      <c r="CO100" s="59"/>
      <c r="CP100" s="27"/>
      <c r="CQ100" s="59"/>
      <c r="CR100" s="19"/>
      <c r="CS100" s="19"/>
      <c r="CT100" s="57"/>
      <c r="CU100" s="19"/>
      <c r="CV100" s="19"/>
      <c r="CW100" s="27"/>
      <c r="CX100" s="27"/>
      <c r="CY100" s="19"/>
      <c r="CZ100" s="19"/>
      <c r="DA100" s="57"/>
      <c r="DB100" s="19"/>
      <c r="DC100" s="19"/>
      <c r="DD100" s="27"/>
      <c r="DE100" s="27"/>
      <c r="DF100" s="19"/>
      <c r="DG100" s="19"/>
      <c r="DH100" s="57"/>
      <c r="DI100" s="19"/>
      <c r="DJ100" s="19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59"/>
      <c r="ED100" s="59"/>
      <c r="EE100" s="14"/>
      <c r="EF100" s="14"/>
      <c r="EG100" s="14"/>
      <c r="EH100" s="14"/>
      <c r="GN100" s="46"/>
    </row>
    <row r="101" spans="1:196" x14ac:dyDescent="0.25">
      <c r="A101" s="50"/>
      <c r="B101" s="50"/>
      <c r="C101" s="50"/>
      <c r="D101" s="19"/>
      <c r="E101" s="51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19"/>
      <c r="BI101" s="19"/>
      <c r="BJ101" s="57"/>
      <c r="BK101" s="27"/>
      <c r="BL101" s="27"/>
      <c r="BM101" s="57"/>
      <c r="BN101" s="58"/>
      <c r="BO101" s="58"/>
      <c r="BP101" s="57"/>
      <c r="BQ101" s="19"/>
      <c r="BR101" s="19"/>
      <c r="BS101" s="57"/>
      <c r="BT101" s="19"/>
      <c r="BU101" s="19"/>
      <c r="BV101" s="57"/>
      <c r="BW101" s="19"/>
      <c r="BX101" s="59"/>
      <c r="BY101" s="27"/>
      <c r="BZ101" s="59"/>
      <c r="CA101" s="19"/>
      <c r="CB101" s="19"/>
      <c r="CC101" s="57"/>
      <c r="CD101" s="59"/>
      <c r="CE101" s="59"/>
      <c r="CF101" s="59"/>
      <c r="CG101" s="59"/>
      <c r="CH101" s="19"/>
      <c r="CI101" s="19"/>
      <c r="CJ101" s="57"/>
      <c r="CK101" s="60"/>
      <c r="CL101" s="19"/>
      <c r="CM101" s="57"/>
      <c r="CN101" s="19"/>
      <c r="CO101" s="59"/>
      <c r="CP101" s="27"/>
      <c r="CQ101" s="59"/>
      <c r="CR101" s="19"/>
      <c r="CS101" s="19"/>
      <c r="CT101" s="57"/>
      <c r="CU101" s="19"/>
      <c r="CV101" s="19"/>
      <c r="CW101" s="27"/>
      <c r="CX101" s="27"/>
      <c r="CY101" s="19"/>
      <c r="CZ101" s="19"/>
      <c r="DA101" s="57"/>
      <c r="DB101" s="19"/>
      <c r="DC101" s="19"/>
      <c r="DD101" s="27"/>
      <c r="DE101" s="27"/>
      <c r="DF101" s="19"/>
      <c r="DG101" s="19"/>
      <c r="DH101" s="57"/>
      <c r="DI101" s="19"/>
      <c r="DJ101" s="19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59"/>
      <c r="ED101" s="59"/>
      <c r="EE101" s="14"/>
      <c r="EF101" s="14"/>
      <c r="EG101" s="14"/>
      <c r="EH101" s="14"/>
      <c r="GN101" s="46"/>
    </row>
    <row r="102" spans="1:196" x14ac:dyDescent="0.25">
      <c r="A102" s="50"/>
      <c r="B102" s="50"/>
      <c r="C102" s="50"/>
      <c r="D102" s="19"/>
      <c r="E102" s="51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19"/>
      <c r="BI102" s="19"/>
      <c r="BJ102" s="57"/>
      <c r="BK102" s="27"/>
      <c r="BL102" s="27"/>
      <c r="BM102" s="57"/>
      <c r="BN102" s="58"/>
      <c r="BO102" s="58"/>
      <c r="BP102" s="57"/>
      <c r="BQ102" s="19"/>
      <c r="BR102" s="19"/>
      <c r="BS102" s="57"/>
      <c r="BT102" s="19"/>
      <c r="BU102" s="19"/>
      <c r="BV102" s="57"/>
      <c r="BW102" s="19"/>
      <c r="BX102" s="59"/>
      <c r="BY102" s="27"/>
      <c r="BZ102" s="59"/>
      <c r="CA102" s="19"/>
      <c r="CB102" s="19"/>
      <c r="CC102" s="57"/>
      <c r="CD102" s="59"/>
      <c r="CE102" s="59"/>
      <c r="CF102" s="59"/>
      <c r="CG102" s="59"/>
      <c r="CH102" s="19"/>
      <c r="CI102" s="19"/>
      <c r="CJ102" s="57"/>
      <c r="CK102" s="60"/>
      <c r="CL102" s="19"/>
      <c r="CM102" s="57"/>
      <c r="CN102" s="19"/>
      <c r="CO102" s="59"/>
      <c r="CP102" s="27"/>
      <c r="CQ102" s="59"/>
      <c r="CR102" s="19"/>
      <c r="CS102" s="19"/>
      <c r="CT102" s="57"/>
      <c r="CU102" s="19"/>
      <c r="CV102" s="19"/>
      <c r="CW102" s="27"/>
      <c r="CX102" s="27"/>
      <c r="CY102" s="19"/>
      <c r="CZ102" s="19"/>
      <c r="DA102" s="57"/>
      <c r="DB102" s="19"/>
      <c r="DC102" s="19"/>
      <c r="DD102" s="27"/>
      <c r="DE102" s="27"/>
      <c r="DF102" s="19"/>
      <c r="DG102" s="19"/>
      <c r="DH102" s="57"/>
      <c r="DI102" s="19"/>
      <c r="DJ102" s="19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59"/>
      <c r="ED102" s="59"/>
      <c r="EE102" s="14"/>
      <c r="EF102" s="14"/>
      <c r="EG102" s="14"/>
      <c r="EH102" s="14"/>
      <c r="GN102" s="46"/>
    </row>
    <row r="103" spans="1:196" x14ac:dyDescent="0.25">
      <c r="A103" s="50"/>
      <c r="B103" s="50"/>
      <c r="C103" s="50"/>
      <c r="D103" s="19"/>
      <c r="E103" s="51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19"/>
      <c r="BI103" s="19"/>
      <c r="BJ103" s="57"/>
      <c r="BK103" s="27"/>
      <c r="BL103" s="27"/>
      <c r="BM103" s="57"/>
      <c r="BN103" s="58"/>
      <c r="BO103" s="58"/>
      <c r="BP103" s="57"/>
      <c r="BQ103" s="19"/>
      <c r="BR103" s="19"/>
      <c r="BS103" s="57"/>
      <c r="BT103" s="19"/>
      <c r="BU103" s="19"/>
      <c r="BV103" s="57"/>
      <c r="BW103" s="19"/>
      <c r="BX103" s="59"/>
      <c r="BY103" s="27"/>
      <c r="BZ103" s="59"/>
      <c r="CA103" s="19"/>
      <c r="CB103" s="19"/>
      <c r="CC103" s="57"/>
      <c r="CD103" s="59"/>
      <c r="CE103" s="59"/>
      <c r="CF103" s="59"/>
      <c r="CG103" s="59"/>
      <c r="CH103" s="19"/>
      <c r="CI103" s="19"/>
      <c r="CJ103" s="57"/>
      <c r="CK103" s="60"/>
      <c r="CL103" s="19"/>
      <c r="CM103" s="57"/>
      <c r="CN103" s="19"/>
      <c r="CO103" s="59"/>
      <c r="CP103" s="27"/>
      <c r="CQ103" s="59"/>
      <c r="CR103" s="19"/>
      <c r="CS103" s="19"/>
      <c r="CT103" s="57"/>
      <c r="CU103" s="19"/>
      <c r="CV103" s="19"/>
      <c r="CW103" s="27"/>
      <c r="CX103" s="27"/>
      <c r="CY103" s="19"/>
      <c r="CZ103" s="19"/>
      <c r="DA103" s="57"/>
      <c r="DB103" s="19"/>
      <c r="DC103" s="19"/>
      <c r="DD103" s="27"/>
      <c r="DE103" s="27"/>
      <c r="DF103" s="19"/>
      <c r="DG103" s="19"/>
      <c r="DH103" s="57"/>
      <c r="DI103" s="19"/>
      <c r="DJ103" s="19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59"/>
      <c r="ED103" s="59"/>
      <c r="EE103" s="14"/>
      <c r="EF103" s="14"/>
      <c r="EG103" s="14"/>
      <c r="EH103" s="14"/>
      <c r="GN103" s="46"/>
    </row>
    <row r="104" spans="1:196" x14ac:dyDescent="0.25">
      <c r="A104" s="50"/>
      <c r="B104" s="50"/>
      <c r="C104" s="50"/>
      <c r="D104" s="19"/>
      <c r="E104" s="51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19"/>
      <c r="BI104" s="19"/>
      <c r="BJ104" s="57"/>
      <c r="BK104" s="27"/>
      <c r="BL104" s="27"/>
      <c r="BM104" s="57"/>
      <c r="BN104" s="58"/>
      <c r="BO104" s="58"/>
      <c r="BP104" s="57"/>
      <c r="BQ104" s="19"/>
      <c r="BR104" s="19"/>
      <c r="BS104" s="57"/>
      <c r="BT104" s="19"/>
      <c r="BU104" s="19"/>
      <c r="BV104" s="57"/>
      <c r="BW104" s="19"/>
      <c r="BX104" s="59"/>
      <c r="BY104" s="27"/>
      <c r="BZ104" s="59"/>
      <c r="CA104" s="19"/>
      <c r="CB104" s="19"/>
      <c r="CC104" s="57"/>
      <c r="CD104" s="59"/>
      <c r="CE104" s="59"/>
      <c r="CF104" s="59"/>
      <c r="CG104" s="59"/>
      <c r="CH104" s="19"/>
      <c r="CI104" s="19"/>
      <c r="CJ104" s="57"/>
      <c r="CK104" s="60"/>
      <c r="CL104" s="19"/>
      <c r="CM104" s="57"/>
      <c r="CN104" s="19"/>
      <c r="CO104" s="59"/>
      <c r="CP104" s="27"/>
      <c r="CQ104" s="59"/>
      <c r="CR104" s="19"/>
      <c r="CS104" s="19"/>
      <c r="CT104" s="57"/>
      <c r="CU104" s="19"/>
      <c r="CV104" s="19"/>
      <c r="CW104" s="27"/>
      <c r="CX104" s="27"/>
      <c r="CY104" s="19"/>
      <c r="CZ104" s="19"/>
      <c r="DA104" s="57"/>
      <c r="DB104" s="19"/>
      <c r="DC104" s="19"/>
      <c r="DD104" s="27"/>
      <c r="DE104" s="27"/>
      <c r="DF104" s="19"/>
      <c r="DG104" s="19"/>
      <c r="DH104" s="57"/>
      <c r="DI104" s="19"/>
      <c r="DJ104" s="19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59"/>
      <c r="ED104" s="59"/>
      <c r="EE104" s="14"/>
      <c r="EF104" s="14"/>
      <c r="EG104" s="14"/>
      <c r="EH104" s="14"/>
      <c r="GN104" s="46"/>
    </row>
    <row r="105" spans="1:196" x14ac:dyDescent="0.25">
      <c r="A105" s="50"/>
      <c r="B105" s="50"/>
      <c r="C105" s="50"/>
      <c r="D105" s="19"/>
      <c r="E105" s="51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19"/>
      <c r="BI105" s="19"/>
      <c r="BJ105" s="57"/>
      <c r="BK105" s="27"/>
      <c r="BL105" s="27"/>
      <c r="BM105" s="57"/>
      <c r="BN105" s="58"/>
      <c r="BO105" s="58"/>
      <c r="BP105" s="57"/>
      <c r="BQ105" s="19"/>
      <c r="BR105" s="19"/>
      <c r="BS105" s="57"/>
      <c r="BT105" s="19"/>
      <c r="BU105" s="19"/>
      <c r="BV105" s="57"/>
      <c r="BW105" s="19"/>
      <c r="BX105" s="59"/>
      <c r="BY105" s="27"/>
      <c r="BZ105" s="59"/>
      <c r="CA105" s="19"/>
      <c r="CB105" s="19"/>
      <c r="CC105" s="57"/>
      <c r="CD105" s="59"/>
      <c r="CE105" s="59"/>
      <c r="CF105" s="59"/>
      <c r="CG105" s="59"/>
      <c r="CH105" s="19"/>
      <c r="CI105" s="19"/>
      <c r="CJ105" s="57"/>
      <c r="CK105" s="60"/>
      <c r="CL105" s="19"/>
      <c r="CM105" s="57"/>
      <c r="CN105" s="19"/>
      <c r="CO105" s="59"/>
      <c r="CP105" s="27"/>
      <c r="CQ105" s="59"/>
      <c r="CR105" s="19"/>
      <c r="CS105" s="19"/>
      <c r="CT105" s="57"/>
      <c r="CU105" s="19"/>
      <c r="CV105" s="19"/>
      <c r="CW105" s="27"/>
      <c r="CX105" s="27"/>
      <c r="CY105" s="19"/>
      <c r="CZ105" s="19"/>
      <c r="DA105" s="57"/>
      <c r="DB105" s="19"/>
      <c r="DC105" s="19"/>
      <c r="DD105" s="27"/>
      <c r="DE105" s="27"/>
      <c r="DF105" s="19"/>
      <c r="DG105" s="19"/>
      <c r="DH105" s="57"/>
      <c r="DI105" s="19"/>
      <c r="DJ105" s="19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59"/>
      <c r="ED105" s="59"/>
      <c r="EE105" s="14"/>
      <c r="EF105" s="14"/>
      <c r="EG105" s="14"/>
      <c r="EH105" s="14"/>
      <c r="GN105" s="46"/>
    </row>
    <row r="106" spans="1:196" x14ac:dyDescent="0.25">
      <c r="A106" s="50"/>
      <c r="B106" s="50"/>
      <c r="C106" s="50"/>
      <c r="D106" s="19"/>
      <c r="E106" s="51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19"/>
      <c r="BI106" s="19"/>
      <c r="BJ106" s="57"/>
      <c r="BK106" s="27"/>
      <c r="BL106" s="27"/>
      <c r="BM106" s="57"/>
      <c r="BN106" s="58"/>
      <c r="BO106" s="58"/>
      <c r="BP106" s="57"/>
      <c r="BQ106" s="19"/>
      <c r="BR106" s="19"/>
      <c r="BS106" s="57"/>
      <c r="BT106" s="19"/>
      <c r="BU106" s="19"/>
      <c r="BV106" s="57"/>
      <c r="BW106" s="19"/>
      <c r="BX106" s="59"/>
      <c r="BY106" s="27"/>
      <c r="BZ106" s="59"/>
      <c r="CA106" s="19"/>
      <c r="CB106" s="19"/>
      <c r="CC106" s="57"/>
      <c r="CD106" s="59"/>
      <c r="CE106" s="59"/>
      <c r="CF106" s="59"/>
      <c r="CG106" s="59"/>
      <c r="CH106" s="19"/>
      <c r="CI106" s="19"/>
      <c r="CJ106" s="57"/>
      <c r="CK106" s="60"/>
      <c r="CL106" s="19"/>
      <c r="CM106" s="57"/>
      <c r="CN106" s="19"/>
      <c r="CO106" s="59"/>
      <c r="CP106" s="27"/>
      <c r="CQ106" s="59"/>
      <c r="CR106" s="19"/>
      <c r="CS106" s="19"/>
      <c r="CT106" s="57"/>
      <c r="CU106" s="19"/>
      <c r="CV106" s="19"/>
      <c r="CW106" s="27"/>
      <c r="CX106" s="27"/>
      <c r="CY106" s="19"/>
      <c r="CZ106" s="19"/>
      <c r="DA106" s="57"/>
      <c r="DB106" s="19"/>
      <c r="DC106" s="19"/>
      <c r="DD106" s="27"/>
      <c r="DE106" s="27"/>
      <c r="DF106" s="19"/>
      <c r="DG106" s="19"/>
      <c r="DH106" s="57"/>
      <c r="DI106" s="19"/>
      <c r="DJ106" s="19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59"/>
      <c r="ED106" s="59"/>
      <c r="EE106" s="14"/>
      <c r="EF106" s="14"/>
      <c r="EG106" s="14"/>
      <c r="EH106" s="14"/>
      <c r="GN106" s="46"/>
    </row>
    <row r="107" spans="1:196" x14ac:dyDescent="0.25">
      <c r="A107" s="50"/>
      <c r="B107" s="50"/>
      <c r="C107" s="50"/>
      <c r="D107" s="19"/>
      <c r="E107" s="51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19"/>
      <c r="BI107" s="19"/>
      <c r="BJ107" s="57"/>
      <c r="BK107" s="27"/>
      <c r="BL107" s="27"/>
      <c r="BM107" s="57"/>
      <c r="BN107" s="58"/>
      <c r="BO107" s="58"/>
      <c r="BP107" s="57"/>
      <c r="BQ107" s="19"/>
      <c r="BR107" s="19"/>
      <c r="BS107" s="57"/>
      <c r="BT107" s="19"/>
      <c r="BU107" s="19"/>
      <c r="BV107" s="57"/>
      <c r="BW107" s="19"/>
      <c r="BX107" s="59"/>
      <c r="BY107" s="27"/>
      <c r="BZ107" s="59"/>
      <c r="CA107" s="19"/>
      <c r="CB107" s="19"/>
      <c r="CC107" s="57"/>
      <c r="CD107" s="59"/>
      <c r="CE107" s="59"/>
      <c r="CF107" s="59"/>
      <c r="CG107" s="59"/>
      <c r="CH107" s="19"/>
      <c r="CI107" s="19"/>
      <c r="CJ107" s="57"/>
      <c r="CK107" s="60"/>
      <c r="CL107" s="19"/>
      <c r="CM107" s="57"/>
      <c r="CN107" s="19"/>
      <c r="CO107" s="59"/>
      <c r="CP107" s="27"/>
      <c r="CQ107" s="59"/>
      <c r="CR107" s="19"/>
      <c r="CS107" s="19"/>
      <c r="CT107" s="57"/>
      <c r="CU107" s="19"/>
      <c r="CV107" s="19"/>
      <c r="CW107" s="27"/>
      <c r="CX107" s="27"/>
      <c r="CY107" s="19"/>
      <c r="CZ107" s="19"/>
      <c r="DA107" s="57"/>
      <c r="DB107" s="19"/>
      <c r="DC107" s="19"/>
      <c r="DD107" s="27"/>
      <c r="DE107" s="27"/>
      <c r="DF107" s="19"/>
      <c r="DG107" s="19"/>
      <c r="DH107" s="57"/>
      <c r="DI107" s="19"/>
      <c r="DJ107" s="19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59"/>
      <c r="ED107" s="59"/>
      <c r="EE107" s="14"/>
      <c r="EF107" s="14"/>
      <c r="EG107" s="14"/>
      <c r="EH107" s="14"/>
      <c r="GN107" s="46"/>
    </row>
    <row r="108" spans="1:196" x14ac:dyDescent="0.25">
      <c r="A108" s="50"/>
      <c r="B108" s="50"/>
      <c r="C108" s="50"/>
      <c r="D108" s="19"/>
      <c r="E108" s="51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19"/>
      <c r="BI108" s="19"/>
      <c r="BJ108" s="57"/>
      <c r="BK108" s="27"/>
      <c r="BL108" s="27"/>
      <c r="BM108" s="57"/>
      <c r="BN108" s="58"/>
      <c r="BO108" s="58"/>
      <c r="BP108" s="57"/>
      <c r="BQ108" s="19"/>
      <c r="BR108" s="19"/>
      <c r="BS108" s="57"/>
      <c r="BT108" s="19"/>
      <c r="BU108" s="19"/>
      <c r="BV108" s="57"/>
      <c r="BW108" s="19"/>
      <c r="BX108" s="59"/>
      <c r="BY108" s="27"/>
      <c r="BZ108" s="59"/>
      <c r="CA108" s="19"/>
      <c r="CB108" s="19"/>
      <c r="CC108" s="57"/>
      <c r="CD108" s="59"/>
      <c r="CE108" s="59"/>
      <c r="CF108" s="59"/>
      <c r="CG108" s="59"/>
      <c r="CH108" s="19"/>
      <c r="CI108" s="19"/>
      <c r="CJ108" s="57"/>
      <c r="CK108" s="60"/>
      <c r="CL108" s="19"/>
      <c r="CM108" s="57"/>
      <c r="CN108" s="19"/>
      <c r="CO108" s="59"/>
      <c r="CP108" s="27"/>
      <c r="CQ108" s="59"/>
      <c r="CR108" s="19"/>
      <c r="CS108" s="19"/>
      <c r="CT108" s="57"/>
      <c r="CU108" s="19"/>
      <c r="CV108" s="19"/>
      <c r="CW108" s="27"/>
      <c r="CX108" s="27"/>
      <c r="CY108" s="19"/>
      <c r="CZ108" s="19"/>
      <c r="DA108" s="57"/>
      <c r="DB108" s="19"/>
      <c r="DC108" s="19"/>
      <c r="DD108" s="27"/>
      <c r="DE108" s="27"/>
      <c r="DF108" s="19"/>
      <c r="DG108" s="19"/>
      <c r="DH108" s="57"/>
      <c r="DI108" s="19"/>
      <c r="DJ108" s="19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59"/>
      <c r="ED108" s="59"/>
      <c r="EE108" s="14"/>
      <c r="EF108" s="14"/>
      <c r="EG108" s="14"/>
      <c r="EH108" s="14"/>
      <c r="GN108" s="46"/>
    </row>
    <row r="109" spans="1:196" x14ac:dyDescent="0.25">
      <c r="A109" s="50"/>
      <c r="B109" s="50"/>
      <c r="C109" s="50"/>
      <c r="D109" s="19"/>
      <c r="E109" s="51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19"/>
      <c r="BI109" s="19"/>
      <c r="BJ109" s="57"/>
      <c r="BK109" s="27"/>
      <c r="BL109" s="27"/>
      <c r="BM109" s="57"/>
      <c r="BN109" s="58"/>
      <c r="BO109" s="58"/>
      <c r="BP109" s="57"/>
      <c r="BQ109" s="19"/>
      <c r="BR109" s="19"/>
      <c r="BS109" s="57"/>
      <c r="BT109" s="19"/>
      <c r="BU109" s="19"/>
      <c r="BV109" s="57"/>
      <c r="BW109" s="19"/>
      <c r="BX109" s="59"/>
      <c r="BY109" s="27"/>
      <c r="BZ109" s="59"/>
      <c r="CA109" s="19"/>
      <c r="CB109" s="19"/>
      <c r="CC109" s="57"/>
      <c r="CD109" s="59"/>
      <c r="CE109" s="59"/>
      <c r="CF109" s="59"/>
      <c r="CG109" s="59"/>
      <c r="CH109" s="19"/>
      <c r="CI109" s="19"/>
      <c r="CJ109" s="57"/>
      <c r="CK109" s="60"/>
      <c r="CL109" s="19"/>
      <c r="CM109" s="57"/>
      <c r="CN109" s="19"/>
      <c r="CO109" s="59"/>
      <c r="CP109" s="27"/>
      <c r="CQ109" s="59"/>
      <c r="CR109" s="19"/>
      <c r="CS109" s="19"/>
      <c r="CT109" s="57"/>
      <c r="CU109" s="19"/>
      <c r="CV109" s="19"/>
      <c r="CW109" s="27"/>
      <c r="CX109" s="27"/>
      <c r="CY109" s="19"/>
      <c r="CZ109" s="19"/>
      <c r="DA109" s="57"/>
      <c r="DB109" s="19"/>
      <c r="DC109" s="19"/>
      <c r="DD109" s="27"/>
      <c r="DE109" s="27"/>
      <c r="DF109" s="19"/>
      <c r="DG109" s="19"/>
      <c r="DH109" s="57"/>
      <c r="DI109" s="19"/>
      <c r="DJ109" s="19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59"/>
      <c r="ED109" s="59"/>
      <c r="EE109" s="14"/>
      <c r="EF109" s="14"/>
      <c r="EG109" s="14"/>
      <c r="EH109" s="14"/>
      <c r="GN109" s="46"/>
    </row>
    <row r="110" spans="1:196" x14ac:dyDescent="0.25">
      <c r="A110" s="50"/>
      <c r="B110" s="50"/>
      <c r="C110" s="50"/>
      <c r="D110" s="19"/>
      <c r="E110" s="51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19"/>
      <c r="BI110" s="19"/>
      <c r="BJ110" s="57"/>
      <c r="BK110" s="27"/>
      <c r="BL110" s="27"/>
      <c r="BM110" s="57"/>
      <c r="BN110" s="58"/>
      <c r="BO110" s="58"/>
      <c r="BP110" s="57"/>
      <c r="BQ110" s="19"/>
      <c r="BR110" s="19"/>
      <c r="BS110" s="57"/>
      <c r="BT110" s="19"/>
      <c r="BU110" s="19"/>
      <c r="BV110" s="57"/>
      <c r="BW110" s="19"/>
      <c r="BX110" s="59"/>
      <c r="BY110" s="27"/>
      <c r="BZ110" s="59"/>
      <c r="CA110" s="19"/>
      <c r="CB110" s="19"/>
      <c r="CC110" s="57"/>
      <c r="CD110" s="59"/>
      <c r="CE110" s="59"/>
      <c r="CF110" s="59"/>
      <c r="CG110" s="59"/>
      <c r="CH110" s="19"/>
      <c r="CI110" s="19"/>
      <c r="CJ110" s="57"/>
      <c r="CK110" s="60"/>
      <c r="CL110" s="19"/>
      <c r="CM110" s="57"/>
      <c r="CN110" s="19"/>
      <c r="CO110" s="59"/>
      <c r="CP110" s="27"/>
      <c r="CQ110" s="59"/>
      <c r="CR110" s="19"/>
      <c r="CS110" s="19"/>
      <c r="CT110" s="57"/>
      <c r="CU110" s="19"/>
      <c r="CV110" s="19"/>
      <c r="CW110" s="27"/>
      <c r="CX110" s="27"/>
      <c r="CY110" s="19"/>
      <c r="CZ110" s="19"/>
      <c r="DA110" s="57"/>
      <c r="DB110" s="19"/>
      <c r="DC110" s="19"/>
      <c r="DD110" s="27"/>
      <c r="DE110" s="27"/>
      <c r="DF110" s="19"/>
      <c r="DG110" s="19"/>
      <c r="DH110" s="57"/>
      <c r="DI110" s="19"/>
      <c r="DJ110" s="19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59"/>
      <c r="ED110" s="59"/>
      <c r="EE110" s="14"/>
      <c r="EF110" s="14"/>
      <c r="EG110" s="14"/>
      <c r="EH110" s="14"/>
      <c r="GN110" s="46"/>
    </row>
    <row r="111" spans="1:196" x14ac:dyDescent="0.25">
      <c r="A111" s="50"/>
      <c r="B111" s="50"/>
      <c r="C111" s="50"/>
      <c r="D111" s="19"/>
      <c r="E111" s="51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19"/>
      <c r="BI111" s="19"/>
      <c r="BJ111" s="57"/>
      <c r="BK111" s="27"/>
      <c r="BL111" s="27"/>
      <c r="BM111" s="57"/>
      <c r="BN111" s="58"/>
      <c r="BO111" s="58"/>
      <c r="BP111" s="57"/>
      <c r="BQ111" s="19"/>
      <c r="BR111" s="19"/>
      <c r="BS111" s="57"/>
      <c r="BT111" s="19"/>
      <c r="BU111" s="19"/>
      <c r="BV111" s="57"/>
      <c r="BW111" s="19"/>
      <c r="BX111" s="59"/>
      <c r="BY111" s="27"/>
      <c r="BZ111" s="59"/>
      <c r="CA111" s="19"/>
      <c r="CB111" s="19"/>
      <c r="CC111" s="57"/>
      <c r="CD111" s="59"/>
      <c r="CE111" s="59"/>
      <c r="CF111" s="59"/>
      <c r="CG111" s="59"/>
      <c r="CH111" s="19"/>
      <c r="CI111" s="19"/>
      <c r="CJ111" s="57"/>
      <c r="CK111" s="60"/>
      <c r="CL111" s="19"/>
      <c r="CM111" s="57"/>
      <c r="CN111" s="19"/>
      <c r="CO111" s="59"/>
      <c r="CP111" s="27"/>
      <c r="CQ111" s="59"/>
      <c r="CR111" s="19"/>
      <c r="CS111" s="19"/>
      <c r="CT111" s="57"/>
      <c r="CU111" s="19"/>
      <c r="CV111" s="19"/>
      <c r="CW111" s="27"/>
      <c r="CX111" s="27"/>
      <c r="CY111" s="19"/>
      <c r="CZ111" s="19"/>
      <c r="DA111" s="57"/>
      <c r="DB111" s="19"/>
      <c r="DC111" s="19"/>
      <c r="DD111" s="27"/>
      <c r="DE111" s="27"/>
      <c r="DF111" s="19"/>
      <c r="DG111" s="19"/>
      <c r="DH111" s="57"/>
      <c r="DI111" s="19"/>
      <c r="DJ111" s="19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59"/>
      <c r="ED111" s="59"/>
      <c r="EE111" s="14"/>
      <c r="EF111" s="14"/>
      <c r="EG111" s="14"/>
      <c r="EH111" s="14"/>
      <c r="GN111" s="46"/>
    </row>
    <row r="112" spans="1:196" x14ac:dyDescent="0.25">
      <c r="A112" s="50"/>
      <c r="B112" s="50"/>
      <c r="C112" s="50"/>
      <c r="D112" s="19"/>
      <c r="E112" s="51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19"/>
      <c r="BI112" s="19"/>
      <c r="BJ112" s="57"/>
      <c r="BK112" s="27"/>
      <c r="BL112" s="27"/>
      <c r="BM112" s="57"/>
      <c r="BN112" s="58"/>
      <c r="BO112" s="58"/>
      <c r="BP112" s="57"/>
      <c r="BQ112" s="19"/>
      <c r="BR112" s="19"/>
      <c r="BS112" s="57"/>
      <c r="BT112" s="19"/>
      <c r="BU112" s="19"/>
      <c r="BV112" s="57"/>
      <c r="BW112" s="19"/>
      <c r="BX112" s="59"/>
      <c r="BY112" s="27"/>
      <c r="BZ112" s="59"/>
      <c r="CA112" s="19"/>
      <c r="CB112" s="19"/>
      <c r="CC112" s="57"/>
      <c r="CD112" s="59"/>
      <c r="CE112" s="59"/>
      <c r="CF112" s="59"/>
      <c r="CG112" s="59"/>
      <c r="CH112" s="19"/>
      <c r="CI112" s="19"/>
      <c r="CJ112" s="57"/>
      <c r="CK112" s="60"/>
      <c r="CL112" s="19"/>
      <c r="CM112" s="57"/>
      <c r="CN112" s="19"/>
      <c r="CO112" s="59"/>
      <c r="CP112" s="27"/>
      <c r="CQ112" s="59"/>
      <c r="CR112" s="19"/>
      <c r="CS112" s="19"/>
      <c r="CT112" s="57"/>
      <c r="CU112" s="19"/>
      <c r="CV112" s="19"/>
      <c r="CW112" s="27"/>
      <c r="CX112" s="27"/>
      <c r="CY112" s="19"/>
      <c r="CZ112" s="19"/>
      <c r="DA112" s="57"/>
      <c r="DB112" s="19"/>
      <c r="DC112" s="19"/>
      <c r="DD112" s="27"/>
      <c r="DE112" s="27"/>
      <c r="DF112" s="19"/>
      <c r="DG112" s="19"/>
      <c r="DH112" s="57"/>
      <c r="DI112" s="19"/>
      <c r="DJ112" s="19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59"/>
      <c r="ED112" s="59"/>
      <c r="EE112" s="14"/>
      <c r="EF112" s="14"/>
      <c r="EG112" s="14"/>
      <c r="EH112" s="14"/>
      <c r="GN112" s="46"/>
    </row>
    <row r="113" spans="1:196" x14ac:dyDescent="0.25">
      <c r="A113" s="50"/>
      <c r="B113" s="50"/>
      <c r="C113" s="50"/>
      <c r="D113" s="19"/>
      <c r="E113" s="51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19"/>
      <c r="BI113" s="19"/>
      <c r="BJ113" s="57"/>
      <c r="BK113" s="27"/>
      <c r="BL113" s="27"/>
      <c r="BM113" s="57"/>
      <c r="BN113" s="58"/>
      <c r="BO113" s="58"/>
      <c r="BP113" s="57"/>
      <c r="BQ113" s="19"/>
      <c r="BR113" s="19"/>
      <c r="BS113" s="57"/>
      <c r="BT113" s="19"/>
      <c r="BU113" s="19"/>
      <c r="BV113" s="57"/>
      <c r="BW113" s="19"/>
      <c r="BX113" s="59"/>
      <c r="BY113" s="27"/>
      <c r="BZ113" s="59"/>
      <c r="CA113" s="19"/>
      <c r="CB113" s="19"/>
      <c r="CC113" s="57"/>
      <c r="CD113" s="59"/>
      <c r="CE113" s="59"/>
      <c r="CF113" s="59"/>
      <c r="CG113" s="59"/>
      <c r="CH113" s="19"/>
      <c r="CI113" s="19"/>
      <c r="CJ113" s="57"/>
      <c r="CK113" s="60"/>
      <c r="CL113" s="19"/>
      <c r="CM113" s="57"/>
      <c r="CN113" s="19"/>
      <c r="CO113" s="59"/>
      <c r="CP113" s="27"/>
      <c r="CQ113" s="59"/>
      <c r="CR113" s="19"/>
      <c r="CS113" s="19"/>
      <c r="CT113" s="57"/>
      <c r="CU113" s="19"/>
      <c r="CV113" s="19"/>
      <c r="CW113" s="27"/>
      <c r="CX113" s="27"/>
      <c r="CY113" s="19"/>
      <c r="CZ113" s="19"/>
      <c r="DA113" s="57"/>
      <c r="DB113" s="19"/>
      <c r="DC113" s="19"/>
      <c r="DD113" s="27"/>
      <c r="DE113" s="27"/>
      <c r="DF113" s="19"/>
      <c r="DG113" s="19"/>
      <c r="DH113" s="57"/>
      <c r="DI113" s="19"/>
      <c r="DJ113" s="19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59"/>
      <c r="ED113" s="59"/>
      <c r="EE113" s="14"/>
      <c r="EF113" s="14"/>
      <c r="EG113" s="14"/>
      <c r="EH113" s="14"/>
      <c r="GN113" s="46"/>
    </row>
    <row r="114" spans="1:196" x14ac:dyDescent="0.25">
      <c r="A114" s="50"/>
      <c r="B114" s="50"/>
      <c r="C114" s="50"/>
      <c r="D114" s="19"/>
      <c r="E114" s="51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19"/>
      <c r="BI114" s="19"/>
      <c r="BJ114" s="57"/>
      <c r="BK114" s="27"/>
      <c r="BL114" s="27"/>
      <c r="BM114" s="57"/>
      <c r="BN114" s="58"/>
      <c r="BO114" s="58"/>
      <c r="BP114" s="57"/>
      <c r="BQ114" s="19"/>
      <c r="BR114" s="19"/>
      <c r="BS114" s="57"/>
      <c r="BT114" s="19"/>
      <c r="BU114" s="19"/>
      <c r="BV114" s="57"/>
      <c r="BW114" s="19"/>
      <c r="BX114" s="59"/>
      <c r="BY114" s="27"/>
      <c r="BZ114" s="59"/>
      <c r="CA114" s="19"/>
      <c r="CB114" s="19"/>
      <c r="CC114" s="57"/>
      <c r="CD114" s="59"/>
      <c r="CE114" s="59"/>
      <c r="CF114" s="59"/>
      <c r="CG114" s="59"/>
      <c r="CH114" s="19"/>
      <c r="CI114" s="19"/>
      <c r="CJ114" s="57"/>
      <c r="CK114" s="60"/>
      <c r="CL114" s="19"/>
      <c r="CM114" s="57"/>
      <c r="CN114" s="19"/>
      <c r="CO114" s="59"/>
      <c r="CP114" s="27"/>
      <c r="CQ114" s="59"/>
      <c r="CR114" s="19"/>
      <c r="CS114" s="19"/>
      <c r="CT114" s="57"/>
      <c r="CU114" s="19"/>
      <c r="CV114" s="19"/>
      <c r="CW114" s="27"/>
      <c r="CX114" s="27"/>
      <c r="CY114" s="19"/>
      <c r="CZ114" s="19"/>
      <c r="DA114" s="57"/>
      <c r="DB114" s="19"/>
      <c r="DC114" s="19"/>
      <c r="DD114" s="27"/>
      <c r="DE114" s="27"/>
      <c r="DF114" s="19"/>
      <c r="DG114" s="19"/>
      <c r="DH114" s="57"/>
      <c r="DI114" s="19"/>
      <c r="DJ114" s="19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59"/>
      <c r="ED114" s="59"/>
      <c r="EE114" s="14"/>
      <c r="EF114" s="14"/>
      <c r="EG114" s="14"/>
      <c r="EH114" s="14"/>
      <c r="GN114" s="46"/>
    </row>
    <row r="115" spans="1:196" x14ac:dyDescent="0.25">
      <c r="A115" s="50"/>
      <c r="B115" s="50"/>
      <c r="C115" s="50"/>
      <c r="D115" s="19"/>
      <c r="E115" s="51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19"/>
      <c r="BI115" s="19"/>
      <c r="BJ115" s="57"/>
      <c r="BK115" s="27"/>
      <c r="BL115" s="27"/>
      <c r="BM115" s="57"/>
      <c r="BN115" s="58"/>
      <c r="BO115" s="58"/>
      <c r="BP115" s="57"/>
      <c r="BQ115" s="19"/>
      <c r="BR115" s="19"/>
      <c r="BS115" s="57"/>
      <c r="BT115" s="19"/>
      <c r="BU115" s="19"/>
      <c r="BV115" s="57"/>
      <c r="BW115" s="19"/>
      <c r="BX115" s="59"/>
      <c r="BY115" s="27"/>
      <c r="BZ115" s="59"/>
      <c r="CA115" s="19"/>
      <c r="CB115" s="19"/>
      <c r="CC115" s="57"/>
      <c r="CD115" s="59"/>
      <c r="CE115" s="59"/>
      <c r="CF115" s="59"/>
      <c r="CG115" s="59"/>
      <c r="CH115" s="19"/>
      <c r="CI115" s="19"/>
      <c r="CJ115" s="57"/>
      <c r="CK115" s="60"/>
      <c r="CL115" s="19"/>
      <c r="CM115" s="57"/>
      <c r="CN115" s="19"/>
      <c r="CO115" s="59"/>
      <c r="CP115" s="27"/>
      <c r="CQ115" s="59"/>
      <c r="CR115" s="19"/>
      <c r="CS115" s="19"/>
      <c r="CT115" s="57"/>
      <c r="CU115" s="19"/>
      <c r="CV115" s="19"/>
      <c r="CW115" s="27"/>
      <c r="CX115" s="27"/>
      <c r="CY115" s="19"/>
      <c r="CZ115" s="19"/>
      <c r="DA115" s="57"/>
      <c r="DB115" s="19"/>
      <c r="DC115" s="19"/>
      <c r="DD115" s="27"/>
      <c r="DE115" s="27"/>
      <c r="DF115" s="19"/>
      <c r="DG115" s="19"/>
      <c r="DH115" s="57"/>
      <c r="DI115" s="19"/>
      <c r="DJ115" s="19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59"/>
      <c r="ED115" s="59"/>
      <c r="EE115" s="14"/>
      <c r="EF115" s="14"/>
      <c r="EG115" s="14"/>
      <c r="EH115" s="14"/>
      <c r="GN115" s="46"/>
    </row>
    <row r="116" spans="1:196" x14ac:dyDescent="0.25">
      <c r="A116" s="50"/>
      <c r="B116" s="50"/>
      <c r="C116" s="50"/>
      <c r="D116" s="19"/>
      <c r="E116" s="51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19"/>
      <c r="BI116" s="19"/>
      <c r="BJ116" s="57"/>
      <c r="BK116" s="27"/>
      <c r="BL116" s="27"/>
      <c r="BM116" s="57"/>
      <c r="BN116" s="58"/>
      <c r="BO116" s="58"/>
      <c r="BP116" s="57"/>
      <c r="BQ116" s="19"/>
      <c r="BR116" s="19"/>
      <c r="BS116" s="57"/>
      <c r="BT116" s="19"/>
      <c r="BU116" s="19"/>
      <c r="BV116" s="57"/>
      <c r="BW116" s="19"/>
      <c r="BX116" s="59"/>
      <c r="BY116" s="27"/>
      <c r="BZ116" s="59"/>
      <c r="CA116" s="19"/>
      <c r="CB116" s="19"/>
      <c r="CC116" s="57"/>
      <c r="CD116" s="59"/>
      <c r="CE116" s="59"/>
      <c r="CF116" s="59"/>
      <c r="CG116" s="59"/>
      <c r="CH116" s="19"/>
      <c r="CI116" s="19"/>
      <c r="CJ116" s="57"/>
      <c r="CK116" s="60"/>
      <c r="CL116" s="19"/>
      <c r="CM116" s="57"/>
      <c r="CN116" s="19"/>
      <c r="CO116" s="59"/>
      <c r="CP116" s="27"/>
      <c r="CQ116" s="59"/>
      <c r="CR116" s="19"/>
      <c r="CS116" s="19"/>
      <c r="CT116" s="57"/>
      <c r="CU116" s="19"/>
      <c r="CV116" s="19"/>
      <c r="CW116" s="27"/>
      <c r="CX116" s="27"/>
      <c r="CY116" s="19"/>
      <c r="CZ116" s="19"/>
      <c r="DA116" s="57"/>
      <c r="DB116" s="19"/>
      <c r="DC116" s="19"/>
      <c r="DD116" s="27"/>
      <c r="DE116" s="27"/>
      <c r="DF116" s="19"/>
      <c r="DG116" s="19"/>
      <c r="DH116" s="57"/>
      <c r="DI116" s="19"/>
      <c r="DJ116" s="19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59"/>
      <c r="ED116" s="59"/>
      <c r="EE116" s="14"/>
      <c r="EF116" s="14"/>
      <c r="EG116" s="14"/>
      <c r="EH116" s="14"/>
      <c r="GN116" s="46"/>
    </row>
    <row r="117" spans="1:196" x14ac:dyDescent="0.25">
      <c r="A117" s="50"/>
      <c r="B117" s="50"/>
      <c r="C117" s="50"/>
      <c r="D117" s="19"/>
      <c r="E117" s="51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19"/>
      <c r="BI117" s="19"/>
      <c r="BJ117" s="57"/>
      <c r="BK117" s="27"/>
      <c r="BL117" s="27"/>
      <c r="BM117" s="57"/>
      <c r="BN117" s="58"/>
      <c r="BO117" s="58"/>
      <c r="BP117" s="57"/>
      <c r="BQ117" s="19"/>
      <c r="BR117" s="19"/>
      <c r="BS117" s="57"/>
      <c r="BT117" s="19"/>
      <c r="BU117" s="19"/>
      <c r="BV117" s="57"/>
      <c r="BW117" s="19"/>
      <c r="BX117" s="59"/>
      <c r="BY117" s="27"/>
      <c r="BZ117" s="59"/>
      <c r="CA117" s="19"/>
      <c r="CB117" s="19"/>
      <c r="CC117" s="57"/>
      <c r="CD117" s="59"/>
      <c r="CE117" s="59"/>
      <c r="CF117" s="59"/>
      <c r="CG117" s="59"/>
      <c r="CH117" s="19"/>
      <c r="CI117" s="19"/>
      <c r="CJ117" s="57"/>
      <c r="CK117" s="60"/>
      <c r="CL117" s="19"/>
      <c r="CM117" s="57"/>
      <c r="CN117" s="19"/>
      <c r="CO117" s="59"/>
      <c r="CP117" s="27"/>
      <c r="CQ117" s="59"/>
      <c r="CR117" s="19"/>
      <c r="CS117" s="19"/>
      <c r="CT117" s="57"/>
      <c r="CU117" s="19"/>
      <c r="CV117" s="19"/>
      <c r="CW117" s="27"/>
      <c r="CX117" s="27"/>
      <c r="CY117" s="19"/>
      <c r="CZ117" s="19"/>
      <c r="DA117" s="57"/>
      <c r="DB117" s="19"/>
      <c r="DC117" s="19"/>
      <c r="DD117" s="27"/>
      <c r="DE117" s="27"/>
      <c r="DF117" s="19"/>
      <c r="DG117" s="19"/>
      <c r="DH117" s="57"/>
      <c r="DI117" s="19"/>
      <c r="DJ117" s="19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59"/>
      <c r="ED117" s="59"/>
      <c r="EE117" s="14"/>
      <c r="EF117" s="14"/>
      <c r="EG117" s="14"/>
      <c r="EH117" s="14"/>
      <c r="GN117" s="46"/>
    </row>
    <row r="118" spans="1:196" x14ac:dyDescent="0.25">
      <c r="A118" s="50"/>
      <c r="B118" s="50"/>
      <c r="C118" s="50"/>
      <c r="D118" s="19"/>
      <c r="E118" s="51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19"/>
      <c r="BI118" s="19"/>
      <c r="BJ118" s="57"/>
      <c r="BK118" s="27"/>
      <c r="BL118" s="27"/>
      <c r="BM118" s="57"/>
      <c r="BN118" s="58"/>
      <c r="BO118" s="58"/>
      <c r="BP118" s="57"/>
      <c r="BQ118" s="19"/>
      <c r="BR118" s="19"/>
      <c r="BS118" s="57"/>
      <c r="BT118" s="19"/>
      <c r="BU118" s="19"/>
      <c r="BV118" s="57"/>
      <c r="BW118" s="19"/>
      <c r="BX118" s="59"/>
      <c r="BY118" s="27"/>
      <c r="BZ118" s="59"/>
      <c r="CA118" s="19"/>
      <c r="CB118" s="19"/>
      <c r="CC118" s="57"/>
      <c r="CD118" s="59"/>
      <c r="CE118" s="59"/>
      <c r="CF118" s="59"/>
      <c r="CG118" s="59"/>
      <c r="CH118" s="19"/>
      <c r="CI118" s="19"/>
      <c r="CJ118" s="57"/>
      <c r="CK118" s="60"/>
      <c r="CL118" s="19"/>
      <c r="CM118" s="57"/>
      <c r="CN118" s="19"/>
      <c r="CO118" s="59"/>
      <c r="CP118" s="27"/>
      <c r="CQ118" s="59"/>
      <c r="CR118" s="19"/>
      <c r="CS118" s="19"/>
      <c r="CT118" s="57"/>
      <c r="CU118" s="19"/>
      <c r="CV118" s="19"/>
      <c r="CW118" s="27"/>
      <c r="CX118" s="27"/>
      <c r="CY118" s="19"/>
      <c r="CZ118" s="19"/>
      <c r="DA118" s="57"/>
      <c r="DB118" s="19"/>
      <c r="DC118" s="19"/>
      <c r="DD118" s="27"/>
      <c r="DE118" s="27"/>
      <c r="DF118" s="19"/>
      <c r="DG118" s="19"/>
      <c r="DH118" s="57"/>
      <c r="DI118" s="19"/>
      <c r="DJ118" s="19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59"/>
      <c r="ED118" s="59"/>
      <c r="EE118" s="14"/>
      <c r="EF118" s="14"/>
      <c r="EG118" s="14"/>
      <c r="EH118" s="14"/>
      <c r="GN118" s="46"/>
    </row>
    <row r="119" spans="1:196" x14ac:dyDescent="0.25">
      <c r="A119" s="50"/>
      <c r="B119" s="50"/>
      <c r="C119" s="50"/>
      <c r="D119" s="19"/>
      <c r="E119" s="51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19"/>
      <c r="BI119" s="19"/>
      <c r="BJ119" s="57"/>
      <c r="BK119" s="27"/>
      <c r="BL119" s="27"/>
      <c r="BM119" s="57"/>
      <c r="BN119" s="58"/>
      <c r="BO119" s="58"/>
      <c r="BP119" s="57"/>
      <c r="BQ119" s="19"/>
      <c r="BR119" s="19"/>
      <c r="BS119" s="57"/>
      <c r="BT119" s="19"/>
      <c r="BU119" s="19"/>
      <c r="BV119" s="57"/>
      <c r="BW119" s="19"/>
      <c r="BX119" s="59"/>
      <c r="BY119" s="27"/>
      <c r="BZ119" s="59"/>
      <c r="CA119" s="19"/>
      <c r="CB119" s="19"/>
      <c r="CC119" s="57"/>
      <c r="CD119" s="59"/>
      <c r="CE119" s="59"/>
      <c r="CF119" s="59"/>
      <c r="CG119" s="59"/>
      <c r="CH119" s="19"/>
      <c r="CI119" s="19"/>
      <c r="CJ119" s="57"/>
      <c r="CK119" s="60"/>
      <c r="CL119" s="19"/>
      <c r="CM119" s="57"/>
      <c r="CN119" s="19"/>
      <c r="CO119" s="59"/>
      <c r="CP119" s="27"/>
      <c r="CQ119" s="59"/>
      <c r="CR119" s="19"/>
      <c r="CS119" s="19"/>
      <c r="CT119" s="57"/>
      <c r="CU119" s="19"/>
      <c r="CV119" s="19"/>
      <c r="CW119" s="27"/>
      <c r="CX119" s="27"/>
      <c r="CY119" s="19"/>
      <c r="CZ119" s="19"/>
      <c r="DA119" s="57"/>
      <c r="DB119" s="19"/>
      <c r="DC119" s="19"/>
      <c r="DD119" s="27"/>
      <c r="DE119" s="27"/>
      <c r="DF119" s="19"/>
      <c r="DG119" s="19"/>
      <c r="DH119" s="57"/>
      <c r="DI119" s="19"/>
      <c r="DJ119" s="19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59"/>
      <c r="ED119" s="59"/>
      <c r="EE119" s="14"/>
      <c r="EF119" s="14"/>
      <c r="EG119" s="14"/>
      <c r="EH119" s="14"/>
      <c r="GN119" s="46"/>
    </row>
    <row r="120" spans="1:196" x14ac:dyDescent="0.25">
      <c r="A120" s="50"/>
      <c r="B120" s="50"/>
      <c r="C120" s="50"/>
      <c r="D120" s="19"/>
      <c r="E120" s="5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19"/>
      <c r="BI120" s="19"/>
      <c r="BJ120" s="57"/>
      <c r="BK120" s="27"/>
      <c r="BL120" s="27"/>
      <c r="BM120" s="57"/>
      <c r="BN120" s="58"/>
      <c r="BO120" s="58"/>
      <c r="BP120" s="57"/>
      <c r="BQ120" s="19"/>
      <c r="BR120" s="19"/>
      <c r="BS120" s="57"/>
      <c r="BT120" s="19"/>
      <c r="BU120" s="19"/>
      <c r="BV120" s="57"/>
      <c r="BW120" s="19"/>
      <c r="BX120" s="59"/>
      <c r="BY120" s="27"/>
      <c r="BZ120" s="59"/>
      <c r="CA120" s="19"/>
      <c r="CB120" s="19"/>
      <c r="CC120" s="57"/>
      <c r="CD120" s="59"/>
      <c r="CE120" s="59"/>
      <c r="CF120" s="59"/>
      <c r="CG120" s="59"/>
      <c r="CH120" s="19"/>
      <c r="CI120" s="19"/>
      <c r="CJ120" s="57"/>
      <c r="CK120" s="60"/>
      <c r="CL120" s="19"/>
      <c r="CM120" s="57"/>
      <c r="CN120" s="19"/>
      <c r="CO120" s="59"/>
      <c r="CP120" s="27"/>
      <c r="CQ120" s="59"/>
      <c r="CR120" s="19"/>
      <c r="CS120" s="19"/>
      <c r="CT120" s="57"/>
      <c r="CU120" s="19"/>
      <c r="CV120" s="19"/>
      <c r="CW120" s="27"/>
      <c r="CX120" s="27"/>
      <c r="CY120" s="19"/>
      <c r="CZ120" s="19"/>
      <c r="DA120" s="57"/>
      <c r="DB120" s="19"/>
      <c r="DC120" s="19"/>
      <c r="DD120" s="27"/>
      <c r="DE120" s="27"/>
      <c r="DF120" s="19"/>
      <c r="DG120" s="19"/>
      <c r="DH120" s="57"/>
      <c r="DI120" s="19"/>
      <c r="DJ120" s="19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59"/>
      <c r="ED120" s="59"/>
      <c r="EE120" s="14"/>
      <c r="EF120" s="14"/>
      <c r="EG120" s="14"/>
      <c r="EH120" s="14"/>
      <c r="GN120" s="46"/>
    </row>
    <row r="121" spans="1:196" x14ac:dyDescent="0.25">
      <c r="A121" s="50"/>
      <c r="B121" s="50"/>
      <c r="C121" s="50"/>
      <c r="D121" s="19"/>
      <c r="E121" s="51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19"/>
      <c r="BI121" s="19"/>
      <c r="BJ121" s="57"/>
      <c r="BK121" s="27"/>
      <c r="BL121" s="27"/>
      <c r="BM121" s="57"/>
      <c r="BN121" s="58"/>
      <c r="BO121" s="58"/>
      <c r="BP121" s="57"/>
      <c r="BQ121" s="19"/>
      <c r="BR121" s="19"/>
      <c r="BS121" s="57"/>
      <c r="BT121" s="19"/>
      <c r="BU121" s="19"/>
      <c r="BV121" s="57"/>
      <c r="BW121" s="19"/>
      <c r="BX121" s="59"/>
      <c r="BY121" s="27"/>
      <c r="BZ121" s="59"/>
      <c r="CA121" s="19"/>
      <c r="CB121" s="19"/>
      <c r="CC121" s="57"/>
      <c r="CD121" s="59"/>
      <c r="CE121" s="59"/>
      <c r="CF121" s="59"/>
      <c r="CG121" s="59"/>
      <c r="CH121" s="19"/>
      <c r="CI121" s="19"/>
      <c r="CJ121" s="57"/>
      <c r="CK121" s="60"/>
      <c r="CL121" s="19"/>
      <c r="CM121" s="57"/>
      <c r="CN121" s="19"/>
      <c r="CO121" s="59"/>
      <c r="CP121" s="27"/>
      <c r="CQ121" s="59"/>
      <c r="CR121" s="19"/>
      <c r="CS121" s="19"/>
      <c r="CT121" s="57"/>
      <c r="CU121" s="19"/>
      <c r="CV121" s="19"/>
      <c r="CW121" s="27"/>
      <c r="CX121" s="27"/>
      <c r="CY121" s="19"/>
      <c r="CZ121" s="19"/>
      <c r="DA121" s="57"/>
      <c r="DB121" s="19"/>
      <c r="DC121" s="19"/>
      <c r="DD121" s="27"/>
      <c r="DE121" s="27"/>
      <c r="DF121" s="19"/>
      <c r="DG121" s="19"/>
      <c r="DH121" s="57"/>
      <c r="DI121" s="19"/>
      <c r="DJ121" s="19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59"/>
      <c r="ED121" s="59"/>
      <c r="EE121" s="14"/>
      <c r="EF121" s="14"/>
      <c r="EG121" s="14"/>
      <c r="EH121" s="14"/>
      <c r="GN121" s="46"/>
    </row>
    <row r="122" spans="1:196" x14ac:dyDescent="0.25">
      <c r="A122" s="50"/>
      <c r="B122" s="50"/>
      <c r="C122" s="50"/>
      <c r="D122" s="19"/>
      <c r="E122" s="51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19"/>
      <c r="BI122" s="19"/>
      <c r="BJ122" s="57"/>
      <c r="BK122" s="27"/>
      <c r="BL122" s="27"/>
      <c r="BM122" s="57"/>
      <c r="BN122" s="58"/>
      <c r="BO122" s="58"/>
      <c r="BP122" s="57"/>
      <c r="BQ122" s="19"/>
      <c r="BR122" s="19"/>
      <c r="BS122" s="57"/>
      <c r="BT122" s="19"/>
      <c r="BU122" s="19"/>
      <c r="BV122" s="57"/>
      <c r="BW122" s="19"/>
      <c r="BX122" s="59"/>
      <c r="BY122" s="27"/>
      <c r="BZ122" s="59"/>
      <c r="CA122" s="19"/>
      <c r="CB122" s="19"/>
      <c r="CC122" s="57"/>
      <c r="CD122" s="59"/>
      <c r="CE122" s="59"/>
      <c r="CF122" s="59"/>
      <c r="CG122" s="59"/>
      <c r="CH122" s="19"/>
      <c r="CI122" s="19"/>
      <c r="CJ122" s="57"/>
      <c r="CK122" s="60"/>
      <c r="CL122" s="19"/>
      <c r="CM122" s="57"/>
      <c r="CN122" s="19"/>
      <c r="CO122" s="59"/>
      <c r="CP122" s="27"/>
      <c r="CQ122" s="59"/>
      <c r="CR122" s="19"/>
      <c r="CS122" s="19"/>
      <c r="CT122" s="57"/>
      <c r="CU122" s="19"/>
      <c r="CV122" s="19"/>
      <c r="CW122" s="27"/>
      <c r="CX122" s="27"/>
      <c r="CY122" s="19"/>
      <c r="CZ122" s="19"/>
      <c r="DA122" s="57"/>
      <c r="DB122" s="19"/>
      <c r="DC122" s="19"/>
      <c r="DD122" s="27"/>
      <c r="DE122" s="27"/>
      <c r="DF122" s="19"/>
      <c r="DG122" s="19"/>
      <c r="DH122" s="57"/>
      <c r="DI122" s="19"/>
      <c r="DJ122" s="19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59"/>
      <c r="ED122" s="59"/>
      <c r="EE122" s="14"/>
      <c r="EF122" s="14"/>
      <c r="EG122" s="14"/>
      <c r="EH122" s="14"/>
      <c r="GN122" s="46"/>
    </row>
    <row r="123" spans="1:196" x14ac:dyDescent="0.25">
      <c r="A123" s="50"/>
      <c r="B123" s="50"/>
      <c r="C123" s="50"/>
      <c r="D123" s="19"/>
      <c r="E123" s="51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19"/>
      <c r="BI123" s="19"/>
      <c r="BJ123" s="57"/>
      <c r="BK123" s="27"/>
      <c r="BL123" s="27"/>
      <c r="BM123" s="57"/>
      <c r="BN123" s="58"/>
      <c r="BO123" s="58"/>
      <c r="BP123" s="57"/>
      <c r="BQ123" s="19"/>
      <c r="BR123" s="19"/>
      <c r="BS123" s="57"/>
      <c r="BT123" s="19"/>
      <c r="BU123" s="19"/>
      <c r="BV123" s="57"/>
      <c r="BW123" s="19"/>
      <c r="BX123" s="59"/>
      <c r="BY123" s="27"/>
      <c r="BZ123" s="59"/>
      <c r="CA123" s="19"/>
      <c r="CB123" s="19"/>
      <c r="CC123" s="57"/>
      <c r="CD123" s="59"/>
      <c r="CE123" s="59"/>
      <c r="CF123" s="59"/>
      <c r="CG123" s="59"/>
      <c r="CH123" s="19"/>
      <c r="CI123" s="19"/>
      <c r="CJ123" s="57"/>
      <c r="CK123" s="60"/>
      <c r="CL123" s="19"/>
      <c r="CM123" s="57"/>
      <c r="CN123" s="19"/>
      <c r="CO123" s="59"/>
      <c r="CP123" s="27"/>
      <c r="CQ123" s="59"/>
      <c r="CR123" s="19"/>
      <c r="CS123" s="19"/>
      <c r="CT123" s="57"/>
      <c r="CU123" s="19"/>
      <c r="CV123" s="19"/>
      <c r="CW123" s="27"/>
      <c r="CX123" s="27"/>
      <c r="CY123" s="19"/>
      <c r="CZ123" s="19"/>
      <c r="DA123" s="57"/>
      <c r="DB123" s="19"/>
      <c r="DC123" s="19"/>
      <c r="DD123" s="27"/>
      <c r="DE123" s="27"/>
      <c r="DF123" s="19"/>
      <c r="DG123" s="19"/>
      <c r="DH123" s="57"/>
      <c r="DI123" s="19"/>
      <c r="DJ123" s="19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59"/>
      <c r="ED123" s="59"/>
      <c r="EE123" s="14"/>
      <c r="EF123" s="14"/>
      <c r="EG123" s="14"/>
      <c r="EH123" s="14"/>
      <c r="GN123" s="46"/>
    </row>
    <row r="124" spans="1:196" x14ac:dyDescent="0.25">
      <c r="A124" s="50"/>
      <c r="B124" s="50"/>
      <c r="C124" s="50"/>
      <c r="D124" s="19"/>
      <c r="E124" s="51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19"/>
      <c r="BI124" s="19"/>
      <c r="BJ124" s="57"/>
      <c r="BK124" s="27"/>
      <c r="BL124" s="27"/>
      <c r="BM124" s="57"/>
      <c r="BN124" s="58"/>
      <c r="BO124" s="58"/>
      <c r="BP124" s="57"/>
      <c r="BQ124" s="19"/>
      <c r="BR124" s="19"/>
      <c r="BS124" s="57"/>
      <c r="BT124" s="19"/>
      <c r="BU124" s="19"/>
      <c r="BV124" s="57"/>
      <c r="BW124" s="19"/>
      <c r="BX124" s="59"/>
      <c r="BY124" s="27"/>
      <c r="BZ124" s="59"/>
      <c r="CA124" s="19"/>
      <c r="CB124" s="19"/>
      <c r="CC124" s="57"/>
      <c r="CD124" s="59"/>
      <c r="CE124" s="59"/>
      <c r="CF124" s="59"/>
      <c r="CG124" s="59"/>
      <c r="CH124" s="19"/>
      <c r="CI124" s="19"/>
      <c r="CJ124" s="57"/>
      <c r="CK124" s="60"/>
      <c r="CL124" s="19"/>
      <c r="CM124" s="57"/>
      <c r="CN124" s="19"/>
      <c r="CO124" s="59"/>
      <c r="CP124" s="27"/>
      <c r="CQ124" s="59"/>
      <c r="CR124" s="19"/>
      <c r="CS124" s="19"/>
      <c r="CT124" s="57"/>
      <c r="CU124" s="19"/>
      <c r="CV124" s="19"/>
      <c r="CW124" s="27"/>
      <c r="CX124" s="27"/>
      <c r="CY124" s="19"/>
      <c r="CZ124" s="19"/>
      <c r="DA124" s="57"/>
      <c r="DB124" s="19"/>
      <c r="DC124" s="19"/>
      <c r="DD124" s="27"/>
      <c r="DE124" s="27"/>
      <c r="DF124" s="19"/>
      <c r="DG124" s="19"/>
      <c r="DH124" s="57"/>
      <c r="DI124" s="19"/>
      <c r="DJ124" s="19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59"/>
      <c r="ED124" s="59"/>
      <c r="EE124" s="14"/>
      <c r="EF124" s="14"/>
      <c r="EG124" s="14"/>
      <c r="EH124" s="14"/>
      <c r="GN124" s="46"/>
    </row>
    <row r="125" spans="1:196" x14ac:dyDescent="0.25">
      <c r="A125" s="50"/>
      <c r="B125" s="50"/>
      <c r="C125" s="50"/>
      <c r="D125" s="19"/>
      <c r="E125" s="51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19"/>
      <c r="BI125" s="19"/>
      <c r="BJ125" s="57"/>
      <c r="BK125" s="27"/>
      <c r="BL125" s="27"/>
      <c r="BM125" s="57"/>
      <c r="BN125" s="58"/>
      <c r="BO125" s="58"/>
      <c r="BP125" s="57"/>
      <c r="BQ125" s="19"/>
      <c r="BR125" s="19"/>
      <c r="BS125" s="57"/>
      <c r="BT125" s="19"/>
      <c r="BU125" s="19"/>
      <c r="BV125" s="57"/>
      <c r="BW125" s="19"/>
      <c r="BX125" s="59"/>
      <c r="BY125" s="27"/>
      <c r="BZ125" s="59"/>
      <c r="CA125" s="19"/>
      <c r="CB125" s="19"/>
      <c r="CC125" s="57"/>
      <c r="CD125" s="59"/>
      <c r="CE125" s="59"/>
      <c r="CF125" s="59"/>
      <c r="CG125" s="59"/>
      <c r="CH125" s="19"/>
      <c r="CI125" s="19"/>
      <c r="CJ125" s="57"/>
      <c r="CK125" s="60"/>
      <c r="CL125" s="19"/>
      <c r="CM125" s="57"/>
      <c r="CN125" s="19"/>
      <c r="CO125" s="59"/>
      <c r="CP125" s="27"/>
      <c r="CQ125" s="59"/>
      <c r="CR125" s="19"/>
      <c r="CS125" s="19"/>
      <c r="CT125" s="57"/>
      <c r="CU125" s="19"/>
      <c r="CV125" s="19"/>
      <c r="CW125" s="27"/>
      <c r="CX125" s="27"/>
      <c r="CY125" s="19"/>
      <c r="CZ125" s="19"/>
      <c r="DA125" s="57"/>
      <c r="DB125" s="19"/>
      <c r="DC125" s="19"/>
      <c r="DD125" s="27"/>
      <c r="DE125" s="27"/>
      <c r="DF125" s="19"/>
      <c r="DG125" s="19"/>
      <c r="DH125" s="57"/>
      <c r="DI125" s="19"/>
      <c r="DJ125" s="19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59"/>
      <c r="ED125" s="59"/>
      <c r="EE125" s="14"/>
      <c r="EF125" s="14"/>
      <c r="EG125" s="14"/>
      <c r="EH125" s="14"/>
      <c r="GN125" s="46"/>
    </row>
    <row r="126" spans="1:196" x14ac:dyDescent="0.25">
      <c r="A126" s="50"/>
      <c r="B126" s="50"/>
      <c r="C126" s="50"/>
      <c r="D126" s="19"/>
      <c r="E126" s="51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19"/>
      <c r="BI126" s="19"/>
      <c r="BJ126" s="57"/>
      <c r="BK126" s="27"/>
      <c r="BL126" s="27"/>
      <c r="BM126" s="57"/>
      <c r="BN126" s="58"/>
      <c r="BO126" s="58"/>
      <c r="BP126" s="57"/>
      <c r="BQ126" s="19"/>
      <c r="BR126" s="19"/>
      <c r="BS126" s="57"/>
      <c r="BT126" s="19"/>
      <c r="BU126" s="19"/>
      <c r="BV126" s="57"/>
      <c r="BW126" s="19"/>
      <c r="BX126" s="59"/>
      <c r="BY126" s="27"/>
      <c r="BZ126" s="59"/>
      <c r="CA126" s="19"/>
      <c r="CB126" s="19"/>
      <c r="CC126" s="57"/>
      <c r="CD126" s="59"/>
      <c r="CE126" s="59"/>
      <c r="CF126" s="59"/>
      <c r="CG126" s="59"/>
      <c r="CH126" s="19"/>
      <c r="CI126" s="19"/>
      <c r="CJ126" s="57"/>
      <c r="CK126" s="60"/>
      <c r="CL126" s="19"/>
      <c r="CM126" s="57"/>
      <c r="CN126" s="19"/>
      <c r="CO126" s="59"/>
      <c r="CP126" s="27"/>
      <c r="CQ126" s="59"/>
      <c r="CR126" s="19"/>
      <c r="CS126" s="19"/>
      <c r="CT126" s="57"/>
      <c r="CU126" s="19"/>
      <c r="CV126" s="19"/>
      <c r="CW126" s="27"/>
      <c r="CX126" s="27"/>
      <c r="CY126" s="19"/>
      <c r="CZ126" s="19"/>
      <c r="DA126" s="57"/>
      <c r="DB126" s="19"/>
      <c r="DC126" s="19"/>
      <c r="DD126" s="27"/>
      <c r="DE126" s="27"/>
      <c r="DF126" s="19"/>
      <c r="DG126" s="19"/>
      <c r="DH126" s="57"/>
      <c r="DI126" s="19"/>
      <c r="DJ126" s="19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59"/>
      <c r="ED126" s="59"/>
      <c r="EE126" s="14"/>
      <c r="EF126" s="14"/>
      <c r="EG126" s="14"/>
      <c r="EH126" s="14"/>
      <c r="GN126" s="46"/>
    </row>
    <row r="127" spans="1:196" x14ac:dyDescent="0.25">
      <c r="A127" s="50"/>
      <c r="B127" s="50"/>
      <c r="C127" s="50"/>
      <c r="D127" s="19"/>
      <c r="E127" s="51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19"/>
      <c r="BI127" s="19"/>
      <c r="BJ127" s="57"/>
      <c r="BK127" s="27"/>
      <c r="BL127" s="27"/>
      <c r="BM127" s="57"/>
      <c r="BN127" s="58"/>
      <c r="BO127" s="58"/>
      <c r="BP127" s="57"/>
      <c r="BQ127" s="19"/>
      <c r="BR127" s="19"/>
      <c r="BS127" s="57"/>
      <c r="BT127" s="19"/>
      <c r="BU127" s="19"/>
      <c r="BV127" s="57"/>
      <c r="BW127" s="19"/>
      <c r="BX127" s="59"/>
      <c r="BY127" s="27"/>
      <c r="BZ127" s="59"/>
      <c r="CA127" s="19"/>
      <c r="CB127" s="19"/>
      <c r="CC127" s="57"/>
      <c r="CD127" s="59"/>
      <c r="CE127" s="59"/>
      <c r="CF127" s="59"/>
      <c r="CG127" s="59"/>
      <c r="CH127" s="19"/>
      <c r="CI127" s="19"/>
      <c r="CJ127" s="57"/>
      <c r="CK127" s="60"/>
      <c r="CL127" s="19"/>
      <c r="CM127" s="57"/>
      <c r="CN127" s="19"/>
      <c r="CO127" s="59"/>
      <c r="CP127" s="27"/>
      <c r="CQ127" s="59"/>
      <c r="CR127" s="19"/>
      <c r="CS127" s="19"/>
      <c r="CT127" s="57"/>
      <c r="CU127" s="19"/>
      <c r="CV127" s="19"/>
      <c r="CW127" s="27"/>
      <c r="CX127" s="27"/>
      <c r="CY127" s="19"/>
      <c r="CZ127" s="19"/>
      <c r="DA127" s="57"/>
      <c r="DB127" s="19"/>
      <c r="DC127" s="19"/>
      <c r="DD127" s="27"/>
      <c r="DE127" s="27"/>
      <c r="DF127" s="19"/>
      <c r="DG127" s="19"/>
      <c r="DH127" s="57"/>
      <c r="DI127" s="19"/>
      <c r="DJ127" s="19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59"/>
      <c r="ED127" s="59"/>
      <c r="EE127" s="14"/>
      <c r="EF127" s="14"/>
      <c r="EG127" s="14"/>
      <c r="EH127" s="14"/>
      <c r="GN127" s="46"/>
    </row>
    <row r="128" spans="1:196" x14ac:dyDescent="0.25">
      <c r="A128" s="50"/>
      <c r="B128" s="50"/>
      <c r="C128" s="50"/>
      <c r="D128" s="19"/>
      <c r="E128" s="51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19"/>
      <c r="BI128" s="19"/>
      <c r="BJ128" s="57"/>
      <c r="BK128" s="27"/>
      <c r="BL128" s="27"/>
      <c r="BM128" s="57"/>
      <c r="BN128" s="58"/>
      <c r="BO128" s="58"/>
      <c r="BP128" s="57"/>
      <c r="BQ128" s="19"/>
      <c r="BR128" s="19"/>
      <c r="BS128" s="57"/>
      <c r="BT128" s="19"/>
      <c r="BU128" s="19"/>
      <c r="BV128" s="57"/>
      <c r="BW128" s="19"/>
      <c r="BX128" s="59"/>
      <c r="BY128" s="27"/>
      <c r="BZ128" s="59"/>
      <c r="CA128" s="19"/>
      <c r="CB128" s="19"/>
      <c r="CC128" s="57"/>
      <c r="CD128" s="59"/>
      <c r="CE128" s="59"/>
      <c r="CF128" s="59"/>
      <c r="CG128" s="59"/>
      <c r="CH128" s="19"/>
      <c r="CI128" s="19"/>
      <c r="CJ128" s="57"/>
      <c r="CK128" s="60"/>
      <c r="CL128" s="19"/>
      <c r="CM128" s="57"/>
      <c r="CN128" s="19"/>
      <c r="CO128" s="59"/>
      <c r="CP128" s="27"/>
      <c r="CQ128" s="59"/>
      <c r="CR128" s="19"/>
      <c r="CS128" s="19"/>
      <c r="CT128" s="57"/>
      <c r="CU128" s="19"/>
      <c r="CV128" s="19"/>
      <c r="CW128" s="27"/>
      <c r="CX128" s="27"/>
      <c r="CY128" s="19"/>
      <c r="CZ128" s="19"/>
      <c r="DA128" s="57"/>
      <c r="DB128" s="19"/>
      <c r="DC128" s="19"/>
      <c r="DD128" s="27"/>
      <c r="DE128" s="27"/>
      <c r="DF128" s="19"/>
      <c r="DG128" s="19"/>
      <c r="DH128" s="57"/>
      <c r="DI128" s="19"/>
      <c r="DJ128" s="19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59"/>
      <c r="ED128" s="59"/>
      <c r="EE128" s="14"/>
      <c r="EF128" s="14"/>
      <c r="EG128" s="14"/>
      <c r="EH128" s="14"/>
      <c r="GN128" s="46"/>
    </row>
    <row r="129" spans="1:196" x14ac:dyDescent="0.25">
      <c r="A129" s="50"/>
      <c r="B129" s="50"/>
      <c r="C129" s="50"/>
      <c r="D129" s="19"/>
      <c r="E129" s="51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19"/>
      <c r="BI129" s="19"/>
      <c r="BJ129" s="57"/>
      <c r="BK129" s="27"/>
      <c r="BL129" s="27"/>
      <c r="BM129" s="57"/>
      <c r="BN129" s="58"/>
      <c r="BO129" s="58"/>
      <c r="BP129" s="57"/>
      <c r="BQ129" s="19"/>
      <c r="BR129" s="19"/>
      <c r="BS129" s="57"/>
      <c r="BT129" s="19"/>
      <c r="BU129" s="19"/>
      <c r="BV129" s="57"/>
      <c r="BW129" s="19"/>
      <c r="BX129" s="59"/>
      <c r="BY129" s="27"/>
      <c r="BZ129" s="59"/>
      <c r="CA129" s="19"/>
      <c r="CB129" s="19"/>
      <c r="CC129" s="57"/>
      <c r="CD129" s="59"/>
      <c r="CE129" s="59"/>
      <c r="CF129" s="59"/>
      <c r="CG129" s="59"/>
      <c r="CH129" s="19"/>
      <c r="CI129" s="19"/>
      <c r="CJ129" s="57"/>
      <c r="CK129" s="60"/>
      <c r="CL129" s="19"/>
      <c r="CM129" s="57"/>
      <c r="CN129" s="19"/>
      <c r="CO129" s="59"/>
      <c r="CP129" s="27"/>
      <c r="CQ129" s="59"/>
      <c r="CR129" s="19"/>
      <c r="CS129" s="19"/>
      <c r="CT129" s="57"/>
      <c r="CU129" s="19"/>
      <c r="CV129" s="19"/>
      <c r="CW129" s="27"/>
      <c r="CX129" s="27"/>
      <c r="CY129" s="19"/>
      <c r="CZ129" s="19"/>
      <c r="DA129" s="57"/>
      <c r="DB129" s="19"/>
      <c r="DC129" s="19"/>
      <c r="DD129" s="27"/>
      <c r="DE129" s="27"/>
      <c r="DF129" s="19"/>
      <c r="DG129" s="19"/>
      <c r="DH129" s="57"/>
      <c r="DI129" s="19"/>
      <c r="DJ129" s="19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59"/>
      <c r="ED129" s="59"/>
      <c r="EE129" s="14"/>
      <c r="EF129" s="14"/>
      <c r="EG129" s="14"/>
      <c r="EH129" s="14"/>
      <c r="GN129" s="46"/>
    </row>
    <row r="130" spans="1:196" x14ac:dyDescent="0.25">
      <c r="A130" s="50"/>
      <c r="B130" s="50"/>
      <c r="C130" s="50"/>
      <c r="D130" s="19"/>
      <c r="E130" s="51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19"/>
      <c r="BI130" s="19"/>
      <c r="BJ130" s="57"/>
      <c r="BK130" s="27"/>
      <c r="BL130" s="27"/>
      <c r="BM130" s="57"/>
      <c r="BN130" s="58"/>
      <c r="BO130" s="58"/>
      <c r="BP130" s="57"/>
      <c r="BQ130" s="19"/>
      <c r="BR130" s="19"/>
      <c r="BS130" s="57"/>
      <c r="BT130" s="19"/>
      <c r="BU130" s="19"/>
      <c r="BV130" s="57"/>
      <c r="BW130" s="19"/>
      <c r="BX130" s="59"/>
      <c r="BY130" s="27"/>
      <c r="BZ130" s="59"/>
      <c r="CA130" s="19"/>
      <c r="CB130" s="19"/>
      <c r="CC130" s="57"/>
      <c r="CD130" s="59"/>
      <c r="CE130" s="59"/>
      <c r="CF130" s="59"/>
      <c r="CG130" s="59"/>
      <c r="CH130" s="19"/>
      <c r="CI130" s="19"/>
      <c r="CJ130" s="57"/>
      <c r="CK130" s="60"/>
      <c r="CL130" s="19"/>
      <c r="CM130" s="57"/>
      <c r="CN130" s="19"/>
      <c r="CO130" s="59"/>
      <c r="CP130" s="27"/>
      <c r="CQ130" s="59"/>
      <c r="CR130" s="19"/>
      <c r="CS130" s="19"/>
      <c r="CT130" s="57"/>
      <c r="CU130" s="19"/>
      <c r="CV130" s="19"/>
      <c r="CW130" s="27"/>
      <c r="CX130" s="27"/>
      <c r="CY130" s="19"/>
      <c r="CZ130" s="19"/>
      <c r="DA130" s="57"/>
      <c r="DB130" s="19"/>
      <c r="DC130" s="19"/>
      <c r="DD130" s="27"/>
      <c r="DE130" s="27"/>
      <c r="DF130" s="19"/>
      <c r="DG130" s="19"/>
      <c r="DH130" s="57"/>
      <c r="DI130" s="19"/>
      <c r="DJ130" s="19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59"/>
      <c r="ED130" s="59"/>
      <c r="EE130" s="14"/>
      <c r="EF130" s="14"/>
      <c r="EG130" s="14"/>
      <c r="EH130" s="14"/>
      <c r="GN130" s="46"/>
    </row>
    <row r="131" spans="1:196" x14ac:dyDescent="0.25">
      <c r="A131" s="50"/>
      <c r="B131" s="50"/>
      <c r="C131" s="50"/>
      <c r="D131" s="19"/>
      <c r="E131" s="51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19"/>
      <c r="BI131" s="19"/>
      <c r="BJ131" s="57"/>
      <c r="BK131" s="27"/>
      <c r="BL131" s="27"/>
      <c r="BM131" s="57"/>
      <c r="BN131" s="58"/>
      <c r="BO131" s="58"/>
      <c r="BP131" s="57"/>
      <c r="BQ131" s="19"/>
      <c r="BR131" s="19"/>
      <c r="BS131" s="57"/>
      <c r="BT131" s="19"/>
      <c r="BU131" s="19"/>
      <c r="BV131" s="57"/>
      <c r="BW131" s="19"/>
      <c r="BX131" s="59"/>
      <c r="BY131" s="27"/>
      <c r="BZ131" s="59"/>
      <c r="CA131" s="19"/>
      <c r="CB131" s="19"/>
      <c r="CC131" s="57"/>
      <c r="CD131" s="59"/>
      <c r="CE131" s="59"/>
      <c r="CF131" s="59"/>
      <c r="CG131" s="59"/>
      <c r="CH131" s="19"/>
      <c r="CI131" s="19"/>
      <c r="CJ131" s="57"/>
      <c r="CK131" s="60"/>
      <c r="CL131" s="19"/>
      <c r="CM131" s="57"/>
      <c r="CN131" s="19"/>
      <c r="CO131" s="59"/>
      <c r="CP131" s="27"/>
      <c r="CQ131" s="59"/>
      <c r="CR131" s="19"/>
      <c r="CS131" s="19"/>
      <c r="CT131" s="57"/>
      <c r="CU131" s="19"/>
      <c r="CV131" s="19"/>
      <c r="CW131" s="27"/>
      <c r="CX131" s="27"/>
      <c r="CY131" s="19"/>
      <c r="CZ131" s="19"/>
      <c r="DA131" s="57"/>
      <c r="DB131" s="19"/>
      <c r="DC131" s="19"/>
      <c r="DD131" s="27"/>
      <c r="DE131" s="27"/>
      <c r="DF131" s="19"/>
      <c r="DG131" s="19"/>
      <c r="DH131" s="57"/>
      <c r="DI131" s="19"/>
      <c r="DJ131" s="19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59"/>
      <c r="ED131" s="59"/>
      <c r="EE131" s="14"/>
      <c r="EF131" s="14"/>
      <c r="EG131" s="14"/>
      <c r="EH131" s="14"/>
      <c r="GN131" s="46"/>
    </row>
    <row r="132" spans="1:196" x14ac:dyDescent="0.25">
      <c r="A132" s="50"/>
      <c r="B132" s="50"/>
      <c r="C132" s="50"/>
      <c r="D132" s="19"/>
      <c r="E132" s="51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19"/>
      <c r="BI132" s="19"/>
      <c r="BJ132" s="57"/>
      <c r="BK132" s="27"/>
      <c r="BL132" s="27"/>
      <c r="BM132" s="57"/>
      <c r="BN132" s="58"/>
      <c r="BO132" s="58"/>
      <c r="BP132" s="57"/>
      <c r="BQ132" s="19"/>
      <c r="BR132" s="19"/>
      <c r="BS132" s="57"/>
      <c r="BT132" s="19"/>
      <c r="BU132" s="19"/>
      <c r="BV132" s="57"/>
      <c r="BW132" s="19"/>
      <c r="BX132" s="59"/>
      <c r="BY132" s="27"/>
      <c r="BZ132" s="59"/>
      <c r="CA132" s="19"/>
      <c r="CB132" s="19"/>
      <c r="CC132" s="57"/>
      <c r="CD132" s="59"/>
      <c r="CE132" s="59"/>
      <c r="CF132" s="59"/>
      <c r="CG132" s="59"/>
      <c r="CH132" s="19"/>
      <c r="CI132" s="19"/>
      <c r="CJ132" s="57"/>
      <c r="CK132" s="60"/>
      <c r="CL132" s="19"/>
      <c r="CM132" s="57"/>
      <c r="CN132" s="19"/>
      <c r="CO132" s="59"/>
      <c r="CP132" s="27"/>
      <c r="CQ132" s="59"/>
      <c r="CR132" s="19"/>
      <c r="CS132" s="19"/>
      <c r="CT132" s="57"/>
      <c r="CU132" s="19"/>
      <c r="CV132" s="19"/>
      <c r="CW132" s="27"/>
      <c r="CX132" s="27"/>
      <c r="CY132" s="19"/>
      <c r="CZ132" s="19"/>
      <c r="DA132" s="57"/>
      <c r="DB132" s="19"/>
      <c r="DC132" s="19"/>
      <c r="DD132" s="27"/>
      <c r="DE132" s="27"/>
      <c r="DF132" s="19"/>
      <c r="DG132" s="19"/>
      <c r="DH132" s="57"/>
      <c r="DI132" s="19"/>
      <c r="DJ132" s="19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59"/>
      <c r="ED132" s="59"/>
      <c r="EE132" s="14"/>
      <c r="EF132" s="14"/>
      <c r="EG132" s="14"/>
      <c r="EH132" s="14"/>
      <c r="GN132" s="46"/>
    </row>
    <row r="133" spans="1:196" x14ac:dyDescent="0.25">
      <c r="A133" s="50"/>
      <c r="B133" s="50"/>
      <c r="C133" s="50"/>
      <c r="D133" s="19"/>
      <c r="E133" s="51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19"/>
      <c r="BI133" s="19"/>
      <c r="BJ133" s="57"/>
      <c r="BK133" s="27"/>
      <c r="BL133" s="27"/>
      <c r="BM133" s="57"/>
      <c r="BN133" s="58"/>
      <c r="BO133" s="58"/>
      <c r="BP133" s="57"/>
      <c r="BQ133" s="19"/>
      <c r="BR133" s="19"/>
      <c r="BS133" s="57"/>
      <c r="BT133" s="19"/>
      <c r="BU133" s="19"/>
      <c r="BV133" s="57"/>
      <c r="BW133" s="19"/>
      <c r="BX133" s="59"/>
      <c r="BY133" s="27"/>
      <c r="BZ133" s="59"/>
      <c r="CA133" s="19"/>
      <c r="CB133" s="19"/>
      <c r="CC133" s="57"/>
      <c r="CD133" s="59"/>
      <c r="CE133" s="59"/>
      <c r="CF133" s="59"/>
      <c r="CG133" s="59"/>
      <c r="CH133" s="19"/>
      <c r="CI133" s="19"/>
      <c r="CJ133" s="57"/>
      <c r="CK133" s="60"/>
      <c r="CL133" s="19"/>
      <c r="CM133" s="57"/>
      <c r="CN133" s="19"/>
      <c r="CO133" s="59"/>
      <c r="CP133" s="27"/>
      <c r="CQ133" s="59"/>
      <c r="CR133" s="19"/>
      <c r="CS133" s="19"/>
      <c r="CT133" s="57"/>
      <c r="CU133" s="19"/>
      <c r="CV133" s="19"/>
      <c r="CW133" s="27"/>
      <c r="CX133" s="27"/>
      <c r="CY133" s="19"/>
      <c r="CZ133" s="19"/>
      <c r="DA133" s="57"/>
      <c r="DB133" s="19"/>
      <c r="DC133" s="19"/>
      <c r="DD133" s="27"/>
      <c r="DE133" s="27"/>
      <c r="DF133" s="19"/>
      <c r="DG133" s="19"/>
      <c r="DH133" s="57"/>
      <c r="DI133" s="19"/>
      <c r="DJ133" s="19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59"/>
      <c r="ED133" s="59"/>
      <c r="EE133" s="14"/>
      <c r="EF133" s="14"/>
      <c r="EG133" s="14"/>
      <c r="EH133" s="14"/>
      <c r="GN133" s="46"/>
    </row>
    <row r="134" spans="1:196" x14ac:dyDescent="0.25">
      <c r="A134" s="50"/>
      <c r="B134" s="50"/>
      <c r="C134" s="50"/>
      <c r="D134" s="19"/>
      <c r="E134" s="51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19"/>
      <c r="BI134" s="19"/>
      <c r="BJ134" s="57"/>
      <c r="BK134" s="27"/>
      <c r="BL134" s="27"/>
      <c r="BM134" s="57"/>
      <c r="BN134" s="58"/>
      <c r="BO134" s="58"/>
      <c r="BP134" s="57"/>
      <c r="BQ134" s="19"/>
      <c r="BR134" s="19"/>
      <c r="BS134" s="57"/>
      <c r="BT134" s="19"/>
      <c r="BU134" s="19"/>
      <c r="BV134" s="57"/>
      <c r="BW134" s="19"/>
      <c r="BX134" s="59"/>
      <c r="BY134" s="27"/>
      <c r="BZ134" s="59"/>
      <c r="CA134" s="19"/>
      <c r="CB134" s="19"/>
      <c r="CC134" s="57"/>
      <c r="CD134" s="59"/>
      <c r="CE134" s="59"/>
      <c r="CF134" s="59"/>
      <c r="CG134" s="59"/>
      <c r="CH134" s="19"/>
      <c r="CI134" s="19"/>
      <c r="CJ134" s="57"/>
      <c r="CK134" s="60"/>
      <c r="CL134" s="19"/>
      <c r="CM134" s="57"/>
      <c r="CN134" s="19"/>
      <c r="CO134" s="59"/>
      <c r="CP134" s="27"/>
      <c r="CQ134" s="59"/>
      <c r="CR134" s="19"/>
      <c r="CS134" s="19"/>
      <c r="CT134" s="57"/>
      <c r="CU134" s="19"/>
      <c r="CV134" s="19"/>
      <c r="CW134" s="27"/>
      <c r="CX134" s="27"/>
      <c r="CY134" s="19"/>
      <c r="CZ134" s="19"/>
      <c r="DA134" s="57"/>
      <c r="DB134" s="19"/>
      <c r="DC134" s="19"/>
      <c r="DD134" s="27"/>
      <c r="DE134" s="27"/>
      <c r="DF134" s="19"/>
      <c r="DG134" s="19"/>
      <c r="DH134" s="57"/>
      <c r="DI134" s="19"/>
      <c r="DJ134" s="19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59"/>
      <c r="ED134" s="59"/>
      <c r="EE134" s="14"/>
      <c r="EF134" s="14"/>
      <c r="EG134" s="14"/>
      <c r="EH134" s="14"/>
      <c r="GN134" s="46"/>
    </row>
    <row r="135" spans="1:196" x14ac:dyDescent="0.25">
      <c r="A135" s="50"/>
      <c r="B135" s="50"/>
      <c r="C135" s="50"/>
      <c r="D135" s="19"/>
      <c r="E135" s="51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19"/>
      <c r="BI135" s="19"/>
      <c r="BJ135" s="57"/>
      <c r="BK135" s="27"/>
      <c r="BL135" s="27"/>
      <c r="BM135" s="57"/>
      <c r="BN135" s="58"/>
      <c r="BO135" s="58"/>
      <c r="BP135" s="57"/>
      <c r="BQ135" s="19"/>
      <c r="BR135" s="19"/>
      <c r="BS135" s="57"/>
      <c r="BT135" s="19"/>
      <c r="BU135" s="19"/>
      <c r="BV135" s="57"/>
      <c r="BW135" s="19"/>
      <c r="BX135" s="59"/>
      <c r="BY135" s="27"/>
      <c r="BZ135" s="59"/>
      <c r="CA135" s="19"/>
      <c r="CB135" s="19"/>
      <c r="CC135" s="57"/>
      <c r="CD135" s="59"/>
      <c r="CE135" s="59"/>
      <c r="CF135" s="59"/>
      <c r="CG135" s="59"/>
      <c r="CH135" s="19"/>
      <c r="CI135" s="19"/>
      <c r="CJ135" s="57"/>
      <c r="CK135" s="60"/>
      <c r="CL135" s="19"/>
      <c r="CM135" s="57"/>
      <c r="CN135" s="19"/>
      <c r="CO135" s="59"/>
      <c r="CP135" s="27"/>
      <c r="CQ135" s="59"/>
      <c r="CR135" s="19"/>
      <c r="CS135" s="19"/>
      <c r="CT135" s="57"/>
      <c r="CU135" s="19"/>
      <c r="CV135" s="19"/>
      <c r="CW135" s="27"/>
      <c r="CX135" s="27"/>
      <c r="CY135" s="19"/>
      <c r="CZ135" s="19"/>
      <c r="DA135" s="57"/>
      <c r="DB135" s="19"/>
      <c r="DC135" s="19"/>
      <c r="DD135" s="27"/>
      <c r="DE135" s="27"/>
      <c r="DF135" s="19"/>
      <c r="DG135" s="19"/>
      <c r="DH135" s="57"/>
      <c r="DI135" s="19"/>
      <c r="DJ135" s="19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59"/>
      <c r="ED135" s="59"/>
      <c r="EE135" s="14"/>
      <c r="EF135" s="14"/>
      <c r="EG135" s="14"/>
      <c r="EH135" s="14"/>
      <c r="GN135" s="46"/>
    </row>
    <row r="136" spans="1:196" x14ac:dyDescent="0.25">
      <c r="A136" s="50"/>
      <c r="B136" s="50"/>
      <c r="C136" s="50"/>
      <c r="D136" s="19"/>
      <c r="E136" s="51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19"/>
      <c r="BI136" s="19"/>
      <c r="BJ136" s="57"/>
      <c r="BK136" s="27"/>
      <c r="BL136" s="27"/>
      <c r="BM136" s="57"/>
      <c r="BN136" s="58"/>
      <c r="BO136" s="58"/>
      <c r="BP136" s="57"/>
      <c r="BQ136" s="19"/>
      <c r="BR136" s="19"/>
      <c r="BS136" s="57"/>
      <c r="BT136" s="19"/>
      <c r="BU136" s="19"/>
      <c r="BV136" s="57"/>
      <c r="BW136" s="19"/>
      <c r="BX136" s="59"/>
      <c r="BY136" s="27"/>
      <c r="BZ136" s="59"/>
      <c r="CA136" s="19"/>
      <c r="CB136" s="19"/>
      <c r="CC136" s="57"/>
      <c r="CD136" s="59"/>
      <c r="CE136" s="59"/>
      <c r="CF136" s="59"/>
      <c r="CG136" s="59"/>
      <c r="CH136" s="19"/>
      <c r="CI136" s="19"/>
      <c r="CJ136" s="57"/>
      <c r="CK136" s="60"/>
      <c r="CL136" s="19"/>
      <c r="CM136" s="57"/>
      <c r="CN136" s="19"/>
      <c r="CO136" s="59"/>
      <c r="CP136" s="27"/>
      <c r="CQ136" s="59"/>
      <c r="CR136" s="19"/>
      <c r="CS136" s="19"/>
      <c r="CT136" s="57"/>
      <c r="CU136" s="19"/>
      <c r="CV136" s="19"/>
      <c r="CW136" s="27"/>
      <c r="CX136" s="27"/>
      <c r="CY136" s="19"/>
      <c r="CZ136" s="19"/>
      <c r="DA136" s="57"/>
      <c r="DB136" s="19"/>
      <c r="DC136" s="19"/>
      <c r="DD136" s="27"/>
      <c r="DE136" s="27"/>
      <c r="DF136" s="19"/>
      <c r="DG136" s="19"/>
      <c r="DH136" s="57"/>
      <c r="DI136" s="19"/>
      <c r="DJ136" s="19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59"/>
      <c r="ED136" s="59"/>
      <c r="EE136" s="14"/>
      <c r="EF136" s="14"/>
      <c r="EG136" s="14"/>
      <c r="EH136" s="14"/>
      <c r="GN136" s="46"/>
    </row>
    <row r="137" spans="1:196" x14ac:dyDescent="0.25">
      <c r="A137" s="50"/>
      <c r="B137" s="50"/>
      <c r="C137" s="50"/>
      <c r="D137" s="19"/>
      <c r="E137" s="51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19"/>
      <c r="BI137" s="19"/>
      <c r="BJ137" s="57"/>
      <c r="BK137" s="27"/>
      <c r="BL137" s="27"/>
      <c r="BM137" s="57"/>
      <c r="BN137" s="58"/>
      <c r="BO137" s="58"/>
      <c r="BP137" s="57"/>
      <c r="BQ137" s="19"/>
      <c r="BR137" s="19"/>
      <c r="BS137" s="57"/>
      <c r="BT137" s="19"/>
      <c r="BU137" s="19"/>
      <c r="BV137" s="57"/>
      <c r="BW137" s="19"/>
      <c r="BX137" s="59"/>
      <c r="BY137" s="27"/>
      <c r="BZ137" s="59"/>
      <c r="CA137" s="19"/>
      <c r="CB137" s="19"/>
      <c r="CC137" s="57"/>
      <c r="CD137" s="59"/>
      <c r="CE137" s="59"/>
      <c r="CF137" s="59"/>
      <c r="CG137" s="59"/>
      <c r="CH137" s="19"/>
      <c r="CI137" s="19"/>
      <c r="CJ137" s="57"/>
      <c r="CK137" s="60"/>
      <c r="CL137" s="19"/>
      <c r="CM137" s="57"/>
      <c r="CN137" s="19"/>
      <c r="CO137" s="59"/>
      <c r="CP137" s="27"/>
      <c r="CQ137" s="59"/>
      <c r="CR137" s="19"/>
      <c r="CS137" s="19"/>
      <c r="CT137" s="57"/>
      <c r="CU137" s="19"/>
      <c r="CV137" s="19"/>
      <c r="CW137" s="27"/>
      <c r="CX137" s="27"/>
      <c r="CY137" s="19"/>
      <c r="CZ137" s="19"/>
      <c r="DA137" s="57"/>
      <c r="DB137" s="19"/>
      <c r="DC137" s="19"/>
      <c r="DD137" s="27"/>
      <c r="DE137" s="27"/>
      <c r="DF137" s="19"/>
      <c r="DG137" s="19"/>
      <c r="DH137" s="57"/>
      <c r="DI137" s="19"/>
      <c r="DJ137" s="19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59"/>
      <c r="ED137" s="59"/>
      <c r="EE137" s="14"/>
      <c r="EF137" s="14"/>
      <c r="EG137" s="14"/>
      <c r="EH137" s="14"/>
      <c r="GN137" s="46"/>
    </row>
    <row r="138" spans="1:196" x14ac:dyDescent="0.25">
      <c r="A138" s="50"/>
      <c r="B138" s="50"/>
      <c r="C138" s="50"/>
      <c r="D138" s="19"/>
      <c r="E138" s="51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19"/>
      <c r="BI138" s="19"/>
      <c r="BJ138" s="57"/>
      <c r="BK138" s="27"/>
      <c r="BL138" s="27"/>
      <c r="BM138" s="57"/>
      <c r="BN138" s="58"/>
      <c r="BO138" s="58"/>
      <c r="BP138" s="57"/>
      <c r="BQ138" s="19"/>
      <c r="BR138" s="19"/>
      <c r="BS138" s="57"/>
      <c r="BT138" s="19"/>
      <c r="BU138" s="19"/>
      <c r="BV138" s="57"/>
      <c r="BW138" s="19"/>
      <c r="BX138" s="59"/>
      <c r="BY138" s="27"/>
      <c r="BZ138" s="59"/>
      <c r="CA138" s="19"/>
      <c r="CB138" s="19"/>
      <c r="CC138" s="57"/>
      <c r="CD138" s="59"/>
      <c r="CE138" s="59"/>
      <c r="CF138" s="59"/>
      <c r="CG138" s="59"/>
      <c r="CH138" s="19"/>
      <c r="CI138" s="19"/>
      <c r="CJ138" s="57"/>
      <c r="CK138" s="60"/>
      <c r="CL138" s="19"/>
      <c r="CM138" s="57"/>
      <c r="CN138" s="19"/>
      <c r="CO138" s="59"/>
      <c r="CP138" s="27"/>
      <c r="CQ138" s="59"/>
      <c r="CR138" s="19"/>
      <c r="CS138" s="19"/>
      <c r="CT138" s="57"/>
      <c r="CU138" s="19"/>
      <c r="CV138" s="19"/>
      <c r="CW138" s="27"/>
      <c r="CX138" s="27"/>
      <c r="CY138" s="19"/>
      <c r="CZ138" s="19"/>
      <c r="DA138" s="57"/>
      <c r="DB138" s="19"/>
      <c r="DC138" s="19"/>
      <c r="DD138" s="27"/>
      <c r="DE138" s="27"/>
      <c r="DF138" s="19"/>
      <c r="DG138" s="19"/>
      <c r="DH138" s="57"/>
      <c r="DI138" s="19"/>
      <c r="DJ138" s="19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59"/>
      <c r="ED138" s="59"/>
      <c r="EE138" s="14"/>
      <c r="EF138" s="14"/>
      <c r="EG138" s="14"/>
      <c r="EH138" s="14"/>
      <c r="GN138" s="46"/>
    </row>
    <row r="139" spans="1:196" x14ac:dyDescent="0.25">
      <c r="A139" s="50"/>
      <c r="B139" s="50"/>
      <c r="C139" s="50"/>
      <c r="D139" s="19"/>
      <c r="E139" s="51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19"/>
      <c r="BI139" s="19"/>
      <c r="BJ139" s="57"/>
      <c r="BK139" s="27"/>
      <c r="BL139" s="27"/>
      <c r="BM139" s="57"/>
      <c r="BN139" s="58"/>
      <c r="BO139" s="58"/>
      <c r="BP139" s="57"/>
      <c r="BQ139" s="19"/>
      <c r="BR139" s="19"/>
      <c r="BS139" s="57"/>
      <c r="BT139" s="19"/>
      <c r="BU139" s="19"/>
      <c r="BV139" s="57"/>
      <c r="BW139" s="19"/>
      <c r="BX139" s="59"/>
      <c r="BY139" s="27"/>
      <c r="BZ139" s="59"/>
      <c r="CA139" s="19"/>
      <c r="CB139" s="19"/>
      <c r="CC139" s="57"/>
      <c r="CD139" s="59"/>
      <c r="CE139" s="59"/>
      <c r="CF139" s="59"/>
      <c r="CG139" s="59"/>
      <c r="CH139" s="19"/>
      <c r="CI139" s="19"/>
      <c r="CJ139" s="57"/>
      <c r="CK139" s="60"/>
      <c r="CL139" s="19"/>
      <c r="CM139" s="57"/>
      <c r="CN139" s="19"/>
      <c r="CO139" s="59"/>
      <c r="CP139" s="27"/>
      <c r="CQ139" s="59"/>
      <c r="CR139" s="19"/>
      <c r="CS139" s="19"/>
      <c r="CT139" s="57"/>
      <c r="CU139" s="19"/>
      <c r="CV139" s="19"/>
      <c r="CW139" s="27"/>
      <c r="CX139" s="27"/>
      <c r="CY139" s="19"/>
      <c r="CZ139" s="19"/>
      <c r="DA139" s="57"/>
      <c r="DB139" s="19"/>
      <c r="DC139" s="19"/>
      <c r="DD139" s="27"/>
      <c r="DE139" s="27"/>
      <c r="DF139" s="19"/>
      <c r="DG139" s="19"/>
      <c r="DH139" s="57"/>
      <c r="DI139" s="19"/>
      <c r="DJ139" s="19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59"/>
      <c r="ED139" s="59"/>
      <c r="EE139" s="14"/>
      <c r="EF139" s="14"/>
      <c r="EG139" s="14"/>
      <c r="EH139" s="14"/>
      <c r="GN139" s="46"/>
    </row>
    <row r="140" spans="1:196" x14ac:dyDescent="0.25">
      <c r="A140" s="50"/>
      <c r="B140" s="50"/>
      <c r="C140" s="50"/>
      <c r="D140" s="19"/>
      <c r="E140" s="51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19"/>
      <c r="BI140" s="19"/>
      <c r="BJ140" s="57"/>
      <c r="BK140" s="27"/>
      <c r="BL140" s="27"/>
      <c r="BM140" s="57"/>
      <c r="BN140" s="58"/>
      <c r="BO140" s="58"/>
      <c r="BP140" s="57"/>
      <c r="BQ140" s="19"/>
      <c r="BR140" s="19"/>
      <c r="BS140" s="57"/>
      <c r="BT140" s="19"/>
      <c r="BU140" s="19"/>
      <c r="BV140" s="57"/>
      <c r="BW140" s="19"/>
      <c r="BX140" s="59"/>
      <c r="BY140" s="27"/>
      <c r="BZ140" s="59"/>
      <c r="CA140" s="19"/>
      <c r="CB140" s="19"/>
      <c r="CC140" s="57"/>
      <c r="CD140" s="59"/>
      <c r="CE140" s="59"/>
      <c r="CF140" s="59"/>
      <c r="CG140" s="59"/>
      <c r="CH140" s="19"/>
      <c r="CI140" s="19"/>
      <c r="CJ140" s="57"/>
      <c r="CK140" s="60"/>
      <c r="CL140" s="19"/>
      <c r="CM140" s="57"/>
      <c r="CN140" s="19"/>
      <c r="CO140" s="59"/>
      <c r="CP140" s="27"/>
      <c r="CQ140" s="59"/>
      <c r="CR140" s="19"/>
      <c r="CS140" s="19"/>
      <c r="CT140" s="57"/>
      <c r="CU140" s="19"/>
      <c r="CV140" s="19"/>
      <c r="CW140" s="27"/>
      <c r="CX140" s="27"/>
      <c r="CY140" s="19"/>
      <c r="CZ140" s="19"/>
      <c r="DA140" s="57"/>
      <c r="DB140" s="19"/>
      <c r="DC140" s="19"/>
      <c r="DD140" s="27"/>
      <c r="DE140" s="27"/>
      <c r="DF140" s="19"/>
      <c r="DG140" s="19"/>
      <c r="DH140" s="57"/>
      <c r="DI140" s="19"/>
      <c r="DJ140" s="19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59"/>
      <c r="ED140" s="59"/>
      <c r="EE140" s="14"/>
      <c r="EF140" s="14"/>
      <c r="EG140" s="14"/>
      <c r="EH140" s="14"/>
      <c r="GN140" s="46"/>
    </row>
    <row r="141" spans="1:196" x14ac:dyDescent="0.25">
      <c r="A141" s="50"/>
      <c r="B141" s="50"/>
      <c r="C141" s="50"/>
      <c r="D141" s="19"/>
      <c r="E141" s="51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19"/>
      <c r="BI141" s="19"/>
      <c r="BJ141" s="57"/>
      <c r="BK141" s="27"/>
      <c r="BL141" s="27"/>
      <c r="BM141" s="57"/>
      <c r="BN141" s="58"/>
      <c r="BO141" s="58"/>
      <c r="BP141" s="57"/>
      <c r="BQ141" s="19"/>
      <c r="BR141" s="19"/>
      <c r="BS141" s="57"/>
      <c r="BT141" s="19"/>
      <c r="BU141" s="19"/>
      <c r="BV141" s="57"/>
      <c r="BW141" s="19"/>
      <c r="BX141" s="59"/>
      <c r="BY141" s="27"/>
      <c r="BZ141" s="59"/>
      <c r="CA141" s="19"/>
      <c r="CB141" s="19"/>
      <c r="CC141" s="57"/>
      <c r="CD141" s="59"/>
      <c r="CE141" s="59"/>
      <c r="CF141" s="59"/>
      <c r="CG141" s="59"/>
      <c r="CH141" s="19"/>
      <c r="CI141" s="19"/>
      <c r="CJ141" s="57"/>
      <c r="CK141" s="60"/>
      <c r="CL141" s="19"/>
      <c r="CM141" s="57"/>
      <c r="CN141" s="19"/>
      <c r="CO141" s="59"/>
      <c r="CP141" s="27"/>
      <c r="CQ141" s="59"/>
      <c r="CR141" s="19"/>
      <c r="CS141" s="19"/>
      <c r="CT141" s="57"/>
      <c r="CU141" s="19"/>
      <c r="CV141" s="19"/>
      <c r="CW141" s="27"/>
      <c r="CX141" s="27"/>
      <c r="CY141" s="19"/>
      <c r="CZ141" s="19"/>
      <c r="DA141" s="57"/>
      <c r="DB141" s="19"/>
      <c r="DC141" s="19"/>
      <c r="DD141" s="27"/>
      <c r="DE141" s="27"/>
      <c r="DF141" s="19"/>
      <c r="DG141" s="19"/>
      <c r="DH141" s="57"/>
      <c r="DI141" s="19"/>
      <c r="DJ141" s="19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59"/>
      <c r="ED141" s="59"/>
      <c r="EE141" s="14"/>
      <c r="EF141" s="14"/>
      <c r="EG141" s="14"/>
      <c r="EH141" s="14"/>
      <c r="GN141" s="46"/>
    </row>
    <row r="142" spans="1:196" x14ac:dyDescent="0.25">
      <c r="A142" s="50"/>
      <c r="B142" s="50"/>
      <c r="C142" s="50"/>
      <c r="D142" s="19"/>
      <c r="E142" s="51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19"/>
      <c r="BI142" s="19"/>
      <c r="BJ142" s="57"/>
      <c r="BK142" s="27"/>
      <c r="BL142" s="27"/>
      <c r="BM142" s="57"/>
      <c r="BN142" s="58"/>
      <c r="BO142" s="58"/>
      <c r="BP142" s="57"/>
      <c r="BQ142" s="19"/>
      <c r="BR142" s="19"/>
      <c r="BS142" s="57"/>
      <c r="BT142" s="19"/>
      <c r="BU142" s="19"/>
      <c r="BV142" s="57"/>
      <c r="BW142" s="19"/>
      <c r="BX142" s="59"/>
      <c r="BY142" s="27"/>
      <c r="BZ142" s="59"/>
      <c r="CA142" s="19"/>
      <c r="CB142" s="19"/>
      <c r="CC142" s="57"/>
      <c r="CD142" s="59"/>
      <c r="CE142" s="59"/>
      <c r="CF142" s="59"/>
      <c r="CG142" s="59"/>
      <c r="CH142" s="19"/>
      <c r="CI142" s="19"/>
      <c r="CJ142" s="57"/>
      <c r="CK142" s="60"/>
      <c r="CL142" s="19"/>
      <c r="CM142" s="57"/>
      <c r="CN142" s="19"/>
      <c r="CO142" s="59"/>
      <c r="CP142" s="27"/>
      <c r="CQ142" s="59"/>
      <c r="CR142" s="19"/>
      <c r="CS142" s="19"/>
      <c r="CT142" s="57"/>
      <c r="CU142" s="19"/>
      <c r="CV142" s="19"/>
      <c r="CW142" s="27"/>
      <c r="CX142" s="27"/>
      <c r="CY142" s="19"/>
      <c r="CZ142" s="19"/>
      <c r="DA142" s="57"/>
      <c r="DB142" s="19"/>
      <c r="DC142" s="19"/>
      <c r="DD142" s="27"/>
      <c r="DE142" s="27"/>
      <c r="DF142" s="19"/>
      <c r="DG142" s="19"/>
      <c r="DH142" s="57"/>
      <c r="DI142" s="19"/>
      <c r="DJ142" s="19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59"/>
      <c r="ED142" s="59"/>
      <c r="EE142" s="14"/>
      <c r="EF142" s="14"/>
      <c r="EG142" s="14"/>
      <c r="EH142" s="14"/>
      <c r="GN142" s="46"/>
    </row>
    <row r="143" spans="1:196" x14ac:dyDescent="0.25">
      <c r="A143" s="50"/>
      <c r="B143" s="50"/>
      <c r="C143" s="50"/>
      <c r="D143" s="19"/>
      <c r="E143" s="51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19"/>
      <c r="BI143" s="19"/>
      <c r="BJ143" s="57"/>
      <c r="BK143" s="27"/>
      <c r="BL143" s="27"/>
      <c r="BM143" s="57"/>
      <c r="BN143" s="58"/>
      <c r="BO143" s="58"/>
      <c r="BP143" s="57"/>
      <c r="BQ143" s="19"/>
      <c r="BR143" s="19"/>
      <c r="BS143" s="57"/>
      <c r="BT143" s="19"/>
      <c r="BU143" s="19"/>
      <c r="BV143" s="57"/>
      <c r="BW143" s="19"/>
      <c r="BX143" s="59"/>
      <c r="BY143" s="27"/>
      <c r="BZ143" s="59"/>
      <c r="CA143" s="19"/>
      <c r="CB143" s="19"/>
      <c r="CC143" s="57"/>
      <c r="CD143" s="59"/>
      <c r="CE143" s="59"/>
      <c r="CF143" s="59"/>
      <c r="CG143" s="59"/>
      <c r="CH143" s="19"/>
      <c r="CI143" s="19"/>
      <c r="CJ143" s="57"/>
      <c r="CK143" s="60"/>
      <c r="CL143" s="19"/>
      <c r="CM143" s="57"/>
      <c r="CN143" s="19"/>
      <c r="CO143" s="59"/>
      <c r="CP143" s="27"/>
      <c r="CQ143" s="59"/>
      <c r="CR143" s="19"/>
      <c r="CS143" s="19"/>
      <c r="CT143" s="57"/>
      <c r="CU143" s="19"/>
      <c r="CV143" s="19"/>
      <c r="CW143" s="27"/>
      <c r="CX143" s="27"/>
      <c r="CY143" s="19"/>
      <c r="CZ143" s="19"/>
      <c r="DA143" s="57"/>
      <c r="DB143" s="19"/>
      <c r="DC143" s="19"/>
      <c r="DD143" s="27"/>
      <c r="DE143" s="27"/>
      <c r="DF143" s="19"/>
      <c r="DG143" s="19"/>
      <c r="DH143" s="57"/>
      <c r="DI143" s="19"/>
      <c r="DJ143" s="19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59"/>
      <c r="ED143" s="59"/>
      <c r="EE143" s="14"/>
      <c r="EF143" s="14"/>
      <c r="EG143" s="14"/>
      <c r="EH143" s="14"/>
      <c r="GN143" s="46"/>
    </row>
    <row r="144" spans="1:196" x14ac:dyDescent="0.25">
      <c r="A144" s="50"/>
      <c r="B144" s="50"/>
      <c r="C144" s="50"/>
      <c r="D144" s="19"/>
      <c r="E144" s="51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19"/>
      <c r="BI144" s="19"/>
      <c r="BJ144" s="57"/>
      <c r="BK144" s="27"/>
      <c r="BL144" s="27"/>
      <c r="BM144" s="57"/>
      <c r="BN144" s="58"/>
      <c r="BO144" s="58"/>
      <c r="BP144" s="57"/>
      <c r="BQ144" s="19"/>
      <c r="BR144" s="19"/>
      <c r="BS144" s="57"/>
      <c r="BT144" s="19"/>
      <c r="BU144" s="19"/>
      <c r="BV144" s="57"/>
      <c r="BW144" s="19"/>
      <c r="BX144" s="59"/>
      <c r="BY144" s="27"/>
      <c r="BZ144" s="59"/>
      <c r="CA144" s="19"/>
      <c r="CB144" s="19"/>
      <c r="CC144" s="57"/>
      <c r="CD144" s="59"/>
      <c r="CE144" s="59"/>
      <c r="CF144" s="59"/>
      <c r="CG144" s="59"/>
      <c r="CH144" s="19"/>
      <c r="CI144" s="19"/>
      <c r="CJ144" s="57"/>
      <c r="CK144" s="60"/>
      <c r="CL144" s="19"/>
      <c r="CM144" s="57"/>
      <c r="CN144" s="19"/>
      <c r="CO144" s="59"/>
      <c r="CP144" s="27"/>
      <c r="CQ144" s="59"/>
      <c r="CR144" s="19"/>
      <c r="CS144" s="19"/>
      <c r="CT144" s="57"/>
      <c r="CU144" s="19"/>
      <c r="CV144" s="19"/>
      <c r="CW144" s="27"/>
      <c r="CX144" s="27"/>
      <c r="CY144" s="19"/>
      <c r="CZ144" s="19"/>
      <c r="DA144" s="57"/>
      <c r="DB144" s="19"/>
      <c r="DC144" s="19"/>
      <c r="DD144" s="27"/>
      <c r="DE144" s="27"/>
      <c r="DF144" s="19"/>
      <c r="DG144" s="19"/>
      <c r="DH144" s="57"/>
      <c r="DI144" s="19"/>
      <c r="DJ144" s="19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59"/>
      <c r="ED144" s="59"/>
      <c r="EE144" s="14"/>
      <c r="EF144" s="14"/>
      <c r="EG144" s="14"/>
      <c r="EH144" s="14"/>
      <c r="GN144" s="46"/>
    </row>
    <row r="145" spans="1:196" x14ac:dyDescent="0.25">
      <c r="A145" s="50"/>
      <c r="B145" s="50"/>
      <c r="C145" s="50"/>
      <c r="D145" s="19"/>
      <c r="E145" s="51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19"/>
      <c r="BI145" s="19"/>
      <c r="BJ145" s="57"/>
      <c r="BK145" s="27"/>
      <c r="BL145" s="27"/>
      <c r="BM145" s="57"/>
      <c r="BN145" s="58"/>
      <c r="BO145" s="58"/>
      <c r="BP145" s="57"/>
      <c r="BQ145" s="19"/>
      <c r="BR145" s="19"/>
      <c r="BS145" s="57"/>
      <c r="BT145" s="19"/>
      <c r="BU145" s="19"/>
      <c r="BV145" s="57"/>
      <c r="BW145" s="19"/>
      <c r="BX145" s="59"/>
      <c r="BY145" s="27"/>
      <c r="BZ145" s="59"/>
      <c r="CA145" s="19"/>
      <c r="CB145" s="19"/>
      <c r="CC145" s="57"/>
      <c r="CD145" s="59"/>
      <c r="CE145" s="59"/>
      <c r="CF145" s="59"/>
      <c r="CG145" s="59"/>
      <c r="CH145" s="19"/>
      <c r="CI145" s="19"/>
      <c r="CJ145" s="57"/>
      <c r="CK145" s="60"/>
      <c r="CL145" s="19"/>
      <c r="CM145" s="57"/>
      <c r="CN145" s="19"/>
      <c r="CO145" s="59"/>
      <c r="CP145" s="27"/>
      <c r="CQ145" s="59"/>
      <c r="CR145" s="19"/>
      <c r="CS145" s="19"/>
      <c r="CT145" s="57"/>
      <c r="CU145" s="19"/>
      <c r="CV145" s="19"/>
      <c r="CW145" s="27"/>
      <c r="CX145" s="27"/>
      <c r="CY145" s="19"/>
      <c r="CZ145" s="19"/>
      <c r="DA145" s="57"/>
      <c r="DB145" s="19"/>
      <c r="DC145" s="19"/>
      <c r="DD145" s="27"/>
      <c r="DE145" s="27"/>
      <c r="DF145" s="19"/>
      <c r="DG145" s="19"/>
      <c r="DH145" s="57"/>
      <c r="DI145" s="19"/>
      <c r="DJ145" s="19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59"/>
      <c r="ED145" s="59"/>
      <c r="EE145" s="14"/>
      <c r="EF145" s="14"/>
      <c r="EG145" s="14"/>
      <c r="EH145" s="14"/>
      <c r="GN145" s="46"/>
    </row>
    <row r="146" spans="1:196" x14ac:dyDescent="0.25">
      <c r="A146" s="50"/>
      <c r="B146" s="50"/>
      <c r="C146" s="50"/>
      <c r="D146" s="19"/>
      <c r="E146" s="51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19"/>
      <c r="BI146" s="19"/>
      <c r="BJ146" s="57"/>
      <c r="BK146" s="27"/>
      <c r="BL146" s="27"/>
      <c r="BM146" s="57"/>
      <c r="BN146" s="58"/>
      <c r="BO146" s="58"/>
      <c r="BP146" s="57"/>
      <c r="BQ146" s="19"/>
      <c r="BR146" s="19"/>
      <c r="BS146" s="57"/>
      <c r="BT146" s="19"/>
      <c r="BU146" s="19"/>
      <c r="BV146" s="57"/>
      <c r="BW146" s="19"/>
      <c r="BX146" s="59"/>
      <c r="BY146" s="27"/>
      <c r="BZ146" s="59"/>
      <c r="CA146" s="19"/>
      <c r="CB146" s="19"/>
      <c r="CC146" s="57"/>
      <c r="CD146" s="59"/>
      <c r="CE146" s="59"/>
      <c r="CF146" s="59"/>
      <c r="CG146" s="59"/>
      <c r="CH146" s="19"/>
      <c r="CI146" s="19"/>
      <c r="CJ146" s="57"/>
      <c r="CK146" s="60"/>
      <c r="CL146" s="19"/>
      <c r="CM146" s="57"/>
      <c r="CN146" s="19"/>
      <c r="CO146" s="59"/>
      <c r="CP146" s="27"/>
      <c r="CQ146" s="59"/>
      <c r="CR146" s="19"/>
      <c r="CS146" s="19"/>
      <c r="CT146" s="57"/>
      <c r="CU146" s="19"/>
      <c r="CV146" s="19"/>
      <c r="CW146" s="27"/>
      <c r="CX146" s="27"/>
      <c r="CY146" s="19"/>
      <c r="CZ146" s="19"/>
      <c r="DA146" s="57"/>
      <c r="DB146" s="19"/>
      <c r="DC146" s="19"/>
      <c r="DD146" s="27"/>
      <c r="DE146" s="27"/>
      <c r="DF146" s="19"/>
      <c r="DG146" s="19"/>
      <c r="DH146" s="57"/>
      <c r="DI146" s="19"/>
      <c r="DJ146" s="19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59"/>
      <c r="ED146" s="59"/>
      <c r="EE146" s="14"/>
      <c r="EF146" s="14"/>
      <c r="EG146" s="14"/>
      <c r="EH146" s="14"/>
      <c r="GN146" s="46"/>
    </row>
    <row r="147" spans="1:196" x14ac:dyDescent="0.25">
      <c r="A147" s="50"/>
      <c r="B147" s="50"/>
      <c r="C147" s="50"/>
      <c r="D147" s="19"/>
      <c r="E147" s="51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19"/>
      <c r="BI147" s="19"/>
      <c r="BJ147" s="57"/>
      <c r="BK147" s="27"/>
      <c r="BL147" s="27"/>
      <c r="BM147" s="57"/>
      <c r="BN147" s="58"/>
      <c r="BO147" s="58"/>
      <c r="BP147" s="57"/>
      <c r="BQ147" s="19"/>
      <c r="BR147" s="19"/>
      <c r="BS147" s="57"/>
      <c r="BT147" s="19"/>
      <c r="BU147" s="19"/>
      <c r="BV147" s="57"/>
      <c r="BW147" s="19"/>
      <c r="BX147" s="59"/>
      <c r="BY147" s="27"/>
      <c r="BZ147" s="59"/>
      <c r="CA147" s="19"/>
      <c r="CB147" s="19"/>
      <c r="CC147" s="57"/>
      <c r="CD147" s="59"/>
      <c r="CE147" s="59"/>
      <c r="CF147" s="59"/>
      <c r="CG147" s="59"/>
      <c r="CH147" s="19"/>
      <c r="CI147" s="19"/>
      <c r="CJ147" s="57"/>
      <c r="CK147" s="60"/>
      <c r="CL147" s="19"/>
      <c r="CM147" s="57"/>
      <c r="CN147" s="19"/>
      <c r="CO147" s="59"/>
      <c r="CP147" s="27"/>
      <c r="CQ147" s="59"/>
      <c r="CR147" s="19"/>
      <c r="CS147" s="19"/>
      <c r="CT147" s="57"/>
      <c r="CU147" s="19"/>
      <c r="CV147" s="19"/>
      <c r="CW147" s="27"/>
      <c r="CX147" s="27"/>
      <c r="CY147" s="19"/>
      <c r="CZ147" s="19"/>
      <c r="DA147" s="57"/>
      <c r="DB147" s="19"/>
      <c r="DC147" s="19"/>
      <c r="DD147" s="27"/>
      <c r="DE147" s="27"/>
      <c r="DF147" s="19"/>
      <c r="DG147" s="19"/>
      <c r="DH147" s="57"/>
      <c r="DI147" s="19"/>
      <c r="DJ147" s="19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59"/>
      <c r="ED147" s="59"/>
      <c r="EE147" s="14"/>
      <c r="EF147" s="14"/>
      <c r="EG147" s="14"/>
      <c r="EH147" s="14"/>
      <c r="GN147" s="46"/>
    </row>
    <row r="148" spans="1:196" x14ac:dyDescent="0.25">
      <c r="A148" s="50"/>
      <c r="B148" s="50"/>
      <c r="C148" s="50"/>
      <c r="D148" s="19"/>
      <c r="E148" s="51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19"/>
      <c r="BI148" s="19"/>
      <c r="BJ148" s="57"/>
      <c r="BK148" s="27"/>
      <c r="BL148" s="27"/>
      <c r="BM148" s="57"/>
      <c r="BN148" s="58"/>
      <c r="BO148" s="58"/>
      <c r="BP148" s="57"/>
      <c r="BQ148" s="19"/>
      <c r="BR148" s="19"/>
      <c r="BS148" s="57"/>
      <c r="BT148" s="19"/>
      <c r="BU148" s="19"/>
      <c r="BV148" s="57"/>
      <c r="BW148" s="19"/>
      <c r="BX148" s="59"/>
      <c r="BY148" s="27"/>
      <c r="BZ148" s="59"/>
      <c r="CA148" s="19"/>
      <c r="CB148" s="19"/>
      <c r="CC148" s="57"/>
      <c r="CD148" s="59"/>
      <c r="CE148" s="59"/>
      <c r="CF148" s="59"/>
      <c r="CG148" s="59"/>
      <c r="CH148" s="19"/>
      <c r="CI148" s="19"/>
      <c r="CJ148" s="57"/>
      <c r="CK148" s="60"/>
      <c r="CL148" s="19"/>
      <c r="CM148" s="57"/>
      <c r="CN148" s="19"/>
      <c r="CO148" s="59"/>
      <c r="CP148" s="27"/>
      <c r="CQ148" s="59"/>
      <c r="CR148" s="19"/>
      <c r="CS148" s="19"/>
      <c r="CT148" s="57"/>
      <c r="CU148" s="19"/>
      <c r="CV148" s="19"/>
      <c r="CW148" s="27"/>
      <c r="CX148" s="27"/>
      <c r="CY148" s="19"/>
      <c r="CZ148" s="19"/>
      <c r="DA148" s="57"/>
      <c r="DB148" s="19"/>
      <c r="DC148" s="19"/>
      <c r="DD148" s="27"/>
      <c r="DE148" s="27"/>
      <c r="DF148" s="19"/>
      <c r="DG148" s="19"/>
      <c r="DH148" s="57"/>
      <c r="DI148" s="19"/>
      <c r="DJ148" s="19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59"/>
      <c r="ED148" s="59"/>
      <c r="EE148" s="14"/>
      <c r="EF148" s="14"/>
      <c r="EG148" s="14"/>
      <c r="EH148" s="14"/>
      <c r="GN148" s="46"/>
    </row>
    <row r="149" spans="1:196" x14ac:dyDescent="0.25">
      <c r="A149" s="50"/>
      <c r="B149" s="50"/>
      <c r="C149" s="50"/>
      <c r="D149" s="19"/>
      <c r="E149" s="51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19"/>
      <c r="BI149" s="19"/>
      <c r="BJ149" s="57"/>
      <c r="BK149" s="27"/>
      <c r="BL149" s="27"/>
      <c r="BM149" s="57"/>
      <c r="BN149" s="58"/>
      <c r="BO149" s="58"/>
      <c r="BP149" s="57"/>
      <c r="BQ149" s="19"/>
      <c r="BR149" s="19"/>
      <c r="BS149" s="57"/>
      <c r="BT149" s="19"/>
      <c r="BU149" s="19"/>
      <c r="BV149" s="57"/>
      <c r="BW149" s="19"/>
      <c r="BX149" s="59"/>
      <c r="BY149" s="27"/>
      <c r="BZ149" s="59"/>
      <c r="CA149" s="19"/>
      <c r="CB149" s="19"/>
      <c r="CC149" s="57"/>
      <c r="CD149" s="59"/>
      <c r="CE149" s="59"/>
      <c r="CF149" s="59"/>
      <c r="CG149" s="59"/>
      <c r="CH149" s="19"/>
      <c r="CI149" s="19"/>
      <c r="CJ149" s="57"/>
      <c r="CK149" s="60"/>
      <c r="CL149" s="19"/>
      <c r="CM149" s="57"/>
      <c r="CN149" s="19"/>
      <c r="CO149" s="59"/>
      <c r="CP149" s="27"/>
      <c r="CQ149" s="59"/>
      <c r="CR149" s="19"/>
      <c r="CS149" s="19"/>
      <c r="CT149" s="57"/>
      <c r="CU149" s="19"/>
      <c r="CV149" s="19"/>
      <c r="CW149" s="27"/>
      <c r="CX149" s="27"/>
      <c r="CY149" s="19"/>
      <c r="CZ149" s="19"/>
      <c r="DA149" s="57"/>
      <c r="DB149" s="19"/>
      <c r="DC149" s="19"/>
      <c r="DD149" s="27"/>
      <c r="DE149" s="27"/>
      <c r="DF149" s="19"/>
      <c r="DG149" s="19"/>
      <c r="DH149" s="57"/>
      <c r="DI149" s="19"/>
      <c r="DJ149" s="19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59"/>
      <c r="ED149" s="59"/>
      <c r="EE149" s="14"/>
      <c r="EF149" s="14"/>
      <c r="EG149" s="14"/>
      <c r="EH149" s="14"/>
      <c r="GN149" s="46"/>
    </row>
    <row r="150" spans="1:196" x14ac:dyDescent="0.25">
      <c r="A150" s="50"/>
      <c r="B150" s="50"/>
      <c r="C150" s="50"/>
      <c r="D150" s="19"/>
      <c r="E150" s="51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19"/>
      <c r="BI150" s="19"/>
      <c r="BJ150" s="57"/>
      <c r="BK150" s="27"/>
      <c r="BL150" s="27"/>
      <c r="BM150" s="57"/>
      <c r="BN150" s="58"/>
      <c r="BO150" s="58"/>
      <c r="BP150" s="57"/>
      <c r="BQ150" s="19"/>
      <c r="BR150" s="19"/>
      <c r="BS150" s="57"/>
      <c r="BT150" s="19"/>
      <c r="BU150" s="19"/>
      <c r="BV150" s="57"/>
      <c r="BW150" s="19"/>
      <c r="BX150" s="59"/>
      <c r="BY150" s="27"/>
      <c r="BZ150" s="59"/>
      <c r="CA150" s="19"/>
      <c r="CB150" s="19"/>
      <c r="CC150" s="57"/>
      <c r="CD150" s="59"/>
      <c r="CE150" s="59"/>
      <c r="CF150" s="59"/>
      <c r="CG150" s="59"/>
      <c r="CH150" s="19"/>
      <c r="CI150" s="19"/>
      <c r="CJ150" s="57"/>
      <c r="CK150" s="60"/>
      <c r="CL150" s="19"/>
      <c r="CM150" s="57"/>
      <c r="CN150" s="19"/>
      <c r="CO150" s="59"/>
      <c r="CP150" s="27"/>
      <c r="CQ150" s="59"/>
      <c r="CR150" s="19"/>
      <c r="CS150" s="19"/>
      <c r="CT150" s="57"/>
      <c r="CU150" s="19"/>
      <c r="CV150" s="19"/>
      <c r="CW150" s="27"/>
      <c r="CX150" s="27"/>
      <c r="CY150" s="19"/>
      <c r="CZ150" s="19"/>
      <c r="DA150" s="57"/>
      <c r="DB150" s="19"/>
      <c r="DC150" s="19"/>
      <c r="DD150" s="27"/>
      <c r="DE150" s="27"/>
      <c r="DF150" s="19"/>
      <c r="DG150" s="19"/>
      <c r="DH150" s="57"/>
      <c r="DI150" s="19"/>
      <c r="DJ150" s="19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59"/>
      <c r="ED150" s="59"/>
      <c r="EE150" s="14"/>
      <c r="EF150" s="14"/>
      <c r="EG150" s="14"/>
      <c r="EH150" s="14"/>
      <c r="GN150" s="46"/>
    </row>
    <row r="151" spans="1:196" x14ac:dyDescent="0.25">
      <c r="A151" s="50"/>
      <c r="B151" s="50"/>
      <c r="C151" s="50"/>
      <c r="D151" s="19"/>
      <c r="E151" s="51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19"/>
      <c r="BI151" s="19"/>
      <c r="BJ151" s="57"/>
      <c r="BK151" s="27"/>
      <c r="BL151" s="27"/>
      <c r="BM151" s="57"/>
      <c r="BN151" s="58"/>
      <c r="BO151" s="58"/>
      <c r="BP151" s="57"/>
      <c r="BQ151" s="19"/>
      <c r="BR151" s="19"/>
      <c r="BS151" s="57"/>
      <c r="BT151" s="19"/>
      <c r="BU151" s="19"/>
      <c r="BV151" s="57"/>
      <c r="BW151" s="19"/>
      <c r="BX151" s="59"/>
      <c r="BY151" s="27"/>
      <c r="BZ151" s="59"/>
      <c r="CA151" s="19"/>
      <c r="CB151" s="19"/>
      <c r="CC151" s="57"/>
      <c r="CD151" s="59"/>
      <c r="CE151" s="59"/>
      <c r="CF151" s="59"/>
      <c r="CG151" s="59"/>
      <c r="CH151" s="19"/>
      <c r="CI151" s="19"/>
      <c r="CJ151" s="57"/>
      <c r="CK151" s="60"/>
      <c r="CL151" s="19"/>
      <c r="CM151" s="57"/>
      <c r="CN151" s="19"/>
      <c r="CO151" s="59"/>
      <c r="CP151" s="27"/>
      <c r="CQ151" s="59"/>
      <c r="CR151" s="19"/>
      <c r="CS151" s="19"/>
      <c r="CT151" s="57"/>
      <c r="CU151" s="19"/>
      <c r="CV151" s="19"/>
      <c r="CW151" s="27"/>
      <c r="CX151" s="27"/>
      <c r="CY151" s="19"/>
      <c r="CZ151" s="19"/>
      <c r="DA151" s="57"/>
      <c r="DB151" s="19"/>
      <c r="DC151" s="19"/>
      <c r="DD151" s="27"/>
      <c r="DE151" s="27"/>
      <c r="DF151" s="19"/>
      <c r="DG151" s="19"/>
      <c r="DH151" s="57"/>
      <c r="DI151" s="19"/>
      <c r="DJ151" s="19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59"/>
      <c r="ED151" s="59"/>
      <c r="EE151" s="14"/>
      <c r="EF151" s="14"/>
      <c r="EG151" s="14"/>
      <c r="EH151" s="14"/>
      <c r="GN151" s="46"/>
    </row>
    <row r="152" spans="1:196" x14ac:dyDescent="0.25">
      <c r="A152" s="50"/>
      <c r="B152" s="50"/>
      <c r="C152" s="50"/>
      <c r="D152" s="19"/>
      <c r="E152" s="51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19"/>
      <c r="BI152" s="19"/>
      <c r="BJ152" s="57"/>
      <c r="BK152" s="27"/>
      <c r="BL152" s="27"/>
      <c r="BM152" s="57"/>
      <c r="BN152" s="58"/>
      <c r="BO152" s="58"/>
      <c r="BP152" s="57"/>
      <c r="BQ152" s="19"/>
      <c r="BR152" s="19"/>
      <c r="BS152" s="57"/>
      <c r="BT152" s="19"/>
      <c r="BU152" s="19"/>
      <c r="BV152" s="57"/>
      <c r="BW152" s="19"/>
      <c r="BX152" s="59"/>
      <c r="BY152" s="27"/>
      <c r="BZ152" s="59"/>
      <c r="CA152" s="19"/>
      <c r="CB152" s="19"/>
      <c r="CC152" s="57"/>
      <c r="CD152" s="59"/>
      <c r="CE152" s="59"/>
      <c r="CF152" s="59"/>
      <c r="CG152" s="59"/>
      <c r="CH152" s="19"/>
      <c r="CI152" s="19"/>
      <c r="CJ152" s="57"/>
      <c r="CK152" s="60"/>
      <c r="CL152" s="19"/>
      <c r="CM152" s="57"/>
      <c r="CN152" s="19"/>
      <c r="CO152" s="59"/>
      <c r="CP152" s="27"/>
      <c r="CQ152" s="59"/>
      <c r="CR152" s="19"/>
      <c r="CS152" s="19"/>
      <c r="CT152" s="57"/>
      <c r="CU152" s="19"/>
      <c r="CV152" s="19"/>
      <c r="CW152" s="27"/>
      <c r="CX152" s="27"/>
      <c r="CY152" s="19"/>
      <c r="CZ152" s="19"/>
      <c r="DA152" s="57"/>
      <c r="DB152" s="19"/>
      <c r="DC152" s="19"/>
      <c r="DD152" s="27"/>
      <c r="DE152" s="27"/>
      <c r="DF152" s="19"/>
      <c r="DG152" s="19"/>
      <c r="DH152" s="57"/>
      <c r="DI152" s="19"/>
      <c r="DJ152" s="19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59"/>
      <c r="ED152" s="59"/>
      <c r="EE152" s="14"/>
      <c r="EF152" s="14"/>
      <c r="EG152" s="14"/>
      <c r="EH152" s="14"/>
      <c r="GN152" s="46"/>
    </row>
    <row r="153" spans="1:196" x14ac:dyDescent="0.25">
      <c r="A153" s="50"/>
      <c r="B153" s="50"/>
      <c r="C153" s="50"/>
      <c r="D153" s="19"/>
      <c r="E153" s="51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19"/>
      <c r="BI153" s="19"/>
      <c r="BJ153" s="57"/>
      <c r="BK153" s="27"/>
      <c r="BL153" s="27"/>
      <c r="BM153" s="57"/>
      <c r="BN153" s="58"/>
      <c r="BO153" s="58"/>
      <c r="BP153" s="57"/>
      <c r="BQ153" s="19"/>
      <c r="BR153" s="19"/>
      <c r="BS153" s="57"/>
      <c r="BT153" s="19"/>
      <c r="BU153" s="19"/>
      <c r="BV153" s="57"/>
      <c r="BW153" s="19"/>
      <c r="BX153" s="59"/>
      <c r="BY153" s="27"/>
      <c r="BZ153" s="59"/>
      <c r="CA153" s="19"/>
      <c r="CB153" s="19"/>
      <c r="CC153" s="57"/>
      <c r="CD153" s="59"/>
      <c r="CE153" s="59"/>
      <c r="CF153" s="59"/>
      <c r="CG153" s="59"/>
      <c r="CH153" s="19"/>
      <c r="CI153" s="19"/>
      <c r="CJ153" s="57"/>
      <c r="CK153" s="60"/>
      <c r="CL153" s="19"/>
      <c r="CM153" s="57"/>
      <c r="CN153" s="19"/>
      <c r="CO153" s="59"/>
      <c r="CP153" s="27"/>
      <c r="CQ153" s="59"/>
      <c r="CR153" s="19"/>
      <c r="CS153" s="19"/>
      <c r="CT153" s="57"/>
      <c r="CU153" s="19"/>
      <c r="CV153" s="19"/>
      <c r="CW153" s="27"/>
      <c r="CX153" s="27"/>
      <c r="CY153" s="19"/>
      <c r="CZ153" s="19"/>
      <c r="DA153" s="57"/>
      <c r="DB153" s="19"/>
      <c r="DC153" s="19"/>
      <c r="DD153" s="27"/>
      <c r="DE153" s="27"/>
      <c r="DF153" s="19"/>
      <c r="DG153" s="19"/>
      <c r="DH153" s="57"/>
      <c r="DI153" s="19"/>
      <c r="DJ153" s="19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59"/>
      <c r="ED153" s="59"/>
      <c r="EE153" s="14"/>
      <c r="EF153" s="14"/>
      <c r="EG153" s="14"/>
      <c r="EH153" s="14"/>
      <c r="GN153" s="46"/>
    </row>
    <row r="154" spans="1:196" x14ac:dyDescent="0.25">
      <c r="A154" s="50"/>
      <c r="B154" s="50"/>
      <c r="C154" s="50"/>
      <c r="D154" s="19"/>
      <c r="E154" s="51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19"/>
      <c r="BI154" s="19"/>
      <c r="BJ154" s="57"/>
      <c r="BK154" s="27"/>
      <c r="BL154" s="27"/>
      <c r="BM154" s="57"/>
      <c r="BN154" s="58"/>
      <c r="BO154" s="58"/>
      <c r="BP154" s="57"/>
      <c r="BQ154" s="19"/>
      <c r="BR154" s="19"/>
      <c r="BS154" s="57"/>
      <c r="BT154" s="19"/>
      <c r="BU154" s="19"/>
      <c r="BV154" s="57"/>
      <c r="BW154" s="19"/>
      <c r="BX154" s="59"/>
      <c r="BY154" s="27"/>
      <c r="BZ154" s="59"/>
      <c r="CA154" s="19"/>
      <c r="CB154" s="19"/>
      <c r="CC154" s="57"/>
      <c r="CD154" s="59"/>
      <c r="CE154" s="59"/>
      <c r="CF154" s="59"/>
      <c r="CG154" s="59"/>
      <c r="CH154" s="19"/>
      <c r="CI154" s="19"/>
      <c r="CJ154" s="57"/>
      <c r="CK154" s="60"/>
      <c r="CL154" s="19"/>
      <c r="CM154" s="57"/>
      <c r="CN154" s="19"/>
      <c r="CO154" s="59"/>
      <c r="CP154" s="27"/>
      <c r="CQ154" s="59"/>
      <c r="CR154" s="19"/>
      <c r="CS154" s="19"/>
      <c r="CT154" s="57"/>
      <c r="CU154" s="19"/>
      <c r="CV154" s="19"/>
      <c r="CW154" s="27"/>
      <c r="CX154" s="27"/>
      <c r="CY154" s="19"/>
      <c r="CZ154" s="19"/>
      <c r="DA154" s="57"/>
      <c r="DB154" s="19"/>
      <c r="DC154" s="19"/>
      <c r="DD154" s="27"/>
      <c r="DE154" s="27"/>
      <c r="DF154" s="19"/>
      <c r="DG154" s="19"/>
      <c r="DH154" s="57"/>
      <c r="DI154" s="19"/>
      <c r="DJ154" s="19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59"/>
      <c r="ED154" s="59"/>
      <c r="EE154" s="14"/>
      <c r="EF154" s="14"/>
      <c r="EG154" s="14"/>
      <c r="EH154" s="14"/>
      <c r="GN154" s="46"/>
    </row>
    <row r="155" spans="1:196" x14ac:dyDescent="0.25">
      <c r="A155" s="50"/>
      <c r="B155" s="50"/>
      <c r="C155" s="50"/>
      <c r="D155" s="19"/>
      <c r="E155" s="51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19"/>
      <c r="BI155" s="19"/>
      <c r="BJ155" s="57"/>
      <c r="BK155" s="27"/>
      <c r="BL155" s="27"/>
      <c r="BM155" s="57"/>
      <c r="BN155" s="58"/>
      <c r="BO155" s="58"/>
      <c r="BP155" s="57"/>
      <c r="BQ155" s="19"/>
      <c r="BR155" s="19"/>
      <c r="BS155" s="57"/>
      <c r="BT155" s="19"/>
      <c r="BU155" s="19"/>
      <c r="BV155" s="57"/>
      <c r="BW155" s="19"/>
      <c r="BX155" s="59"/>
      <c r="BY155" s="27"/>
      <c r="BZ155" s="59"/>
      <c r="CA155" s="19"/>
      <c r="CB155" s="19"/>
      <c r="CC155" s="57"/>
      <c r="CD155" s="59"/>
      <c r="CE155" s="59"/>
      <c r="CF155" s="59"/>
      <c r="CG155" s="59"/>
      <c r="CH155" s="19"/>
      <c r="CI155" s="19"/>
      <c r="CJ155" s="57"/>
      <c r="CK155" s="60"/>
      <c r="CL155" s="19"/>
      <c r="CM155" s="57"/>
      <c r="CN155" s="19"/>
      <c r="CO155" s="59"/>
      <c r="CP155" s="27"/>
      <c r="CQ155" s="59"/>
      <c r="CR155" s="19"/>
      <c r="CS155" s="19"/>
      <c r="CT155" s="57"/>
      <c r="CU155" s="19"/>
      <c r="CV155" s="19"/>
      <c r="CW155" s="27"/>
      <c r="CX155" s="27"/>
      <c r="CY155" s="19"/>
      <c r="CZ155" s="19"/>
      <c r="DA155" s="57"/>
      <c r="DB155" s="19"/>
      <c r="DC155" s="19"/>
      <c r="DD155" s="27"/>
      <c r="DE155" s="27"/>
      <c r="DF155" s="19"/>
      <c r="DG155" s="19"/>
      <c r="DH155" s="57"/>
      <c r="DI155" s="19"/>
      <c r="DJ155" s="19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59"/>
      <c r="ED155" s="59"/>
      <c r="EE155" s="14"/>
      <c r="EF155" s="14"/>
      <c r="EG155" s="14"/>
      <c r="EH155" s="14"/>
      <c r="GN155" s="46"/>
    </row>
    <row r="156" spans="1:196" x14ac:dyDescent="0.25">
      <c r="A156" s="50"/>
      <c r="B156" s="50"/>
      <c r="C156" s="50"/>
      <c r="D156" s="19"/>
      <c r="E156" s="51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19"/>
      <c r="BI156" s="19"/>
      <c r="BJ156" s="57"/>
      <c r="BK156" s="27"/>
      <c r="BL156" s="27"/>
      <c r="BM156" s="57"/>
      <c r="BN156" s="58"/>
      <c r="BO156" s="58"/>
      <c r="BP156" s="57"/>
      <c r="BQ156" s="19"/>
      <c r="BR156" s="19"/>
      <c r="BS156" s="57"/>
      <c r="BT156" s="19"/>
      <c r="BU156" s="19"/>
      <c r="BV156" s="57"/>
      <c r="BW156" s="19"/>
      <c r="BX156" s="59"/>
      <c r="BY156" s="27"/>
      <c r="BZ156" s="59"/>
      <c r="CA156" s="19"/>
      <c r="CB156" s="19"/>
      <c r="CC156" s="57"/>
      <c r="CD156" s="59"/>
      <c r="CE156" s="59"/>
      <c r="CF156" s="59"/>
      <c r="CG156" s="59"/>
      <c r="CH156" s="19"/>
      <c r="CI156" s="19"/>
      <c r="CJ156" s="57"/>
      <c r="CK156" s="60"/>
      <c r="CL156" s="19"/>
      <c r="CM156" s="57"/>
      <c r="CN156" s="19"/>
      <c r="CO156" s="59"/>
      <c r="CP156" s="27"/>
      <c r="CQ156" s="59"/>
      <c r="CR156" s="19"/>
      <c r="CS156" s="19"/>
      <c r="CT156" s="57"/>
      <c r="CU156" s="19"/>
      <c r="CV156" s="19"/>
      <c r="CW156" s="27"/>
      <c r="CX156" s="27"/>
      <c r="CY156" s="19"/>
      <c r="CZ156" s="19"/>
      <c r="DA156" s="57"/>
      <c r="DB156" s="19"/>
      <c r="DC156" s="19"/>
      <c r="DD156" s="27"/>
      <c r="DE156" s="27"/>
      <c r="DF156" s="19"/>
      <c r="DG156" s="19"/>
      <c r="DH156" s="57"/>
      <c r="DI156" s="19"/>
      <c r="DJ156" s="19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59"/>
      <c r="ED156" s="59"/>
      <c r="EE156" s="14"/>
      <c r="EF156" s="14"/>
      <c r="EG156" s="14"/>
      <c r="EH156" s="14"/>
      <c r="GN156" s="46"/>
    </row>
    <row r="157" spans="1:196" x14ac:dyDescent="0.25">
      <c r="A157" s="50"/>
      <c r="B157" s="50"/>
      <c r="C157" s="50"/>
      <c r="D157" s="19"/>
      <c r="E157" s="51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19"/>
      <c r="BI157" s="19"/>
      <c r="BJ157" s="57"/>
      <c r="BK157" s="27"/>
      <c r="BL157" s="27"/>
      <c r="BM157" s="57"/>
      <c r="BN157" s="58"/>
      <c r="BO157" s="58"/>
      <c r="BP157" s="57"/>
      <c r="BQ157" s="19"/>
      <c r="BR157" s="19"/>
      <c r="BS157" s="57"/>
      <c r="BT157" s="19"/>
      <c r="BU157" s="19"/>
      <c r="BV157" s="57"/>
      <c r="BW157" s="19"/>
      <c r="BX157" s="59"/>
      <c r="BY157" s="27"/>
      <c r="BZ157" s="59"/>
      <c r="CA157" s="19"/>
      <c r="CB157" s="19"/>
      <c r="CC157" s="57"/>
      <c r="CD157" s="59"/>
      <c r="CE157" s="59"/>
      <c r="CF157" s="59"/>
      <c r="CG157" s="59"/>
      <c r="CH157" s="19"/>
      <c r="CI157" s="19"/>
      <c r="CJ157" s="57"/>
      <c r="CK157" s="60"/>
      <c r="CL157" s="19"/>
      <c r="CM157" s="57"/>
      <c r="CN157" s="19"/>
      <c r="CO157" s="59"/>
      <c r="CP157" s="27"/>
      <c r="CQ157" s="59"/>
      <c r="CR157" s="19"/>
      <c r="CS157" s="19"/>
      <c r="CT157" s="57"/>
      <c r="CU157" s="19"/>
      <c r="CV157" s="19"/>
      <c r="CW157" s="27"/>
      <c r="CX157" s="27"/>
      <c r="CY157" s="19"/>
      <c r="CZ157" s="19"/>
      <c r="DA157" s="57"/>
      <c r="DB157" s="19"/>
      <c r="DC157" s="19"/>
      <c r="DD157" s="27"/>
      <c r="DE157" s="27"/>
      <c r="DF157" s="19"/>
      <c r="DG157" s="19"/>
      <c r="DH157" s="57"/>
      <c r="DI157" s="19"/>
      <c r="DJ157" s="19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59"/>
      <c r="ED157" s="59"/>
      <c r="EE157" s="14"/>
      <c r="EF157" s="14"/>
      <c r="EG157" s="14"/>
      <c r="EH157" s="14"/>
      <c r="GN157" s="46"/>
    </row>
    <row r="158" spans="1:196" x14ac:dyDescent="0.25">
      <c r="A158" s="50"/>
      <c r="B158" s="50"/>
      <c r="C158" s="50"/>
      <c r="D158" s="19"/>
      <c r="E158" s="51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19"/>
      <c r="BI158" s="19"/>
      <c r="BJ158" s="57"/>
      <c r="BK158" s="27"/>
      <c r="BL158" s="27"/>
      <c r="BM158" s="57"/>
      <c r="BN158" s="58"/>
      <c r="BO158" s="58"/>
      <c r="BP158" s="57"/>
      <c r="BQ158" s="19"/>
      <c r="BR158" s="19"/>
      <c r="BS158" s="57"/>
      <c r="BT158" s="19"/>
      <c r="BU158" s="19"/>
      <c r="BV158" s="57"/>
      <c r="BW158" s="19"/>
      <c r="BX158" s="59"/>
      <c r="BY158" s="27"/>
      <c r="BZ158" s="59"/>
      <c r="CA158" s="19"/>
      <c r="CB158" s="19"/>
      <c r="CC158" s="57"/>
      <c r="CD158" s="59"/>
      <c r="CE158" s="59"/>
      <c r="CF158" s="59"/>
      <c r="CG158" s="59"/>
      <c r="CH158" s="19"/>
      <c r="CI158" s="19"/>
      <c r="CJ158" s="57"/>
      <c r="CK158" s="60"/>
      <c r="CL158" s="19"/>
      <c r="CM158" s="57"/>
      <c r="CN158" s="19"/>
      <c r="CO158" s="59"/>
      <c r="CP158" s="27"/>
      <c r="CQ158" s="59"/>
      <c r="CR158" s="19"/>
      <c r="CS158" s="19"/>
      <c r="CT158" s="57"/>
      <c r="CU158" s="19"/>
      <c r="CV158" s="19"/>
      <c r="CW158" s="27"/>
      <c r="CX158" s="27"/>
      <c r="CY158" s="19"/>
      <c r="CZ158" s="19"/>
      <c r="DA158" s="57"/>
      <c r="DB158" s="19"/>
      <c r="DC158" s="19"/>
      <c r="DD158" s="27"/>
      <c r="DE158" s="27"/>
      <c r="DF158" s="19"/>
      <c r="DG158" s="19"/>
      <c r="DH158" s="57"/>
      <c r="DI158" s="19"/>
      <c r="DJ158" s="19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59"/>
      <c r="ED158" s="59"/>
      <c r="EE158" s="14"/>
      <c r="EF158" s="14"/>
      <c r="EG158" s="14"/>
      <c r="EH158" s="14"/>
      <c r="GN158" s="46"/>
    </row>
    <row r="159" spans="1:196" x14ac:dyDescent="0.25">
      <c r="A159" s="50"/>
      <c r="B159" s="50"/>
      <c r="C159" s="50"/>
      <c r="D159" s="19"/>
      <c r="E159" s="51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19"/>
      <c r="BI159" s="19"/>
      <c r="BJ159" s="57"/>
      <c r="BK159" s="27"/>
      <c r="BL159" s="27"/>
      <c r="BM159" s="57"/>
      <c r="BN159" s="58"/>
      <c r="BO159" s="58"/>
      <c r="BP159" s="57"/>
      <c r="BQ159" s="19"/>
      <c r="BR159" s="19"/>
      <c r="BS159" s="57"/>
      <c r="BT159" s="19"/>
      <c r="BU159" s="19"/>
      <c r="BV159" s="57"/>
      <c r="BW159" s="19"/>
      <c r="BX159" s="59"/>
      <c r="BY159" s="27"/>
      <c r="BZ159" s="59"/>
      <c r="CA159" s="19"/>
      <c r="CB159" s="19"/>
      <c r="CC159" s="57"/>
      <c r="CD159" s="59"/>
      <c r="CE159" s="59"/>
      <c r="CF159" s="59"/>
      <c r="CG159" s="59"/>
      <c r="CH159" s="19"/>
      <c r="CI159" s="19"/>
      <c r="CJ159" s="57"/>
      <c r="CK159" s="60"/>
      <c r="CL159" s="19"/>
      <c r="CM159" s="57"/>
      <c r="CN159" s="19"/>
      <c r="CO159" s="59"/>
      <c r="CP159" s="27"/>
      <c r="CQ159" s="59"/>
      <c r="CR159" s="19"/>
      <c r="CS159" s="19"/>
      <c r="CT159" s="57"/>
      <c r="CU159" s="19"/>
      <c r="CV159" s="19"/>
      <c r="CW159" s="27"/>
      <c r="CX159" s="27"/>
      <c r="CY159" s="19"/>
      <c r="CZ159" s="19"/>
      <c r="DA159" s="57"/>
      <c r="DB159" s="19"/>
      <c r="DC159" s="19"/>
      <c r="DD159" s="27"/>
      <c r="DE159" s="27"/>
      <c r="DF159" s="19"/>
      <c r="DG159" s="19"/>
      <c r="DH159" s="57"/>
      <c r="DI159" s="19"/>
      <c r="DJ159" s="19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59"/>
      <c r="ED159" s="59"/>
      <c r="EE159" s="14"/>
      <c r="EF159" s="14"/>
      <c r="EG159" s="14"/>
      <c r="EH159" s="14"/>
      <c r="GN159" s="46"/>
    </row>
    <row r="160" spans="1:196" x14ac:dyDescent="0.25">
      <c r="B160" s="50"/>
      <c r="C160" s="50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9"/>
      <c r="BI160" s="49"/>
      <c r="BJ160" s="57"/>
      <c r="BK160" s="59"/>
      <c r="BL160" s="59"/>
      <c r="BM160" s="57"/>
      <c r="BN160" s="49"/>
      <c r="BO160" s="49"/>
      <c r="BP160" s="57"/>
      <c r="BQ160" s="49"/>
      <c r="BR160" s="49"/>
      <c r="BS160" s="57"/>
      <c r="BT160" s="49"/>
      <c r="BU160" s="49"/>
      <c r="BV160" s="57"/>
      <c r="BW160" s="19"/>
      <c r="BX160" s="59"/>
      <c r="BY160" s="27"/>
      <c r="BZ160" s="59"/>
      <c r="CA160" s="57"/>
      <c r="CB160" s="49"/>
      <c r="CC160" s="49"/>
      <c r="CD160" s="49"/>
      <c r="CE160" s="49"/>
      <c r="CF160" s="49"/>
      <c r="CG160" s="49"/>
      <c r="CH160" s="57"/>
      <c r="CI160" s="49"/>
      <c r="CJ160" s="60"/>
      <c r="CK160" s="57"/>
      <c r="CL160" s="49"/>
      <c r="CM160" s="49"/>
      <c r="CN160" s="49"/>
      <c r="CO160" s="49"/>
      <c r="CP160" s="58"/>
      <c r="CQ160" s="58"/>
      <c r="CR160" s="57"/>
      <c r="CS160" s="49"/>
      <c r="CT160" s="49"/>
      <c r="CU160" s="49"/>
      <c r="CV160" s="49"/>
      <c r="CW160" s="58"/>
      <c r="CX160" s="58"/>
      <c r="CY160" s="57"/>
      <c r="CZ160" s="49"/>
      <c r="DA160" s="49"/>
      <c r="DB160" s="49"/>
      <c r="DC160" s="49"/>
      <c r="DD160" s="19"/>
      <c r="DE160" s="49"/>
      <c r="DF160" s="57"/>
      <c r="DG160" s="49"/>
      <c r="DH160" s="49"/>
      <c r="DI160" s="49"/>
      <c r="DJ160" s="49"/>
      <c r="DK160" s="27"/>
      <c r="DL160" s="49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59"/>
      <c r="EC160" s="59"/>
      <c r="ED160" s="59"/>
      <c r="EE160" s="14"/>
      <c r="EF160" s="14"/>
      <c r="GN160" s="48"/>
    </row>
    <row r="161" spans="2:196" x14ac:dyDescent="0.25">
      <c r="B161" s="50"/>
      <c r="C161" s="50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9"/>
      <c r="BI161" s="49"/>
      <c r="BJ161" s="57"/>
      <c r="BK161" s="59"/>
      <c r="BL161" s="59"/>
      <c r="BM161" s="57"/>
      <c r="BN161" s="49"/>
      <c r="BO161" s="49"/>
      <c r="BP161" s="57"/>
      <c r="BQ161" s="49"/>
      <c r="BR161" s="49"/>
      <c r="BS161" s="57"/>
      <c r="BT161" s="49"/>
      <c r="BU161" s="49"/>
      <c r="BV161" s="57"/>
      <c r="BW161" s="19"/>
      <c r="BX161" s="59"/>
      <c r="BY161" s="27"/>
      <c r="BZ161" s="59"/>
      <c r="CA161" s="57"/>
      <c r="CB161" s="49"/>
      <c r="CC161" s="49"/>
      <c r="CD161" s="49"/>
      <c r="CE161" s="49"/>
      <c r="CF161" s="49"/>
      <c r="CG161" s="49"/>
      <c r="CH161" s="57"/>
      <c r="CI161" s="49"/>
      <c r="CJ161" s="49"/>
      <c r="CK161" s="57"/>
      <c r="CL161" s="49"/>
      <c r="CM161" s="49"/>
      <c r="CN161" s="49"/>
      <c r="CO161" s="49"/>
      <c r="CP161" s="49"/>
      <c r="CQ161" s="49"/>
      <c r="CR161" s="57"/>
      <c r="CS161" s="49"/>
      <c r="CT161" s="49"/>
      <c r="CU161" s="49"/>
      <c r="CV161" s="49"/>
      <c r="CW161" s="49"/>
      <c r="CX161" s="49"/>
      <c r="CY161" s="57"/>
      <c r="CZ161" s="49"/>
      <c r="DA161" s="49"/>
      <c r="DB161" s="49"/>
      <c r="DC161" s="49"/>
      <c r="DD161" s="49"/>
      <c r="DE161" s="49"/>
      <c r="DF161" s="57"/>
      <c r="DG161" s="49"/>
      <c r="DH161" s="49"/>
      <c r="DI161" s="49"/>
      <c r="DJ161" s="49"/>
      <c r="DK161" s="27"/>
      <c r="DL161" s="49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59"/>
      <c r="EC161" s="59"/>
      <c r="ED161" s="59"/>
      <c r="EE161" s="14"/>
      <c r="EF161" s="14"/>
      <c r="GN161" s="48"/>
    </row>
    <row r="162" spans="2:196" x14ac:dyDescent="0.25">
      <c r="B162" s="50"/>
      <c r="C162" s="50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9"/>
      <c r="BI162" s="49"/>
      <c r="BJ162" s="57"/>
      <c r="BK162" s="59"/>
      <c r="BL162" s="59"/>
      <c r="BM162" s="57"/>
      <c r="BN162" s="49"/>
      <c r="BO162" s="49"/>
      <c r="BP162" s="57"/>
      <c r="BQ162" s="49"/>
      <c r="BR162" s="49"/>
      <c r="BS162" s="57"/>
      <c r="BT162" s="49"/>
      <c r="BU162" s="49"/>
      <c r="BV162" s="57"/>
      <c r="BW162" s="19"/>
      <c r="BX162" s="59"/>
      <c r="BY162" s="27"/>
      <c r="BZ162" s="59"/>
      <c r="CA162" s="57"/>
      <c r="CB162" s="49"/>
      <c r="CC162" s="49"/>
      <c r="CD162" s="49"/>
      <c r="CE162" s="49"/>
      <c r="CF162" s="49"/>
      <c r="CG162" s="49"/>
      <c r="CH162" s="57"/>
      <c r="CI162" s="49"/>
      <c r="CJ162" s="49"/>
      <c r="CK162" s="57"/>
      <c r="CL162" s="49"/>
      <c r="CM162" s="49"/>
      <c r="CN162" s="49"/>
      <c r="CO162" s="49"/>
      <c r="CP162" s="49"/>
      <c r="CQ162" s="49"/>
      <c r="CR162" s="57"/>
      <c r="CS162" s="49"/>
      <c r="CT162" s="49"/>
      <c r="CU162" s="49"/>
      <c r="CV162" s="49"/>
      <c r="CW162" s="49"/>
      <c r="CX162" s="49"/>
      <c r="CY162" s="57"/>
      <c r="CZ162" s="49"/>
      <c r="DA162" s="49"/>
      <c r="DB162" s="49"/>
      <c r="DC162" s="49"/>
      <c r="DD162" s="49"/>
      <c r="DE162" s="49"/>
      <c r="DF162" s="57"/>
      <c r="DG162" s="49"/>
      <c r="DH162" s="49"/>
      <c r="DI162" s="49"/>
      <c r="DJ162" s="49"/>
      <c r="DK162" s="27"/>
      <c r="DL162" s="49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59"/>
      <c r="EC162" s="59"/>
      <c r="ED162" s="59"/>
      <c r="EE162" s="14"/>
      <c r="EF162" s="14"/>
      <c r="GN162" s="48"/>
    </row>
    <row r="163" spans="2:196" x14ac:dyDescent="0.25">
      <c r="B163" s="50"/>
      <c r="C163" s="50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9"/>
      <c r="BI163" s="49"/>
      <c r="BJ163" s="57"/>
      <c r="BK163" s="59"/>
      <c r="BL163" s="59"/>
      <c r="BM163" s="57"/>
      <c r="BN163" s="49"/>
      <c r="BO163" s="49"/>
      <c r="BP163" s="57"/>
      <c r="BQ163" s="49"/>
      <c r="BR163" s="49"/>
      <c r="BS163" s="57"/>
      <c r="BT163" s="49"/>
      <c r="BU163" s="49"/>
      <c r="BV163" s="57"/>
      <c r="BW163" s="19"/>
      <c r="BX163" s="59"/>
      <c r="BY163" s="27"/>
      <c r="BZ163" s="59"/>
      <c r="CA163" s="57"/>
      <c r="CB163" s="49"/>
      <c r="CC163" s="49"/>
      <c r="CD163" s="49"/>
      <c r="CE163" s="49"/>
      <c r="CF163" s="49"/>
      <c r="CG163" s="49"/>
      <c r="CH163" s="57"/>
      <c r="CI163" s="49"/>
      <c r="CJ163" s="49"/>
      <c r="CK163" s="57"/>
      <c r="CL163" s="49"/>
      <c r="CM163" s="49"/>
      <c r="CN163" s="49"/>
      <c r="CO163" s="49"/>
      <c r="CP163" s="49"/>
      <c r="CQ163" s="49"/>
      <c r="CR163" s="57"/>
      <c r="CS163" s="49"/>
      <c r="CT163" s="49"/>
      <c r="CU163" s="49"/>
      <c r="CV163" s="49"/>
      <c r="CW163" s="49"/>
      <c r="CX163" s="49"/>
      <c r="CY163" s="57"/>
      <c r="CZ163" s="49"/>
      <c r="DA163" s="49"/>
      <c r="DB163" s="49"/>
      <c r="DC163" s="49"/>
      <c r="DD163" s="49"/>
      <c r="DE163" s="49"/>
      <c r="DF163" s="57"/>
      <c r="DG163" s="49"/>
      <c r="DH163" s="49"/>
      <c r="DI163" s="49"/>
      <c r="DJ163" s="49"/>
      <c r="DK163" s="27"/>
      <c r="DL163" s="49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59"/>
      <c r="EC163" s="59"/>
      <c r="ED163" s="59"/>
      <c r="EE163" s="14"/>
      <c r="EF163" s="14"/>
      <c r="GN163" s="48"/>
    </row>
    <row r="164" spans="2:196" x14ac:dyDescent="0.25">
      <c r="B164" s="50"/>
      <c r="C164" s="50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9"/>
      <c r="BI164" s="49"/>
      <c r="BJ164" s="57"/>
      <c r="BK164" s="59"/>
      <c r="BL164" s="59"/>
      <c r="BM164" s="57"/>
      <c r="BN164" s="49"/>
      <c r="BO164" s="49"/>
      <c r="BP164" s="57"/>
      <c r="BQ164" s="49"/>
      <c r="BR164" s="49"/>
      <c r="BS164" s="57"/>
      <c r="BT164" s="49"/>
      <c r="BU164" s="49"/>
      <c r="BV164" s="57"/>
      <c r="BW164" s="19"/>
      <c r="BX164" s="59"/>
      <c r="BY164" s="27"/>
      <c r="BZ164" s="59"/>
      <c r="CA164" s="57"/>
      <c r="CB164" s="49"/>
      <c r="CC164" s="49"/>
      <c r="CD164" s="49"/>
      <c r="CE164" s="49"/>
      <c r="CF164" s="49"/>
      <c r="CG164" s="49"/>
      <c r="CH164" s="57"/>
      <c r="CI164" s="49"/>
      <c r="CJ164" s="49"/>
      <c r="CK164" s="57"/>
      <c r="CL164" s="49"/>
      <c r="CM164" s="49"/>
      <c r="CN164" s="49"/>
      <c r="CO164" s="49"/>
      <c r="CP164" s="49"/>
      <c r="CQ164" s="49"/>
      <c r="CR164" s="57"/>
      <c r="CS164" s="49"/>
      <c r="CT164" s="49"/>
      <c r="CU164" s="49"/>
      <c r="CV164" s="49"/>
      <c r="CW164" s="49"/>
      <c r="CX164" s="49"/>
      <c r="CY164" s="57"/>
      <c r="CZ164" s="49"/>
      <c r="DA164" s="49"/>
      <c r="DB164" s="49"/>
      <c r="DC164" s="49"/>
      <c r="DD164" s="49"/>
      <c r="DE164" s="49"/>
      <c r="DF164" s="57"/>
      <c r="DG164" s="49"/>
      <c r="DH164" s="49"/>
      <c r="DI164" s="49"/>
      <c r="DJ164" s="49"/>
      <c r="DK164" s="27"/>
      <c r="DL164" s="49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59"/>
      <c r="EC164" s="59"/>
      <c r="ED164" s="59"/>
      <c r="EE164" s="14"/>
      <c r="EF164" s="14"/>
      <c r="GN164" s="48"/>
    </row>
    <row r="165" spans="2:196" x14ac:dyDescent="0.25">
      <c r="B165" s="50"/>
      <c r="C165" s="50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9"/>
      <c r="BI165" s="49"/>
      <c r="BJ165" s="57"/>
      <c r="BK165" s="59"/>
      <c r="BL165" s="59"/>
      <c r="BM165" s="57"/>
      <c r="BN165" s="49"/>
      <c r="BO165" s="49"/>
      <c r="BP165" s="57"/>
      <c r="BQ165" s="49"/>
      <c r="BR165" s="49"/>
      <c r="BS165" s="57"/>
      <c r="BT165" s="49"/>
      <c r="BU165" s="49"/>
      <c r="BV165" s="57"/>
      <c r="BW165" s="19"/>
      <c r="BX165" s="59"/>
      <c r="BY165" s="27"/>
      <c r="BZ165" s="59"/>
      <c r="CA165" s="57"/>
      <c r="CB165" s="49"/>
      <c r="CC165" s="49"/>
      <c r="CD165" s="49"/>
      <c r="CE165" s="49"/>
      <c r="CF165" s="49"/>
      <c r="CG165" s="49"/>
      <c r="CH165" s="57"/>
      <c r="CI165" s="49"/>
      <c r="CJ165" s="49"/>
      <c r="CK165" s="57"/>
      <c r="CL165" s="49"/>
      <c r="CM165" s="49"/>
      <c r="CN165" s="49"/>
      <c r="CO165" s="49"/>
      <c r="CP165" s="49"/>
      <c r="CQ165" s="49"/>
      <c r="CR165" s="57"/>
      <c r="CS165" s="49"/>
      <c r="CT165" s="49"/>
      <c r="CU165" s="49"/>
      <c r="CV165" s="49"/>
      <c r="CW165" s="49"/>
      <c r="CX165" s="49"/>
      <c r="CY165" s="57"/>
      <c r="CZ165" s="49"/>
      <c r="DA165" s="49"/>
      <c r="DB165" s="49"/>
      <c r="DC165" s="49"/>
      <c r="DD165" s="49"/>
      <c r="DE165" s="49"/>
      <c r="DF165" s="57"/>
      <c r="DG165" s="49"/>
      <c r="DH165" s="49"/>
      <c r="DI165" s="49"/>
      <c r="DJ165" s="49"/>
      <c r="DK165" s="27"/>
      <c r="DL165" s="49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59"/>
      <c r="EC165" s="59"/>
      <c r="ED165" s="59"/>
      <c r="EE165" s="14"/>
      <c r="EF165" s="14"/>
      <c r="GN165" s="48"/>
    </row>
    <row r="166" spans="2:196" x14ac:dyDescent="0.25">
      <c r="B166" s="50"/>
      <c r="C166" s="50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9"/>
      <c r="BI166" s="49"/>
      <c r="BJ166" s="57"/>
      <c r="BK166" s="59"/>
      <c r="BL166" s="59"/>
      <c r="BM166" s="57"/>
      <c r="BN166" s="49"/>
      <c r="BO166" s="49"/>
      <c r="BP166" s="57"/>
      <c r="BQ166" s="49"/>
      <c r="BR166" s="49"/>
      <c r="BS166" s="57"/>
      <c r="BT166" s="49"/>
      <c r="BU166" s="49"/>
      <c r="BV166" s="57"/>
      <c r="BW166" s="19"/>
      <c r="BX166" s="59"/>
      <c r="BY166" s="27"/>
      <c r="BZ166" s="59"/>
      <c r="CA166" s="57"/>
      <c r="CB166" s="49"/>
      <c r="CC166" s="49"/>
      <c r="CD166" s="49"/>
      <c r="CE166" s="49"/>
      <c r="CF166" s="49"/>
      <c r="CG166" s="49"/>
      <c r="CH166" s="57"/>
      <c r="CI166" s="49"/>
      <c r="CJ166" s="49"/>
      <c r="CK166" s="57"/>
      <c r="CL166" s="49"/>
      <c r="CM166" s="49"/>
      <c r="CN166" s="49"/>
      <c r="CO166" s="49"/>
      <c r="CP166" s="49"/>
      <c r="CQ166" s="49"/>
      <c r="CR166" s="57"/>
      <c r="CS166" s="49"/>
      <c r="CT166" s="49"/>
      <c r="CU166" s="49"/>
      <c r="CV166" s="49"/>
      <c r="CW166" s="49"/>
      <c r="CX166" s="49"/>
      <c r="CY166" s="57"/>
      <c r="CZ166" s="49"/>
      <c r="DA166" s="49"/>
      <c r="DB166" s="49"/>
      <c r="DC166" s="49"/>
      <c r="DD166" s="49"/>
      <c r="DE166" s="49"/>
      <c r="DF166" s="57"/>
      <c r="DG166" s="49"/>
      <c r="DH166" s="49"/>
      <c r="DI166" s="49"/>
      <c r="DJ166" s="49"/>
      <c r="DK166" s="27"/>
      <c r="DL166" s="49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59"/>
      <c r="EC166" s="59"/>
      <c r="ED166" s="59"/>
      <c r="EE166" s="14"/>
      <c r="EF166" s="14"/>
      <c r="GN166" s="48"/>
    </row>
    <row r="167" spans="2:196" x14ac:dyDescent="0.25">
      <c r="B167" s="50"/>
      <c r="C167" s="50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9"/>
      <c r="BI167" s="49"/>
      <c r="BJ167" s="57"/>
      <c r="BK167" s="59"/>
      <c r="BL167" s="59"/>
      <c r="BM167" s="57"/>
      <c r="BN167" s="49"/>
      <c r="BO167" s="49"/>
      <c r="BP167" s="57"/>
      <c r="BQ167" s="49"/>
      <c r="BR167" s="49"/>
      <c r="BS167" s="57"/>
      <c r="BT167" s="49"/>
      <c r="BU167" s="49"/>
      <c r="BV167" s="57"/>
      <c r="BW167" s="19"/>
      <c r="BX167" s="59"/>
      <c r="BY167" s="27"/>
      <c r="BZ167" s="59"/>
      <c r="CA167" s="57"/>
      <c r="CB167" s="49"/>
      <c r="CC167" s="49"/>
      <c r="CD167" s="49"/>
      <c r="CE167" s="49"/>
      <c r="CF167" s="49"/>
      <c r="CG167" s="49"/>
      <c r="CH167" s="57"/>
      <c r="CI167" s="49"/>
      <c r="CJ167" s="49"/>
      <c r="CK167" s="57"/>
      <c r="CL167" s="49"/>
      <c r="CM167" s="49"/>
      <c r="CN167" s="49"/>
      <c r="CO167" s="49"/>
      <c r="CP167" s="49"/>
      <c r="CQ167" s="49"/>
      <c r="CR167" s="57"/>
      <c r="CS167" s="49"/>
      <c r="CT167" s="49"/>
      <c r="CU167" s="49"/>
      <c r="CV167" s="49"/>
      <c r="CW167" s="49"/>
      <c r="CX167" s="49"/>
      <c r="CY167" s="57"/>
      <c r="CZ167" s="49"/>
      <c r="DA167" s="49"/>
      <c r="DB167" s="49"/>
      <c r="DC167" s="49"/>
      <c r="DD167" s="49"/>
      <c r="DE167" s="49"/>
      <c r="DF167" s="57"/>
      <c r="DG167" s="49"/>
      <c r="DH167" s="49"/>
      <c r="DI167" s="49"/>
      <c r="DJ167" s="49"/>
      <c r="DK167" s="27"/>
      <c r="DL167" s="49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59"/>
      <c r="EC167" s="59"/>
      <c r="ED167" s="59"/>
      <c r="EE167" s="14"/>
      <c r="EF167" s="14"/>
      <c r="GN167" s="48"/>
    </row>
    <row r="168" spans="2:196" x14ac:dyDescent="0.25">
      <c r="B168" s="50"/>
      <c r="C168" s="50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9"/>
      <c r="BI168" s="49"/>
      <c r="BJ168" s="57"/>
      <c r="BK168" s="59"/>
      <c r="BL168" s="59"/>
      <c r="BM168" s="57"/>
      <c r="BN168" s="49"/>
      <c r="BO168" s="49"/>
      <c r="BP168" s="57"/>
      <c r="BQ168" s="49"/>
      <c r="BR168" s="49"/>
      <c r="BS168" s="57"/>
      <c r="BT168" s="49"/>
      <c r="BU168" s="49"/>
      <c r="BV168" s="57"/>
      <c r="BW168" s="19"/>
      <c r="BX168" s="59"/>
      <c r="BY168" s="27"/>
      <c r="BZ168" s="59"/>
      <c r="CA168" s="57"/>
      <c r="CB168" s="49"/>
      <c r="CC168" s="49"/>
      <c r="CD168" s="49"/>
      <c r="CE168" s="49"/>
      <c r="CF168" s="49"/>
      <c r="CG168" s="49"/>
      <c r="CH168" s="57"/>
      <c r="CI168" s="49"/>
      <c r="CJ168" s="49"/>
      <c r="CK168" s="57"/>
      <c r="CL168" s="49"/>
      <c r="CM168" s="49"/>
      <c r="CN168" s="49"/>
      <c r="CO168" s="49"/>
      <c r="CP168" s="49"/>
      <c r="CQ168" s="49"/>
      <c r="CR168" s="57"/>
      <c r="CS168" s="49"/>
      <c r="CT168" s="49"/>
      <c r="CU168" s="49"/>
      <c r="CV168" s="49"/>
      <c r="CW168" s="49"/>
      <c r="CX168" s="49"/>
      <c r="CY168" s="57"/>
      <c r="CZ168" s="49"/>
      <c r="DA168" s="49"/>
      <c r="DB168" s="49"/>
      <c r="DC168" s="49"/>
      <c r="DD168" s="49"/>
      <c r="DE168" s="49"/>
      <c r="DF168" s="57"/>
      <c r="DG168" s="49"/>
      <c r="DH168" s="49"/>
      <c r="DI168" s="49"/>
      <c r="DJ168" s="49"/>
      <c r="DK168" s="27"/>
      <c r="DL168" s="49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59"/>
      <c r="EC168" s="59"/>
      <c r="ED168" s="59"/>
      <c r="EE168" s="14"/>
      <c r="EF168" s="14"/>
      <c r="GN168" s="48"/>
    </row>
    <row r="169" spans="2:196" x14ac:dyDescent="0.25">
      <c r="B169" s="50"/>
      <c r="C169" s="50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9"/>
      <c r="BI169" s="49"/>
      <c r="BJ169" s="57"/>
      <c r="BK169" s="59"/>
      <c r="BL169" s="59"/>
      <c r="BM169" s="57"/>
      <c r="BN169" s="49"/>
      <c r="BO169" s="49"/>
      <c r="BP169" s="57"/>
      <c r="BQ169" s="49"/>
      <c r="BR169" s="49"/>
      <c r="BS169" s="57"/>
      <c r="BT169" s="49"/>
      <c r="BU169" s="49"/>
      <c r="BV169" s="57"/>
      <c r="BW169" s="19"/>
      <c r="BX169" s="59"/>
      <c r="BY169" s="27"/>
      <c r="BZ169" s="59"/>
      <c r="CA169" s="57"/>
      <c r="CB169" s="49"/>
      <c r="CC169" s="49"/>
      <c r="CD169" s="49"/>
      <c r="CE169" s="49"/>
      <c r="CF169" s="49"/>
      <c r="CG169" s="49"/>
      <c r="CH169" s="57"/>
      <c r="CI169" s="49"/>
      <c r="CJ169" s="49"/>
      <c r="CK169" s="57"/>
      <c r="CL169" s="49"/>
      <c r="CM169" s="49"/>
      <c r="CN169" s="49"/>
      <c r="CO169" s="49"/>
      <c r="CP169" s="49"/>
      <c r="CQ169" s="49"/>
      <c r="CR169" s="57"/>
      <c r="CS169" s="49"/>
      <c r="CT169" s="49"/>
      <c r="CU169" s="49"/>
      <c r="CV169" s="49"/>
      <c r="CW169" s="49"/>
      <c r="CX169" s="49"/>
      <c r="CY169" s="57"/>
      <c r="CZ169" s="49"/>
      <c r="DA169" s="49"/>
      <c r="DB169" s="49"/>
      <c r="DC169" s="49"/>
      <c r="DD169" s="49"/>
      <c r="DE169" s="49"/>
      <c r="DF169" s="57"/>
      <c r="DG169" s="49"/>
      <c r="DH169" s="49"/>
      <c r="DI169" s="49"/>
      <c r="DJ169" s="49"/>
      <c r="DK169" s="27"/>
      <c r="DL169" s="49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59"/>
      <c r="EC169" s="59"/>
      <c r="ED169" s="59"/>
      <c r="EE169" s="14"/>
      <c r="EF169" s="14"/>
      <c r="GN169" s="48"/>
    </row>
    <row r="170" spans="2:196" x14ac:dyDescent="0.25">
      <c r="B170" s="50"/>
      <c r="C170" s="50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9"/>
      <c r="BI170" s="49"/>
      <c r="BJ170" s="57"/>
      <c r="BK170" s="59"/>
      <c r="BL170" s="59"/>
      <c r="BM170" s="57"/>
      <c r="BN170" s="49"/>
      <c r="BO170" s="49"/>
      <c r="BP170" s="57"/>
      <c r="BQ170" s="49"/>
      <c r="BR170" s="49"/>
      <c r="BS170" s="57"/>
      <c r="BT170" s="49"/>
      <c r="BU170" s="49"/>
      <c r="BV170" s="57"/>
      <c r="BW170" s="19"/>
      <c r="BX170" s="59"/>
      <c r="BY170" s="27"/>
      <c r="BZ170" s="59"/>
      <c r="CA170" s="57"/>
      <c r="CB170" s="49"/>
      <c r="CC170" s="49"/>
      <c r="CD170" s="49"/>
      <c r="CE170" s="49"/>
      <c r="CF170" s="49"/>
      <c r="CG170" s="49"/>
      <c r="CH170" s="57"/>
      <c r="CI170" s="49"/>
      <c r="CJ170" s="49"/>
      <c r="CK170" s="57"/>
      <c r="CL170" s="49"/>
      <c r="CM170" s="49"/>
      <c r="CN170" s="49"/>
      <c r="CO170" s="49"/>
      <c r="CP170" s="49"/>
      <c r="CQ170" s="49"/>
      <c r="CR170" s="57"/>
      <c r="CS170" s="49"/>
      <c r="CT170" s="49"/>
      <c r="CU170" s="49"/>
      <c r="CV170" s="49"/>
      <c r="CW170" s="49"/>
      <c r="CX170" s="49"/>
      <c r="CY170" s="57"/>
      <c r="CZ170" s="49"/>
      <c r="DA170" s="49"/>
      <c r="DB170" s="49"/>
      <c r="DC170" s="49"/>
      <c r="DD170" s="49"/>
      <c r="DE170" s="49"/>
      <c r="DF170" s="57"/>
      <c r="DG170" s="49"/>
      <c r="DH170" s="49"/>
      <c r="DI170" s="49"/>
      <c r="DJ170" s="49"/>
      <c r="DK170" s="27"/>
      <c r="DL170" s="49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59"/>
      <c r="EC170" s="59"/>
      <c r="ED170" s="59"/>
      <c r="EE170" s="14"/>
      <c r="EF170" s="14"/>
      <c r="GN170" s="48"/>
    </row>
    <row r="171" spans="2:196" x14ac:dyDescent="0.25">
      <c r="B171" s="50"/>
      <c r="C171" s="50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9"/>
      <c r="BI171" s="49"/>
      <c r="BJ171" s="57"/>
      <c r="BK171" s="59"/>
      <c r="BL171" s="59"/>
      <c r="BM171" s="57"/>
      <c r="BN171" s="49"/>
      <c r="BO171" s="49"/>
      <c r="BP171" s="57"/>
      <c r="BQ171" s="49"/>
      <c r="BR171" s="49"/>
      <c r="BS171" s="57"/>
      <c r="BT171" s="49"/>
      <c r="BU171" s="49"/>
      <c r="BV171" s="57"/>
      <c r="BW171" s="19"/>
      <c r="BX171" s="59"/>
      <c r="BY171" s="27"/>
      <c r="BZ171" s="59"/>
      <c r="CA171" s="57"/>
      <c r="CB171" s="49"/>
      <c r="CC171" s="49"/>
      <c r="CD171" s="49"/>
      <c r="CE171" s="49"/>
      <c r="CF171" s="49"/>
      <c r="CG171" s="49"/>
      <c r="CH171" s="57"/>
      <c r="CI171" s="49"/>
      <c r="CJ171" s="49"/>
      <c r="CK171" s="57"/>
      <c r="CL171" s="49"/>
      <c r="CM171" s="49"/>
      <c r="CN171" s="49"/>
      <c r="CO171" s="49"/>
      <c r="CP171" s="49"/>
      <c r="CQ171" s="49"/>
      <c r="CR171" s="57"/>
      <c r="CS171" s="49"/>
      <c r="CT171" s="49"/>
      <c r="CU171" s="49"/>
      <c r="CV171" s="49"/>
      <c r="CW171" s="49"/>
      <c r="CX171" s="49"/>
      <c r="CY171" s="57"/>
      <c r="CZ171" s="49"/>
      <c r="DA171" s="49"/>
      <c r="DB171" s="49"/>
      <c r="DC171" s="49"/>
      <c r="DD171" s="49"/>
      <c r="DE171" s="49"/>
      <c r="DF171" s="57"/>
      <c r="DG171" s="49"/>
      <c r="DH171" s="49"/>
      <c r="DI171" s="49"/>
      <c r="DJ171" s="49"/>
      <c r="DK171" s="27"/>
      <c r="DL171" s="49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59"/>
      <c r="EC171" s="59"/>
      <c r="ED171" s="59"/>
      <c r="EE171" s="14"/>
      <c r="EF171" s="14"/>
      <c r="GN171" s="48"/>
    </row>
    <row r="172" spans="2:196" x14ac:dyDescent="0.25">
      <c r="B172" s="50"/>
      <c r="C172" s="50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9"/>
      <c r="BI172" s="49"/>
      <c r="BJ172" s="57"/>
      <c r="BK172" s="59"/>
      <c r="BL172" s="59"/>
      <c r="BM172" s="57"/>
      <c r="BN172" s="49"/>
      <c r="BO172" s="49"/>
      <c r="BP172" s="57"/>
      <c r="BQ172" s="49"/>
      <c r="BR172" s="49"/>
      <c r="BS172" s="57"/>
      <c r="BT172" s="49"/>
      <c r="BU172" s="49"/>
      <c r="BV172" s="57"/>
      <c r="BW172" s="19"/>
      <c r="BX172" s="59"/>
      <c r="BY172" s="27"/>
      <c r="BZ172" s="59"/>
      <c r="CA172" s="57"/>
      <c r="CB172" s="49"/>
      <c r="CC172" s="49"/>
      <c r="CD172" s="49"/>
      <c r="CE172" s="49"/>
      <c r="CF172" s="49"/>
      <c r="CG172" s="49"/>
      <c r="CH172" s="57"/>
      <c r="CI172" s="49"/>
      <c r="CJ172" s="49"/>
      <c r="CK172" s="57"/>
      <c r="CL172" s="49"/>
      <c r="CM172" s="49"/>
      <c r="CN172" s="49"/>
      <c r="CO172" s="49"/>
      <c r="CP172" s="49"/>
      <c r="CQ172" s="49"/>
      <c r="CR172" s="57"/>
      <c r="CS172" s="49"/>
      <c r="CT172" s="49"/>
      <c r="CU172" s="49"/>
      <c r="CV172" s="49"/>
      <c r="CW172" s="49"/>
      <c r="CX172" s="49"/>
      <c r="CY172" s="57"/>
      <c r="CZ172" s="49"/>
      <c r="DA172" s="49"/>
      <c r="DB172" s="49"/>
      <c r="DC172" s="49"/>
      <c r="DD172" s="49"/>
      <c r="DE172" s="49"/>
      <c r="DF172" s="57"/>
      <c r="DG172" s="49"/>
      <c r="DH172" s="49"/>
      <c r="DI172" s="49"/>
      <c r="DJ172" s="49"/>
      <c r="DK172" s="27"/>
      <c r="DL172" s="49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59"/>
      <c r="EC172" s="59"/>
      <c r="ED172" s="59"/>
      <c r="EE172" s="14"/>
      <c r="EF172" s="14"/>
      <c r="GN172" s="48"/>
    </row>
    <row r="173" spans="2:196" x14ac:dyDescent="0.25">
      <c r="B173" s="50"/>
      <c r="C173" s="50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9"/>
      <c r="BI173" s="49"/>
      <c r="BJ173" s="57"/>
      <c r="BK173" s="59"/>
      <c r="BL173" s="59"/>
      <c r="BM173" s="57"/>
      <c r="BN173" s="49"/>
      <c r="BO173" s="49"/>
      <c r="BP173" s="57"/>
      <c r="BQ173" s="49"/>
      <c r="BR173" s="49"/>
      <c r="BS173" s="57"/>
      <c r="BT173" s="49"/>
      <c r="BU173" s="49"/>
      <c r="BV173" s="57"/>
      <c r="BW173" s="19"/>
      <c r="BX173" s="59"/>
      <c r="BY173" s="27"/>
      <c r="BZ173" s="59"/>
      <c r="CA173" s="57"/>
      <c r="CB173" s="49"/>
      <c r="CC173" s="49"/>
      <c r="CD173" s="49"/>
      <c r="CE173" s="49"/>
      <c r="CF173" s="49"/>
      <c r="CG173" s="49"/>
      <c r="CH173" s="57"/>
      <c r="CI173" s="49"/>
      <c r="CJ173" s="49"/>
      <c r="CK173" s="57"/>
      <c r="CL173" s="49"/>
      <c r="CM173" s="49"/>
      <c r="CN173" s="49"/>
      <c r="CO173" s="49"/>
      <c r="CP173" s="49"/>
      <c r="CQ173" s="49"/>
      <c r="CR173" s="57"/>
      <c r="CS173" s="49"/>
      <c r="CT173" s="49"/>
      <c r="CU173" s="49"/>
      <c r="CV173" s="49"/>
      <c r="CW173" s="49"/>
      <c r="CX173" s="49"/>
      <c r="CY173" s="57"/>
      <c r="CZ173" s="49"/>
      <c r="DA173" s="49"/>
      <c r="DB173" s="49"/>
      <c r="DC173" s="49"/>
      <c r="DD173" s="49"/>
      <c r="DE173" s="49"/>
      <c r="DF173" s="57"/>
      <c r="DG173" s="49"/>
      <c r="DH173" s="49"/>
      <c r="DI173" s="49"/>
      <c r="DJ173" s="49"/>
      <c r="DK173" s="27"/>
      <c r="DL173" s="49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59"/>
      <c r="EC173" s="59"/>
      <c r="ED173" s="59"/>
      <c r="EE173" s="14"/>
      <c r="EF173" s="14"/>
      <c r="GN173" s="48"/>
    </row>
    <row r="174" spans="2:196" x14ac:dyDescent="0.25">
      <c r="B174" s="50"/>
      <c r="C174" s="50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9"/>
      <c r="BI174" s="49"/>
      <c r="BJ174" s="57"/>
      <c r="BK174" s="59"/>
      <c r="BL174" s="59"/>
      <c r="BM174" s="57"/>
      <c r="BN174" s="49"/>
      <c r="BO174" s="49"/>
      <c r="BP174" s="57"/>
      <c r="BQ174" s="49"/>
      <c r="BR174" s="49"/>
      <c r="BS174" s="57"/>
      <c r="BT174" s="49"/>
      <c r="BU174" s="49"/>
      <c r="BV174" s="57"/>
      <c r="BW174" s="19"/>
      <c r="BX174" s="59"/>
      <c r="BY174" s="27"/>
      <c r="BZ174" s="59"/>
      <c r="CA174" s="57"/>
      <c r="CB174" s="49"/>
      <c r="CC174" s="49"/>
      <c r="CD174" s="49"/>
      <c r="CE174" s="49"/>
      <c r="CF174" s="49"/>
      <c r="CG174" s="49"/>
      <c r="CH174" s="57"/>
      <c r="CI174" s="49"/>
      <c r="CJ174" s="49"/>
      <c r="CK174" s="57"/>
      <c r="CL174" s="49"/>
      <c r="CM174" s="49"/>
      <c r="CN174" s="49"/>
      <c r="CO174" s="49"/>
      <c r="CP174" s="49"/>
      <c r="CQ174" s="49"/>
      <c r="CR174" s="57"/>
      <c r="CS174" s="49"/>
      <c r="CT174" s="49"/>
      <c r="CU174" s="49"/>
      <c r="CV174" s="49"/>
      <c r="CW174" s="49"/>
      <c r="CX174" s="49"/>
      <c r="CY174" s="57"/>
      <c r="CZ174" s="49"/>
      <c r="DA174" s="49"/>
      <c r="DB174" s="49"/>
      <c r="DC174" s="49"/>
      <c r="DD174" s="49"/>
      <c r="DE174" s="49"/>
      <c r="DF174" s="57"/>
      <c r="DG174" s="49"/>
      <c r="DH174" s="49"/>
      <c r="DI174" s="49"/>
      <c r="DJ174" s="49"/>
      <c r="DK174" s="27"/>
      <c r="DL174" s="49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59"/>
      <c r="EC174" s="59"/>
      <c r="ED174" s="59"/>
      <c r="EE174" s="14"/>
      <c r="EF174" s="14"/>
      <c r="GN174" s="48"/>
    </row>
    <row r="175" spans="2:196" x14ac:dyDescent="0.25">
      <c r="B175" s="50"/>
      <c r="C175" s="50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9"/>
      <c r="BI175" s="49"/>
      <c r="BJ175" s="57"/>
      <c r="BK175" s="59"/>
      <c r="BL175" s="59"/>
      <c r="BM175" s="57"/>
      <c r="BN175" s="49"/>
      <c r="BO175" s="49"/>
      <c r="BP175" s="57"/>
      <c r="BQ175" s="49"/>
      <c r="BR175" s="49"/>
      <c r="BS175" s="57"/>
      <c r="BT175" s="49"/>
      <c r="BU175" s="49"/>
      <c r="BV175" s="57"/>
      <c r="BW175" s="19"/>
      <c r="BX175" s="59"/>
      <c r="BY175" s="27"/>
      <c r="BZ175" s="59"/>
      <c r="CA175" s="57"/>
      <c r="CB175" s="49"/>
      <c r="CC175" s="49"/>
      <c r="CD175" s="49"/>
      <c r="CE175" s="49"/>
      <c r="CF175" s="49"/>
      <c r="CG175" s="49"/>
      <c r="CH175" s="57"/>
      <c r="CI175" s="49"/>
      <c r="CJ175" s="49"/>
      <c r="CK175" s="57"/>
      <c r="CL175" s="49"/>
      <c r="CM175" s="49"/>
      <c r="CN175" s="49"/>
      <c r="CO175" s="49"/>
      <c r="CP175" s="49"/>
      <c r="CQ175" s="49"/>
      <c r="CR175" s="57"/>
      <c r="CS175" s="49"/>
      <c r="CT175" s="49"/>
      <c r="CU175" s="49"/>
      <c r="CV175" s="49"/>
      <c r="CW175" s="49"/>
      <c r="CX175" s="49"/>
      <c r="CY175" s="57"/>
      <c r="CZ175" s="49"/>
      <c r="DA175" s="49"/>
      <c r="DB175" s="49"/>
      <c r="DC175" s="49"/>
      <c r="DD175" s="49"/>
      <c r="DE175" s="49"/>
      <c r="DF175" s="57"/>
      <c r="DG175" s="49"/>
      <c r="DH175" s="49"/>
      <c r="DI175" s="49"/>
      <c r="DJ175" s="49"/>
      <c r="DK175" s="27"/>
      <c r="DL175" s="49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59"/>
      <c r="EC175" s="59"/>
      <c r="ED175" s="59"/>
      <c r="EE175" s="14"/>
      <c r="EF175" s="14"/>
      <c r="GN175" s="48"/>
    </row>
    <row r="176" spans="2:196" x14ac:dyDescent="0.25">
      <c r="B176" s="50"/>
      <c r="C176" s="50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9"/>
      <c r="BI176" s="49"/>
      <c r="BJ176" s="57"/>
      <c r="BK176" s="59"/>
      <c r="BL176" s="59"/>
      <c r="BM176" s="57"/>
      <c r="BN176" s="49"/>
      <c r="BO176" s="49"/>
      <c r="BP176" s="57"/>
      <c r="BQ176" s="49"/>
      <c r="BR176" s="49"/>
      <c r="BS176" s="57"/>
      <c r="BT176" s="49"/>
      <c r="BU176" s="49"/>
      <c r="BV176" s="57"/>
      <c r="BW176" s="19"/>
      <c r="BX176" s="59"/>
      <c r="BY176" s="27"/>
      <c r="BZ176" s="59"/>
      <c r="CA176" s="57"/>
      <c r="CB176" s="49"/>
      <c r="CC176" s="49"/>
      <c r="CD176" s="49"/>
      <c r="CE176" s="49"/>
      <c r="CF176" s="49"/>
      <c r="CG176" s="49"/>
      <c r="CH176" s="57"/>
      <c r="CI176" s="49"/>
      <c r="CJ176" s="49"/>
      <c r="CK176" s="57"/>
      <c r="CL176" s="49"/>
      <c r="CM176" s="49"/>
      <c r="CN176" s="49"/>
      <c r="CO176" s="49"/>
      <c r="CP176" s="49"/>
      <c r="CQ176" s="49"/>
      <c r="CR176" s="57"/>
      <c r="CS176" s="49"/>
      <c r="CT176" s="49"/>
      <c r="CU176" s="49"/>
      <c r="CV176" s="49"/>
      <c r="CW176" s="49"/>
      <c r="CX176" s="49"/>
      <c r="CY176" s="57"/>
      <c r="CZ176" s="49"/>
      <c r="DA176" s="49"/>
      <c r="DB176" s="49"/>
      <c r="DC176" s="49"/>
      <c r="DD176" s="49"/>
      <c r="DE176" s="49"/>
      <c r="DF176" s="57"/>
      <c r="DG176" s="49"/>
      <c r="DH176" s="49"/>
      <c r="DI176" s="49"/>
      <c r="DJ176" s="49"/>
      <c r="DK176" s="27"/>
      <c r="DL176" s="49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59"/>
      <c r="EC176" s="59"/>
      <c r="ED176" s="59"/>
      <c r="EE176" s="14"/>
      <c r="EF176" s="14"/>
      <c r="GN176" s="48"/>
    </row>
    <row r="177" spans="2:196" x14ac:dyDescent="0.25">
      <c r="B177" s="50"/>
      <c r="C177" s="50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9"/>
      <c r="BI177" s="49"/>
      <c r="BJ177" s="57"/>
      <c r="BK177" s="59"/>
      <c r="BL177" s="59"/>
      <c r="BM177" s="57"/>
      <c r="BN177" s="49"/>
      <c r="BO177" s="49"/>
      <c r="BP177" s="57"/>
      <c r="BQ177" s="49"/>
      <c r="BR177" s="49"/>
      <c r="BS177" s="57"/>
      <c r="BT177" s="49"/>
      <c r="BU177" s="49"/>
      <c r="BV177" s="57"/>
      <c r="BW177" s="19"/>
      <c r="BX177" s="59"/>
      <c r="BY177" s="27"/>
      <c r="BZ177" s="59"/>
      <c r="CA177" s="57"/>
      <c r="CB177" s="49"/>
      <c r="CC177" s="49"/>
      <c r="CD177" s="49"/>
      <c r="CE177" s="49"/>
      <c r="CF177" s="49"/>
      <c r="CG177" s="49"/>
      <c r="CH177" s="57"/>
      <c r="CI177" s="49"/>
      <c r="CJ177" s="49"/>
      <c r="CK177" s="57"/>
      <c r="CL177" s="49"/>
      <c r="CM177" s="49"/>
      <c r="CN177" s="49"/>
      <c r="CO177" s="49"/>
      <c r="CP177" s="49"/>
      <c r="CQ177" s="49"/>
      <c r="CR177" s="57"/>
      <c r="CS177" s="49"/>
      <c r="CT177" s="49"/>
      <c r="CU177" s="49"/>
      <c r="CV177" s="49"/>
      <c r="CW177" s="49"/>
      <c r="CX177" s="49"/>
      <c r="CY177" s="57"/>
      <c r="CZ177" s="49"/>
      <c r="DA177" s="49"/>
      <c r="DB177" s="49"/>
      <c r="DC177" s="49"/>
      <c r="DD177" s="49"/>
      <c r="DE177" s="49"/>
      <c r="DF177" s="57"/>
      <c r="DG177" s="49"/>
      <c r="DH177" s="49"/>
      <c r="DI177" s="49"/>
      <c r="DJ177" s="49"/>
      <c r="DK177" s="27"/>
      <c r="DL177" s="49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59"/>
      <c r="EC177" s="59"/>
      <c r="ED177" s="59"/>
      <c r="EE177" s="14"/>
      <c r="EF177" s="14"/>
      <c r="GN177" s="48"/>
    </row>
    <row r="178" spans="2:196" x14ac:dyDescent="0.25">
      <c r="B178" s="50"/>
      <c r="C178" s="50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9"/>
      <c r="BI178" s="49"/>
      <c r="BJ178" s="57"/>
      <c r="BK178" s="59"/>
      <c r="BL178" s="59"/>
      <c r="BM178" s="57"/>
      <c r="BN178" s="49"/>
      <c r="BO178" s="49"/>
      <c r="BP178" s="57"/>
      <c r="BQ178" s="49"/>
      <c r="BR178" s="49"/>
      <c r="BS178" s="57"/>
      <c r="BT178" s="49"/>
      <c r="BU178" s="49"/>
      <c r="BV178" s="57"/>
      <c r="BW178" s="19"/>
      <c r="BX178" s="59"/>
      <c r="BY178" s="27"/>
      <c r="BZ178" s="59"/>
      <c r="CA178" s="57"/>
      <c r="CB178" s="49"/>
      <c r="CC178" s="49"/>
      <c r="CD178" s="49"/>
      <c r="CE178" s="49"/>
      <c r="CF178" s="49"/>
      <c r="CG178" s="49"/>
      <c r="CH178" s="57"/>
      <c r="CI178" s="49"/>
      <c r="CJ178" s="49"/>
      <c r="CK178" s="57"/>
      <c r="CL178" s="49"/>
      <c r="CM178" s="49"/>
      <c r="CN178" s="49"/>
      <c r="CO178" s="49"/>
      <c r="CP178" s="49"/>
      <c r="CQ178" s="49"/>
      <c r="CR178" s="57"/>
      <c r="CS178" s="49"/>
      <c r="CT178" s="49"/>
      <c r="CU178" s="49"/>
      <c r="CV178" s="49"/>
      <c r="CW178" s="49"/>
      <c r="CX178" s="49"/>
      <c r="CY178" s="57"/>
      <c r="CZ178" s="49"/>
      <c r="DA178" s="49"/>
      <c r="DB178" s="49"/>
      <c r="DC178" s="49"/>
      <c r="DD178" s="49"/>
      <c r="DE178" s="49"/>
      <c r="DF178" s="57"/>
      <c r="DG178" s="49"/>
      <c r="DH178" s="49"/>
      <c r="DI178" s="49"/>
      <c r="DJ178" s="49"/>
      <c r="DK178" s="27"/>
      <c r="DL178" s="49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59"/>
      <c r="EC178" s="59"/>
      <c r="ED178" s="59"/>
      <c r="EE178" s="14"/>
      <c r="EF178" s="14"/>
      <c r="GN178" s="48"/>
    </row>
    <row r="179" spans="2:196" x14ac:dyDescent="0.25">
      <c r="B179" s="50"/>
      <c r="C179" s="50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9"/>
      <c r="BI179" s="49"/>
      <c r="BJ179" s="57"/>
      <c r="BK179" s="59"/>
      <c r="BL179" s="59"/>
      <c r="BM179" s="57"/>
      <c r="BN179" s="49"/>
      <c r="BO179" s="49"/>
      <c r="BP179" s="57"/>
      <c r="BQ179" s="49"/>
      <c r="BR179" s="49"/>
      <c r="BS179" s="57"/>
      <c r="BT179" s="49"/>
      <c r="BU179" s="49"/>
      <c r="BV179" s="57"/>
      <c r="BW179" s="19"/>
      <c r="BX179" s="59"/>
      <c r="BY179" s="27"/>
      <c r="BZ179" s="59"/>
      <c r="CA179" s="57"/>
      <c r="CB179" s="49"/>
      <c r="CC179" s="49"/>
      <c r="CD179" s="49"/>
      <c r="CE179" s="49"/>
      <c r="CF179" s="49"/>
      <c r="CG179" s="49"/>
      <c r="CH179" s="57"/>
      <c r="CI179" s="49"/>
      <c r="CJ179" s="49"/>
      <c r="CK179" s="57"/>
      <c r="CL179" s="49"/>
      <c r="CM179" s="49"/>
      <c r="CN179" s="49"/>
      <c r="CO179" s="49"/>
      <c r="CP179" s="49"/>
      <c r="CQ179" s="49"/>
      <c r="CR179" s="57"/>
      <c r="CS179" s="49"/>
      <c r="CT179" s="49"/>
      <c r="CU179" s="49"/>
      <c r="CV179" s="49"/>
      <c r="CW179" s="49"/>
      <c r="CX179" s="49"/>
      <c r="CY179" s="57"/>
      <c r="CZ179" s="49"/>
      <c r="DA179" s="49"/>
      <c r="DB179" s="49"/>
      <c r="DC179" s="49"/>
      <c r="DD179" s="49"/>
      <c r="DE179" s="49"/>
      <c r="DF179" s="57"/>
      <c r="DG179" s="49"/>
      <c r="DH179" s="49"/>
      <c r="DI179" s="49"/>
      <c r="DJ179" s="49"/>
      <c r="DK179" s="27"/>
      <c r="DL179" s="49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59"/>
      <c r="EC179" s="59"/>
      <c r="ED179" s="59"/>
      <c r="EE179" s="14"/>
      <c r="EF179" s="14"/>
      <c r="GN179" s="48"/>
    </row>
    <row r="180" spans="2:196" x14ac:dyDescent="0.25">
      <c r="B180" s="50"/>
      <c r="C180" s="50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9"/>
      <c r="BI180" s="49"/>
      <c r="BJ180" s="57"/>
      <c r="BK180" s="59"/>
      <c r="BL180" s="59"/>
      <c r="BM180" s="57"/>
      <c r="BN180" s="49"/>
      <c r="BO180" s="49"/>
      <c r="BP180" s="57"/>
      <c r="BQ180" s="49"/>
      <c r="BR180" s="49"/>
      <c r="BS180" s="57"/>
      <c r="BT180" s="49"/>
      <c r="BU180" s="49"/>
      <c r="BV180" s="57"/>
      <c r="BW180" s="19"/>
      <c r="BX180" s="59"/>
      <c r="BY180" s="27"/>
      <c r="BZ180" s="59"/>
      <c r="CA180" s="57"/>
      <c r="CB180" s="49"/>
      <c r="CC180" s="49"/>
      <c r="CD180" s="49"/>
      <c r="CE180" s="49"/>
      <c r="CF180" s="49"/>
      <c r="CG180" s="49"/>
      <c r="CH180" s="57"/>
      <c r="CI180" s="49"/>
      <c r="CJ180" s="49"/>
      <c r="CK180" s="57"/>
      <c r="CL180" s="49"/>
      <c r="CM180" s="49"/>
      <c r="CN180" s="49"/>
      <c r="CO180" s="49"/>
      <c r="CP180" s="49"/>
      <c r="CQ180" s="49"/>
      <c r="CR180" s="57"/>
      <c r="CS180" s="49"/>
      <c r="CT180" s="49"/>
      <c r="CU180" s="49"/>
      <c r="CV180" s="49"/>
      <c r="CW180" s="49"/>
      <c r="CX180" s="49"/>
      <c r="CY180" s="57"/>
      <c r="CZ180" s="49"/>
      <c r="DA180" s="49"/>
      <c r="DB180" s="49"/>
      <c r="DC180" s="49"/>
      <c r="DD180" s="49"/>
      <c r="DE180" s="49"/>
      <c r="DF180" s="57"/>
      <c r="DG180" s="49"/>
      <c r="DH180" s="49"/>
      <c r="DI180" s="49"/>
      <c r="DJ180" s="49"/>
      <c r="DK180" s="27"/>
      <c r="DL180" s="49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59"/>
      <c r="EC180" s="59"/>
      <c r="ED180" s="59"/>
      <c r="EE180" s="14"/>
      <c r="EF180" s="14"/>
      <c r="GN180" s="48"/>
    </row>
    <row r="181" spans="2:196" x14ac:dyDescent="0.25">
      <c r="B181" s="50"/>
      <c r="C181" s="50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9"/>
      <c r="BI181" s="49"/>
      <c r="BJ181" s="57"/>
      <c r="BK181" s="59"/>
      <c r="BL181" s="59"/>
      <c r="BM181" s="57"/>
      <c r="BN181" s="49"/>
      <c r="BO181" s="49"/>
      <c r="BP181" s="57"/>
      <c r="BQ181" s="49"/>
      <c r="BR181" s="49"/>
      <c r="BS181" s="57"/>
      <c r="BT181" s="49"/>
      <c r="BU181" s="49"/>
      <c r="BV181" s="57"/>
      <c r="BW181" s="19"/>
      <c r="BX181" s="59"/>
      <c r="BY181" s="27"/>
      <c r="BZ181" s="59"/>
      <c r="CA181" s="57"/>
      <c r="CB181" s="49"/>
      <c r="CC181" s="49"/>
      <c r="CD181" s="49"/>
      <c r="CE181" s="49"/>
      <c r="CF181" s="49"/>
      <c r="CG181" s="49"/>
      <c r="CH181" s="57"/>
      <c r="CI181" s="49"/>
      <c r="CJ181" s="49"/>
      <c r="CK181" s="57"/>
      <c r="CL181" s="49"/>
      <c r="CM181" s="49"/>
      <c r="CN181" s="49"/>
      <c r="CO181" s="49"/>
      <c r="CP181" s="49"/>
      <c r="CQ181" s="49"/>
      <c r="CR181" s="57"/>
      <c r="CS181" s="49"/>
      <c r="CT181" s="49"/>
      <c r="CU181" s="49"/>
      <c r="CV181" s="49"/>
      <c r="CW181" s="49"/>
      <c r="CX181" s="49"/>
      <c r="CY181" s="57"/>
      <c r="CZ181" s="49"/>
      <c r="DA181" s="49"/>
      <c r="DB181" s="49"/>
      <c r="DC181" s="49"/>
      <c r="DD181" s="49"/>
      <c r="DE181" s="49"/>
      <c r="DF181" s="57"/>
      <c r="DG181" s="49"/>
      <c r="DH181" s="49"/>
      <c r="DI181" s="49"/>
      <c r="DJ181" s="49"/>
      <c r="DK181" s="27"/>
      <c r="DL181" s="49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59"/>
      <c r="EC181" s="59"/>
      <c r="ED181" s="59"/>
      <c r="EE181" s="14"/>
      <c r="EF181" s="14"/>
      <c r="GN181" s="48"/>
    </row>
    <row r="182" spans="2:196" x14ac:dyDescent="0.25">
      <c r="B182" s="50"/>
      <c r="C182" s="50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9"/>
      <c r="BI182" s="49"/>
      <c r="BJ182" s="57"/>
      <c r="BK182" s="59"/>
      <c r="BL182" s="59"/>
      <c r="BM182" s="57"/>
      <c r="BN182" s="49"/>
      <c r="BO182" s="49"/>
      <c r="BP182" s="57"/>
      <c r="BQ182" s="49"/>
      <c r="BR182" s="49"/>
      <c r="BS182" s="57"/>
      <c r="BT182" s="49"/>
      <c r="BU182" s="49"/>
      <c r="BV182" s="57"/>
      <c r="BW182" s="19"/>
      <c r="BX182" s="59"/>
      <c r="BY182" s="27"/>
      <c r="BZ182" s="59"/>
      <c r="CA182" s="57"/>
      <c r="CB182" s="49"/>
      <c r="CC182" s="49"/>
      <c r="CD182" s="49"/>
      <c r="CE182" s="49"/>
      <c r="CF182" s="49"/>
      <c r="CG182" s="49"/>
      <c r="CH182" s="57"/>
      <c r="CI182" s="49"/>
      <c r="CJ182" s="49"/>
      <c r="CK182" s="57"/>
      <c r="CL182" s="49"/>
      <c r="CM182" s="49"/>
      <c r="CN182" s="49"/>
      <c r="CO182" s="49"/>
      <c r="CP182" s="49"/>
      <c r="CQ182" s="49"/>
      <c r="CR182" s="57"/>
      <c r="CS182" s="49"/>
      <c r="CT182" s="49"/>
      <c r="CU182" s="49"/>
      <c r="CV182" s="49"/>
      <c r="CW182" s="49"/>
      <c r="CX182" s="49"/>
      <c r="CY182" s="57"/>
      <c r="CZ182" s="49"/>
      <c r="DA182" s="49"/>
      <c r="DB182" s="49"/>
      <c r="DC182" s="49"/>
      <c r="DD182" s="49"/>
      <c r="DE182" s="49"/>
      <c r="DF182" s="57"/>
      <c r="DG182" s="49"/>
      <c r="DH182" s="49"/>
      <c r="DI182" s="49"/>
      <c r="DJ182" s="49"/>
      <c r="DK182" s="27"/>
      <c r="DL182" s="49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59"/>
      <c r="EC182" s="59"/>
      <c r="ED182" s="59"/>
      <c r="EE182" s="14"/>
      <c r="EF182" s="14"/>
      <c r="GN182" s="48"/>
    </row>
    <row r="183" spans="2:196" x14ac:dyDescent="0.25">
      <c r="B183" s="50"/>
      <c r="C183" s="50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9"/>
      <c r="BI183" s="49"/>
      <c r="BJ183" s="57"/>
      <c r="BK183" s="59"/>
      <c r="BL183" s="59"/>
      <c r="BM183" s="57"/>
      <c r="BN183" s="49"/>
      <c r="BO183" s="49"/>
      <c r="BP183" s="57"/>
      <c r="BQ183" s="49"/>
      <c r="BR183" s="49"/>
      <c r="BS183" s="57"/>
      <c r="BT183" s="49"/>
      <c r="BU183" s="49"/>
      <c r="BV183" s="57"/>
      <c r="BW183" s="19"/>
      <c r="BX183" s="59"/>
      <c r="BY183" s="27"/>
      <c r="BZ183" s="59"/>
      <c r="CA183" s="57"/>
      <c r="CB183" s="49"/>
      <c r="CC183" s="49"/>
      <c r="CD183" s="49"/>
      <c r="CE183" s="49"/>
      <c r="CF183" s="49"/>
      <c r="CG183" s="49"/>
      <c r="CH183" s="57"/>
      <c r="CI183" s="49"/>
      <c r="CJ183" s="49"/>
      <c r="CK183" s="57"/>
      <c r="CL183" s="49"/>
      <c r="CM183" s="49"/>
      <c r="CN183" s="49"/>
      <c r="CO183" s="49"/>
      <c r="CP183" s="49"/>
      <c r="CQ183" s="49"/>
      <c r="CR183" s="57"/>
      <c r="CS183" s="49"/>
      <c r="CT183" s="49"/>
      <c r="CU183" s="49"/>
      <c r="CV183" s="49"/>
      <c r="CW183" s="49"/>
      <c r="CX183" s="49"/>
      <c r="CY183" s="57"/>
      <c r="CZ183" s="49"/>
      <c r="DA183" s="49"/>
      <c r="DB183" s="49"/>
      <c r="DC183" s="49"/>
      <c r="DD183" s="49"/>
      <c r="DE183" s="49"/>
      <c r="DF183" s="57"/>
      <c r="DG183" s="49"/>
      <c r="DH183" s="49"/>
      <c r="DI183" s="49"/>
      <c r="DJ183" s="49"/>
      <c r="DK183" s="27"/>
      <c r="DL183" s="49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59"/>
      <c r="EC183" s="59"/>
      <c r="ED183" s="59"/>
      <c r="EE183" s="14"/>
      <c r="EF183" s="14"/>
      <c r="GN183" s="48"/>
    </row>
    <row r="184" spans="2:196" x14ac:dyDescent="0.25">
      <c r="B184" s="50"/>
      <c r="C184" s="50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9"/>
      <c r="BI184" s="49"/>
      <c r="BJ184" s="57"/>
      <c r="BK184" s="59"/>
      <c r="BL184" s="59"/>
      <c r="BM184" s="57"/>
      <c r="BN184" s="49"/>
      <c r="BO184" s="49"/>
      <c r="BP184" s="57"/>
      <c r="BQ184" s="49"/>
      <c r="BR184" s="49"/>
      <c r="BS184" s="57"/>
      <c r="BT184" s="49"/>
      <c r="BU184" s="49"/>
      <c r="BV184" s="57"/>
      <c r="BW184" s="19"/>
      <c r="BX184" s="59"/>
      <c r="BY184" s="27"/>
      <c r="BZ184" s="59"/>
      <c r="CA184" s="57"/>
      <c r="CB184" s="49"/>
      <c r="CC184" s="49"/>
      <c r="CD184" s="49"/>
      <c r="CE184" s="49"/>
      <c r="CF184" s="49"/>
      <c r="CG184" s="49"/>
      <c r="CH184" s="57"/>
      <c r="CI184" s="49"/>
      <c r="CJ184" s="49"/>
      <c r="CK184" s="57"/>
      <c r="CL184" s="49"/>
      <c r="CM184" s="49"/>
      <c r="CN184" s="49"/>
      <c r="CO184" s="49"/>
      <c r="CP184" s="49"/>
      <c r="CQ184" s="49"/>
      <c r="CR184" s="57"/>
      <c r="CS184" s="49"/>
      <c r="CT184" s="49"/>
      <c r="CU184" s="49"/>
      <c r="CV184" s="49"/>
      <c r="CW184" s="49"/>
      <c r="CX184" s="49"/>
      <c r="CY184" s="57"/>
      <c r="CZ184" s="49"/>
      <c r="DA184" s="49"/>
      <c r="DB184" s="49"/>
      <c r="DC184" s="49"/>
      <c r="DD184" s="49"/>
      <c r="DE184" s="49"/>
      <c r="DF184" s="57"/>
      <c r="DG184" s="49"/>
      <c r="DH184" s="49"/>
      <c r="DI184" s="49"/>
      <c r="DJ184" s="49"/>
      <c r="DK184" s="27"/>
      <c r="DL184" s="49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59"/>
      <c r="EC184" s="59"/>
      <c r="ED184" s="59"/>
      <c r="EE184" s="14"/>
      <c r="EF184" s="14"/>
      <c r="GN184" s="48"/>
    </row>
    <row r="185" spans="2:196" x14ac:dyDescent="0.25">
      <c r="B185" s="50"/>
      <c r="C185" s="50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9"/>
      <c r="BI185" s="49"/>
      <c r="BJ185" s="57"/>
      <c r="BK185" s="59"/>
      <c r="BL185" s="59"/>
      <c r="BM185" s="57"/>
      <c r="BN185" s="49"/>
      <c r="BO185" s="49"/>
      <c r="BP185" s="57"/>
      <c r="BQ185" s="49"/>
      <c r="BR185" s="49"/>
      <c r="BS185" s="57"/>
      <c r="BT185" s="49"/>
      <c r="BU185" s="49"/>
      <c r="BV185" s="57"/>
      <c r="BW185" s="19"/>
      <c r="BX185" s="59"/>
      <c r="BY185" s="27"/>
      <c r="BZ185" s="59"/>
      <c r="CA185" s="57"/>
      <c r="CB185" s="49"/>
      <c r="CC185" s="49"/>
      <c r="CD185" s="49"/>
      <c r="CE185" s="49"/>
      <c r="CF185" s="49"/>
      <c r="CG185" s="49"/>
      <c r="CH185" s="57"/>
      <c r="CI185" s="49"/>
      <c r="CJ185" s="49"/>
      <c r="CK185" s="57"/>
      <c r="CL185" s="49"/>
      <c r="CM185" s="49"/>
      <c r="CN185" s="49"/>
      <c r="CO185" s="49"/>
      <c r="CP185" s="49"/>
      <c r="CQ185" s="49"/>
      <c r="CR185" s="57"/>
      <c r="CS185" s="49"/>
      <c r="CT185" s="49"/>
      <c r="CU185" s="49"/>
      <c r="CV185" s="49"/>
      <c r="CW185" s="49"/>
      <c r="CX185" s="49"/>
      <c r="CY185" s="57"/>
      <c r="CZ185" s="49"/>
      <c r="DA185" s="49"/>
      <c r="DB185" s="49"/>
      <c r="DC185" s="49"/>
      <c r="DD185" s="49"/>
      <c r="DE185" s="49"/>
      <c r="DF185" s="57"/>
      <c r="DG185" s="49"/>
      <c r="DH185" s="49"/>
      <c r="DI185" s="49"/>
      <c r="DJ185" s="49"/>
      <c r="DK185" s="27"/>
      <c r="DL185" s="49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59"/>
      <c r="EC185" s="59"/>
      <c r="ED185" s="59"/>
      <c r="EE185" s="14"/>
      <c r="EF185" s="14"/>
      <c r="GN185" s="48"/>
    </row>
    <row r="186" spans="2:196" x14ac:dyDescent="0.25">
      <c r="B186" s="50"/>
      <c r="C186" s="50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9"/>
      <c r="BI186" s="49"/>
      <c r="BJ186" s="57"/>
      <c r="BK186" s="59"/>
      <c r="BL186" s="59"/>
      <c r="BM186" s="57"/>
      <c r="BN186" s="49"/>
      <c r="BO186" s="49"/>
      <c r="BP186" s="57"/>
      <c r="BQ186" s="49"/>
      <c r="BR186" s="49"/>
      <c r="BS186" s="57"/>
      <c r="BT186" s="49"/>
      <c r="BU186" s="49"/>
      <c r="BV186" s="57"/>
      <c r="BW186" s="19"/>
      <c r="BX186" s="59"/>
      <c r="BY186" s="27"/>
      <c r="BZ186" s="59"/>
      <c r="CA186" s="57"/>
      <c r="CB186" s="49"/>
      <c r="CC186" s="49"/>
      <c r="CD186" s="49"/>
      <c r="CE186" s="49"/>
      <c r="CF186" s="49"/>
      <c r="CG186" s="49"/>
      <c r="CH186" s="57"/>
      <c r="CI186" s="49"/>
      <c r="CJ186" s="49"/>
      <c r="CK186" s="57"/>
      <c r="CL186" s="49"/>
      <c r="CM186" s="49"/>
      <c r="CN186" s="49"/>
      <c r="CO186" s="49"/>
      <c r="CP186" s="49"/>
      <c r="CQ186" s="49"/>
      <c r="CR186" s="57"/>
      <c r="CS186" s="49"/>
      <c r="CT186" s="49"/>
      <c r="CU186" s="49"/>
      <c r="CV186" s="49"/>
      <c r="CW186" s="49"/>
      <c r="CX186" s="49"/>
      <c r="CY186" s="57"/>
      <c r="CZ186" s="49"/>
      <c r="DA186" s="49"/>
      <c r="DB186" s="49"/>
      <c r="DC186" s="49"/>
      <c r="DD186" s="49"/>
      <c r="DE186" s="49"/>
      <c r="DF186" s="57"/>
      <c r="DG186" s="49"/>
      <c r="DH186" s="49"/>
      <c r="DI186" s="49"/>
      <c r="DJ186" s="49"/>
      <c r="DK186" s="27"/>
      <c r="DL186" s="49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59"/>
      <c r="EC186" s="59"/>
      <c r="ED186" s="59"/>
      <c r="EE186" s="14"/>
      <c r="EF186" s="14"/>
      <c r="GN186" s="48"/>
    </row>
    <row r="187" spans="2:196" x14ac:dyDescent="0.25">
      <c r="B187" s="50"/>
      <c r="C187" s="50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9"/>
      <c r="BI187" s="49"/>
      <c r="BJ187" s="57"/>
      <c r="BK187" s="59"/>
      <c r="BL187" s="59"/>
      <c r="BM187" s="57"/>
      <c r="BN187" s="49"/>
      <c r="BO187" s="49"/>
      <c r="BP187" s="57"/>
      <c r="BQ187" s="49"/>
      <c r="BR187" s="49"/>
      <c r="BS187" s="57"/>
      <c r="BT187" s="49"/>
      <c r="BU187" s="49"/>
      <c r="BV187" s="57"/>
      <c r="BW187" s="19"/>
      <c r="BX187" s="59"/>
      <c r="BY187" s="27"/>
      <c r="BZ187" s="59"/>
      <c r="CA187" s="57"/>
      <c r="CB187" s="49"/>
      <c r="CC187" s="49"/>
      <c r="CD187" s="49"/>
      <c r="CE187" s="49"/>
      <c r="CF187" s="49"/>
      <c r="CG187" s="49"/>
      <c r="CH187" s="57"/>
      <c r="CI187" s="49"/>
      <c r="CJ187" s="49"/>
      <c r="CK187" s="57"/>
      <c r="CL187" s="49"/>
      <c r="CM187" s="49"/>
      <c r="CN187" s="49"/>
      <c r="CO187" s="49"/>
      <c r="CP187" s="49"/>
      <c r="CQ187" s="49"/>
      <c r="CR187" s="57"/>
      <c r="CS187" s="49"/>
      <c r="CT187" s="49"/>
      <c r="CU187" s="49"/>
      <c r="CV187" s="49"/>
      <c r="CW187" s="49"/>
      <c r="CX187" s="49"/>
      <c r="CY187" s="57"/>
      <c r="CZ187" s="49"/>
      <c r="DA187" s="49"/>
      <c r="DB187" s="49"/>
      <c r="DC187" s="49"/>
      <c r="DD187" s="49"/>
      <c r="DE187" s="49"/>
      <c r="DF187" s="57"/>
      <c r="DG187" s="49"/>
      <c r="DH187" s="49"/>
      <c r="DI187" s="49"/>
      <c r="DJ187" s="49"/>
      <c r="DK187" s="27"/>
      <c r="DL187" s="49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59"/>
      <c r="EC187" s="59"/>
      <c r="ED187" s="59"/>
      <c r="EE187" s="14"/>
      <c r="EF187" s="14"/>
      <c r="GN187" s="48"/>
    </row>
    <row r="188" spans="2:196" x14ac:dyDescent="0.25">
      <c r="B188" s="50"/>
      <c r="C188" s="50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9"/>
      <c r="BI188" s="49"/>
      <c r="BJ188" s="57"/>
      <c r="BK188" s="59"/>
      <c r="BL188" s="59"/>
      <c r="BM188" s="57"/>
      <c r="BN188" s="49"/>
      <c r="BO188" s="49"/>
      <c r="BP188" s="57"/>
      <c r="BQ188" s="49"/>
      <c r="BR188" s="49"/>
      <c r="BS188" s="57"/>
      <c r="BT188" s="49"/>
      <c r="BU188" s="49"/>
      <c r="BV188" s="57"/>
      <c r="BW188" s="19"/>
      <c r="BX188" s="59"/>
      <c r="BY188" s="27"/>
      <c r="BZ188" s="59"/>
      <c r="CA188" s="57"/>
      <c r="CB188" s="49"/>
      <c r="CC188" s="49"/>
      <c r="CD188" s="49"/>
      <c r="CE188" s="49"/>
      <c r="CF188" s="49"/>
      <c r="CG188" s="49"/>
      <c r="CH188" s="57"/>
      <c r="CI188" s="49"/>
      <c r="CJ188" s="49"/>
      <c r="CK188" s="57"/>
      <c r="CL188" s="49"/>
      <c r="CM188" s="49"/>
      <c r="CN188" s="49"/>
      <c r="CO188" s="49"/>
      <c r="CP188" s="49"/>
      <c r="CQ188" s="49"/>
      <c r="CR188" s="57"/>
      <c r="CS188" s="49"/>
      <c r="CT188" s="49"/>
      <c r="CU188" s="49"/>
      <c r="CV188" s="49"/>
      <c r="CW188" s="49"/>
      <c r="CX188" s="49"/>
      <c r="CY188" s="57"/>
      <c r="CZ188" s="49"/>
      <c r="DA188" s="49"/>
      <c r="DB188" s="49"/>
      <c r="DC188" s="49"/>
      <c r="DD188" s="49"/>
      <c r="DE188" s="49"/>
      <c r="DF188" s="57"/>
      <c r="DG188" s="49"/>
      <c r="DH188" s="49"/>
      <c r="DI188" s="49"/>
      <c r="DJ188" s="49"/>
      <c r="DK188" s="27"/>
      <c r="DL188" s="49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59"/>
      <c r="EC188" s="59"/>
      <c r="ED188" s="59"/>
      <c r="EE188" s="14"/>
      <c r="EF188" s="14"/>
      <c r="GN188" s="48"/>
    </row>
    <row r="189" spans="2:196" x14ac:dyDescent="0.25">
      <c r="B189" s="50"/>
      <c r="C189" s="50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9"/>
      <c r="BI189" s="49"/>
      <c r="BJ189" s="57"/>
      <c r="BK189" s="59"/>
      <c r="BL189" s="59"/>
      <c r="BM189" s="57"/>
      <c r="BN189" s="49"/>
      <c r="BO189" s="49"/>
      <c r="BP189" s="57"/>
      <c r="BQ189" s="49"/>
      <c r="BR189" s="49"/>
      <c r="BS189" s="57"/>
      <c r="BT189" s="49"/>
      <c r="BU189" s="49"/>
      <c r="BV189" s="57"/>
      <c r="BW189" s="19"/>
      <c r="BX189" s="59"/>
      <c r="BY189" s="27"/>
      <c r="BZ189" s="59"/>
      <c r="CA189" s="57"/>
      <c r="CB189" s="49"/>
      <c r="CC189" s="49"/>
      <c r="CD189" s="49"/>
      <c r="CE189" s="49"/>
      <c r="CF189" s="49"/>
      <c r="CG189" s="49"/>
      <c r="CH189" s="57"/>
      <c r="CI189" s="49"/>
      <c r="CJ189" s="49"/>
      <c r="CK189" s="57"/>
      <c r="CL189" s="49"/>
      <c r="CM189" s="49"/>
      <c r="CN189" s="49"/>
      <c r="CO189" s="49"/>
      <c r="CP189" s="49"/>
      <c r="CQ189" s="49"/>
      <c r="CR189" s="57"/>
      <c r="CS189" s="49"/>
      <c r="CT189" s="49"/>
      <c r="CU189" s="49"/>
      <c r="CV189" s="49"/>
      <c r="CW189" s="49"/>
      <c r="CX189" s="49"/>
      <c r="CY189" s="57"/>
      <c r="CZ189" s="49"/>
      <c r="DA189" s="49"/>
      <c r="DB189" s="49"/>
      <c r="DC189" s="49"/>
      <c r="DD189" s="49"/>
      <c r="DE189" s="49"/>
      <c r="DF189" s="57"/>
      <c r="DG189" s="49"/>
      <c r="DH189" s="49"/>
      <c r="DI189" s="49"/>
      <c r="DJ189" s="49"/>
      <c r="DK189" s="27"/>
      <c r="DL189" s="49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59"/>
      <c r="EC189" s="59"/>
      <c r="ED189" s="59"/>
      <c r="EE189" s="14"/>
      <c r="EF189" s="14"/>
      <c r="GN189" s="48"/>
    </row>
    <row r="190" spans="2:196" x14ac:dyDescent="0.25">
      <c r="B190" s="50"/>
      <c r="C190" s="50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9"/>
      <c r="BI190" s="49"/>
      <c r="BJ190" s="57"/>
      <c r="BK190" s="59"/>
      <c r="BL190" s="59"/>
      <c r="BM190" s="57"/>
      <c r="BN190" s="49"/>
      <c r="BO190" s="49"/>
      <c r="BP190" s="57"/>
      <c r="BQ190" s="49"/>
      <c r="BR190" s="49"/>
      <c r="BS190" s="57"/>
      <c r="BT190" s="49"/>
      <c r="BU190" s="49"/>
      <c r="BV190" s="57"/>
      <c r="BW190" s="19"/>
      <c r="BX190" s="59"/>
      <c r="BY190" s="27"/>
      <c r="BZ190" s="59"/>
      <c r="CA190" s="57"/>
      <c r="CB190" s="49"/>
      <c r="CC190" s="49"/>
      <c r="CD190" s="49"/>
      <c r="CE190" s="49"/>
      <c r="CF190" s="49"/>
      <c r="CG190" s="49"/>
      <c r="CH190" s="57"/>
      <c r="CI190" s="49"/>
      <c r="CJ190" s="49"/>
      <c r="CK190" s="57"/>
      <c r="CL190" s="49"/>
      <c r="CM190" s="49"/>
      <c r="CN190" s="49"/>
      <c r="CO190" s="49"/>
      <c r="CP190" s="49"/>
      <c r="CQ190" s="49"/>
      <c r="CR190" s="57"/>
      <c r="CS190" s="49"/>
      <c r="CT190" s="49"/>
      <c r="CU190" s="49"/>
      <c r="CV190" s="49"/>
      <c r="CW190" s="49"/>
      <c r="CX190" s="49"/>
      <c r="CY190" s="57"/>
      <c r="CZ190" s="49"/>
      <c r="DA190" s="49"/>
      <c r="DB190" s="49"/>
      <c r="DC190" s="49"/>
      <c r="DD190" s="49"/>
      <c r="DE190" s="49"/>
      <c r="DF190" s="57"/>
      <c r="DG190" s="49"/>
      <c r="DH190" s="49"/>
      <c r="DI190" s="49"/>
      <c r="DJ190" s="49"/>
      <c r="DK190" s="27"/>
      <c r="DL190" s="49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59"/>
      <c r="EC190" s="59"/>
      <c r="ED190" s="59"/>
      <c r="EE190" s="14"/>
      <c r="EF190" s="14"/>
      <c r="GN190" s="48"/>
    </row>
    <row r="191" spans="2:196" x14ac:dyDescent="0.25">
      <c r="B191" s="50"/>
      <c r="C191" s="50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9"/>
      <c r="BI191" s="49"/>
      <c r="BJ191" s="57"/>
      <c r="BK191" s="59"/>
      <c r="BL191" s="59"/>
      <c r="BM191" s="57"/>
      <c r="BN191" s="49"/>
      <c r="BO191" s="49"/>
      <c r="BP191" s="57"/>
      <c r="BQ191" s="49"/>
      <c r="BR191" s="49"/>
      <c r="BS191" s="57"/>
      <c r="BT191" s="49"/>
      <c r="BU191" s="49"/>
      <c r="BV191" s="57"/>
      <c r="BW191" s="19"/>
      <c r="BX191" s="59"/>
      <c r="BY191" s="27"/>
      <c r="BZ191" s="59"/>
      <c r="CA191" s="57"/>
      <c r="CB191" s="49"/>
      <c r="CC191" s="49"/>
      <c r="CD191" s="49"/>
      <c r="CE191" s="49"/>
      <c r="CF191" s="49"/>
      <c r="CG191" s="49"/>
      <c r="CH191" s="57"/>
      <c r="CI191" s="49"/>
      <c r="CJ191" s="49"/>
      <c r="CK191" s="57"/>
      <c r="CL191" s="49"/>
      <c r="CM191" s="49"/>
      <c r="CN191" s="49"/>
      <c r="CO191" s="49"/>
      <c r="CP191" s="49"/>
      <c r="CQ191" s="49"/>
      <c r="CR191" s="57"/>
      <c r="CS191" s="49"/>
      <c r="CT191" s="49"/>
      <c r="CU191" s="49"/>
      <c r="CV191" s="49"/>
      <c r="CW191" s="49"/>
      <c r="CX191" s="49"/>
      <c r="CY191" s="57"/>
      <c r="CZ191" s="49"/>
      <c r="DA191" s="49"/>
      <c r="DB191" s="49"/>
      <c r="DC191" s="49"/>
      <c r="DD191" s="49"/>
      <c r="DE191" s="49"/>
      <c r="DF191" s="57"/>
      <c r="DG191" s="49"/>
      <c r="DH191" s="49"/>
      <c r="DI191" s="49"/>
      <c r="DJ191" s="49"/>
      <c r="DK191" s="27"/>
      <c r="DL191" s="49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59"/>
      <c r="EC191" s="59"/>
      <c r="ED191" s="59"/>
      <c r="EE191" s="14"/>
      <c r="EF191" s="14"/>
      <c r="GN191" s="48"/>
    </row>
    <row r="192" spans="2:196" x14ac:dyDescent="0.25">
      <c r="B192" s="50"/>
      <c r="C192" s="50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9"/>
      <c r="BI192" s="49"/>
      <c r="BJ192" s="57"/>
      <c r="BK192" s="59"/>
      <c r="BL192" s="59"/>
      <c r="BM192" s="57"/>
      <c r="BN192" s="49"/>
      <c r="BO192" s="49"/>
      <c r="BP192" s="57"/>
      <c r="BQ192" s="49"/>
      <c r="BR192" s="49"/>
      <c r="BS192" s="57"/>
      <c r="BT192" s="49"/>
      <c r="BU192" s="49"/>
      <c r="BV192" s="57"/>
      <c r="BW192" s="19"/>
      <c r="BX192" s="59"/>
      <c r="BY192" s="27"/>
      <c r="BZ192" s="59"/>
      <c r="CA192" s="57"/>
      <c r="CB192" s="49"/>
      <c r="CC192" s="49"/>
      <c r="CD192" s="49"/>
      <c r="CE192" s="49"/>
      <c r="CF192" s="49"/>
      <c r="CG192" s="49"/>
      <c r="CH192" s="57"/>
      <c r="CI192" s="49"/>
      <c r="CJ192" s="49"/>
      <c r="CK192" s="57"/>
      <c r="CL192" s="49"/>
      <c r="CM192" s="49"/>
      <c r="CN192" s="49"/>
      <c r="CO192" s="49"/>
      <c r="CP192" s="49"/>
      <c r="CQ192" s="49"/>
      <c r="CR192" s="57"/>
      <c r="CS192" s="49"/>
      <c r="CT192" s="49"/>
      <c r="CU192" s="49"/>
      <c r="CV192" s="49"/>
      <c r="CW192" s="49"/>
      <c r="CX192" s="49"/>
      <c r="CY192" s="57"/>
      <c r="CZ192" s="49"/>
      <c r="DA192" s="49"/>
      <c r="DB192" s="49"/>
      <c r="DC192" s="49"/>
      <c r="DD192" s="49"/>
      <c r="DE192" s="49"/>
      <c r="DF192" s="57"/>
      <c r="DG192" s="49"/>
      <c r="DH192" s="49"/>
      <c r="DI192" s="49"/>
      <c r="DJ192" s="49"/>
      <c r="DK192" s="27"/>
      <c r="DL192" s="49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59"/>
      <c r="EC192" s="59"/>
      <c r="ED192" s="59"/>
      <c r="EE192" s="14"/>
      <c r="EF192" s="14"/>
      <c r="GN192" s="48"/>
    </row>
    <row r="193" spans="2:196" x14ac:dyDescent="0.25">
      <c r="B193" s="50"/>
      <c r="C193" s="50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9"/>
      <c r="BI193" s="49"/>
      <c r="BJ193" s="57"/>
      <c r="BK193" s="59"/>
      <c r="BL193" s="59"/>
      <c r="BM193" s="57"/>
      <c r="BN193" s="49"/>
      <c r="BO193" s="49"/>
      <c r="BP193" s="57"/>
      <c r="BQ193" s="49"/>
      <c r="BR193" s="49"/>
      <c r="BS193" s="57"/>
      <c r="BT193" s="49"/>
      <c r="BU193" s="49"/>
      <c r="BV193" s="57"/>
      <c r="BW193" s="19"/>
      <c r="BX193" s="59"/>
      <c r="BY193" s="27"/>
      <c r="BZ193" s="59"/>
      <c r="CA193" s="57"/>
      <c r="CB193" s="49"/>
      <c r="CC193" s="49"/>
      <c r="CD193" s="49"/>
      <c r="CE193" s="49"/>
      <c r="CF193" s="49"/>
      <c r="CG193" s="49"/>
      <c r="CH193" s="57"/>
      <c r="CI193" s="49"/>
      <c r="CJ193" s="49"/>
      <c r="CK193" s="57"/>
      <c r="CL193" s="49"/>
      <c r="CM193" s="49"/>
      <c r="CN193" s="49"/>
      <c r="CO193" s="49"/>
      <c r="CP193" s="49"/>
      <c r="CQ193" s="49"/>
      <c r="CR193" s="57"/>
      <c r="CS193" s="49"/>
      <c r="CT193" s="49"/>
      <c r="CU193" s="49"/>
      <c r="CV193" s="49"/>
      <c r="CW193" s="49"/>
      <c r="CX193" s="49"/>
      <c r="CY193" s="57"/>
      <c r="CZ193" s="49"/>
      <c r="DA193" s="49"/>
      <c r="DB193" s="49"/>
      <c r="DC193" s="49"/>
      <c r="DD193" s="49"/>
      <c r="DE193" s="49"/>
      <c r="DF193" s="57"/>
      <c r="DG193" s="49"/>
      <c r="DH193" s="49"/>
      <c r="DI193" s="49"/>
      <c r="DJ193" s="49"/>
      <c r="DK193" s="27"/>
      <c r="DL193" s="49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59"/>
      <c r="EC193" s="59"/>
      <c r="ED193" s="59"/>
      <c r="EE193" s="14"/>
      <c r="EF193" s="14"/>
      <c r="GN193" s="48"/>
    </row>
    <row r="194" spans="2:196" x14ac:dyDescent="0.25">
      <c r="B194" s="50"/>
      <c r="C194" s="50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9"/>
      <c r="BI194" s="49"/>
      <c r="BJ194" s="57"/>
      <c r="BK194" s="59"/>
      <c r="BL194" s="59"/>
      <c r="BM194" s="57"/>
      <c r="BN194" s="49"/>
      <c r="BO194" s="49"/>
      <c r="BP194" s="57"/>
      <c r="BQ194" s="49"/>
      <c r="BR194" s="49"/>
      <c r="BS194" s="57"/>
      <c r="BT194" s="49"/>
      <c r="BU194" s="49"/>
      <c r="BV194" s="57"/>
      <c r="BW194" s="19"/>
      <c r="BX194" s="59"/>
      <c r="BY194" s="27"/>
      <c r="BZ194" s="59"/>
      <c r="CA194" s="57"/>
      <c r="CB194" s="49"/>
      <c r="CC194" s="49"/>
      <c r="CD194" s="49"/>
      <c r="CE194" s="49"/>
      <c r="CF194" s="49"/>
      <c r="CG194" s="49"/>
      <c r="CH194" s="57"/>
      <c r="CI194" s="49"/>
      <c r="CJ194" s="49"/>
      <c r="CK194" s="57"/>
      <c r="CL194" s="49"/>
      <c r="CM194" s="49"/>
      <c r="CN194" s="49"/>
      <c r="CO194" s="49"/>
      <c r="CP194" s="49"/>
      <c r="CQ194" s="49"/>
      <c r="CR194" s="57"/>
      <c r="CS194" s="49"/>
      <c r="CT194" s="49"/>
      <c r="CU194" s="49"/>
      <c r="CV194" s="49"/>
      <c r="CW194" s="49"/>
      <c r="CX194" s="49"/>
      <c r="CY194" s="57"/>
      <c r="CZ194" s="49"/>
      <c r="DA194" s="49"/>
      <c r="DB194" s="49"/>
      <c r="DC194" s="49"/>
      <c r="DD194" s="49"/>
      <c r="DE194" s="49"/>
      <c r="DF194" s="57"/>
      <c r="DG194" s="49"/>
      <c r="DH194" s="49"/>
      <c r="DI194" s="49"/>
      <c r="DJ194" s="49"/>
      <c r="DK194" s="27"/>
      <c r="DL194" s="49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59"/>
      <c r="EC194" s="59"/>
      <c r="ED194" s="59"/>
      <c r="EE194" s="14"/>
      <c r="EF194" s="14"/>
      <c r="GN194" s="48"/>
    </row>
    <row r="195" spans="2:196" x14ac:dyDescent="0.25">
      <c r="B195" s="50"/>
      <c r="C195" s="50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9"/>
      <c r="BI195" s="49"/>
      <c r="BJ195" s="57"/>
      <c r="BK195" s="59"/>
      <c r="BL195" s="59"/>
      <c r="BM195" s="57"/>
      <c r="BN195" s="49"/>
      <c r="BO195" s="49"/>
      <c r="BP195" s="57"/>
      <c r="BQ195" s="49"/>
      <c r="BR195" s="49"/>
      <c r="BS195" s="57"/>
      <c r="BT195" s="49"/>
      <c r="BU195" s="49"/>
      <c r="BV195" s="57"/>
      <c r="BW195" s="19"/>
      <c r="BX195" s="59"/>
      <c r="BY195" s="27"/>
      <c r="BZ195" s="59"/>
      <c r="CA195" s="57"/>
      <c r="CB195" s="49"/>
      <c r="CC195" s="49"/>
      <c r="CD195" s="49"/>
      <c r="CE195" s="49"/>
      <c r="CF195" s="49"/>
      <c r="CG195" s="49"/>
      <c r="CH195" s="57"/>
      <c r="CI195" s="49"/>
      <c r="CJ195" s="49"/>
      <c r="CK195" s="57"/>
      <c r="CL195" s="49"/>
      <c r="CM195" s="49"/>
      <c r="CN195" s="49"/>
      <c r="CO195" s="49"/>
      <c r="CP195" s="49"/>
      <c r="CQ195" s="49"/>
      <c r="CR195" s="57"/>
      <c r="CS195" s="49"/>
      <c r="CT195" s="49"/>
      <c r="CU195" s="49"/>
      <c r="CV195" s="49"/>
      <c r="CW195" s="49"/>
      <c r="CX195" s="49"/>
      <c r="CY195" s="57"/>
      <c r="CZ195" s="49"/>
      <c r="DA195" s="49"/>
      <c r="DB195" s="49"/>
      <c r="DC195" s="49"/>
      <c r="DD195" s="49"/>
      <c r="DE195" s="49"/>
      <c r="DF195" s="57"/>
      <c r="DG195" s="49"/>
      <c r="DH195" s="49"/>
      <c r="DI195" s="49"/>
      <c r="DJ195" s="49"/>
      <c r="DK195" s="27"/>
      <c r="DL195" s="49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59"/>
      <c r="EC195" s="59"/>
      <c r="ED195" s="59"/>
      <c r="EE195" s="14"/>
      <c r="EF195" s="14"/>
      <c r="GN195" s="48"/>
    </row>
    <row r="196" spans="2:196" x14ac:dyDescent="0.25">
      <c r="B196" s="50"/>
      <c r="C196" s="50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9"/>
      <c r="BI196" s="49"/>
      <c r="BJ196" s="57"/>
      <c r="BK196" s="59"/>
      <c r="BL196" s="59"/>
      <c r="BM196" s="57"/>
      <c r="BN196" s="49"/>
      <c r="BO196" s="49"/>
      <c r="BP196" s="57"/>
      <c r="BQ196" s="49"/>
      <c r="BR196" s="49"/>
      <c r="BS196" s="57"/>
      <c r="BT196" s="49"/>
      <c r="BU196" s="49"/>
      <c r="BV196" s="57"/>
      <c r="BW196" s="19"/>
      <c r="BX196" s="59"/>
      <c r="BY196" s="27"/>
      <c r="BZ196" s="59"/>
      <c r="CA196" s="57"/>
      <c r="CB196" s="49"/>
      <c r="CC196" s="49"/>
      <c r="CD196" s="49"/>
      <c r="CE196" s="49"/>
      <c r="CF196" s="49"/>
      <c r="CG196" s="49"/>
      <c r="CH196" s="57"/>
      <c r="CI196" s="49"/>
      <c r="CJ196" s="49"/>
      <c r="CK196" s="57"/>
      <c r="CL196" s="49"/>
      <c r="CM196" s="49"/>
      <c r="CN196" s="49"/>
      <c r="CO196" s="49"/>
      <c r="CP196" s="49"/>
      <c r="CQ196" s="49"/>
      <c r="CR196" s="57"/>
      <c r="CS196" s="49"/>
      <c r="CT196" s="49"/>
      <c r="CU196" s="49"/>
      <c r="CV196" s="49"/>
      <c r="CW196" s="49"/>
      <c r="CX196" s="49"/>
      <c r="CY196" s="57"/>
      <c r="CZ196" s="49"/>
      <c r="DA196" s="49"/>
      <c r="DB196" s="49"/>
      <c r="DC196" s="49"/>
      <c r="DD196" s="49"/>
      <c r="DE196" s="49"/>
      <c r="DF196" s="57"/>
      <c r="DG196" s="49"/>
      <c r="DH196" s="49"/>
      <c r="DI196" s="49"/>
      <c r="DJ196" s="49"/>
      <c r="DK196" s="27"/>
      <c r="DL196" s="49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59"/>
      <c r="EC196" s="59"/>
      <c r="ED196" s="59"/>
      <c r="EE196" s="14"/>
      <c r="EF196" s="14"/>
      <c r="GN196" s="48"/>
    </row>
    <row r="197" spans="2:196" x14ac:dyDescent="0.25">
      <c r="B197" s="50"/>
      <c r="C197" s="50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9"/>
      <c r="BI197" s="49"/>
      <c r="BJ197" s="57"/>
      <c r="BK197" s="59"/>
      <c r="BL197" s="59"/>
      <c r="BM197" s="57"/>
      <c r="BN197" s="49"/>
      <c r="BO197" s="49"/>
      <c r="BP197" s="57"/>
      <c r="BQ197" s="49"/>
      <c r="BR197" s="49"/>
      <c r="BS197" s="57"/>
      <c r="BT197" s="49"/>
      <c r="BU197" s="49"/>
      <c r="BV197" s="57"/>
      <c r="BW197" s="19"/>
      <c r="BX197" s="59"/>
      <c r="BY197" s="27"/>
      <c r="BZ197" s="59"/>
      <c r="CA197" s="57"/>
      <c r="CB197" s="49"/>
      <c r="CC197" s="49"/>
      <c r="CD197" s="49"/>
      <c r="CE197" s="49"/>
      <c r="CF197" s="49"/>
      <c r="CG197" s="49"/>
      <c r="CH197" s="57"/>
      <c r="CI197" s="49"/>
      <c r="CJ197" s="49"/>
      <c r="CK197" s="57"/>
      <c r="CL197" s="49"/>
      <c r="CM197" s="49"/>
      <c r="CN197" s="49"/>
      <c r="CO197" s="49"/>
      <c r="CP197" s="49"/>
      <c r="CQ197" s="49"/>
      <c r="CR197" s="57"/>
      <c r="CS197" s="49"/>
      <c r="CT197" s="49"/>
      <c r="CU197" s="49"/>
      <c r="CV197" s="49"/>
      <c r="CW197" s="49"/>
      <c r="CX197" s="49"/>
      <c r="CY197" s="57"/>
      <c r="CZ197" s="49"/>
      <c r="DA197" s="49"/>
      <c r="DB197" s="49"/>
      <c r="DC197" s="49"/>
      <c r="DD197" s="49"/>
      <c r="DE197" s="49"/>
      <c r="DF197" s="57"/>
      <c r="DG197" s="49"/>
      <c r="DH197" s="49"/>
      <c r="DI197" s="49"/>
      <c r="DJ197" s="49"/>
      <c r="DK197" s="27"/>
      <c r="DL197" s="49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59"/>
      <c r="EC197" s="59"/>
      <c r="ED197" s="59"/>
      <c r="EE197" s="14"/>
      <c r="EF197" s="14"/>
      <c r="GN197" s="48"/>
    </row>
    <row r="198" spans="2:196" x14ac:dyDescent="0.25">
      <c r="B198" s="50"/>
      <c r="C198" s="50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9"/>
      <c r="BI198" s="49"/>
      <c r="BJ198" s="57"/>
      <c r="BK198" s="59"/>
      <c r="BL198" s="59"/>
      <c r="BM198" s="57"/>
      <c r="BN198" s="49"/>
      <c r="BO198" s="49"/>
      <c r="BP198" s="57"/>
      <c r="BQ198" s="49"/>
      <c r="BR198" s="49"/>
      <c r="BS198" s="57"/>
      <c r="BT198" s="49"/>
      <c r="BU198" s="49"/>
      <c r="BV198" s="57"/>
      <c r="BW198" s="19"/>
      <c r="BX198" s="59"/>
      <c r="BY198" s="27"/>
      <c r="BZ198" s="59"/>
      <c r="CA198" s="57"/>
      <c r="CB198" s="49"/>
      <c r="CC198" s="49"/>
      <c r="CD198" s="49"/>
      <c r="CE198" s="49"/>
      <c r="CF198" s="49"/>
      <c r="CG198" s="49"/>
      <c r="CH198" s="57"/>
      <c r="CI198" s="49"/>
      <c r="CJ198" s="49"/>
      <c r="CK198" s="57"/>
      <c r="CL198" s="49"/>
      <c r="CM198" s="49"/>
      <c r="CN198" s="49"/>
      <c r="CO198" s="49"/>
      <c r="CP198" s="49"/>
      <c r="CQ198" s="49"/>
      <c r="CR198" s="57"/>
      <c r="CS198" s="49"/>
      <c r="CT198" s="49"/>
      <c r="CU198" s="49"/>
      <c r="CV198" s="49"/>
      <c r="CW198" s="49"/>
      <c r="CX198" s="49"/>
      <c r="CY198" s="57"/>
      <c r="CZ198" s="49"/>
      <c r="DA198" s="49"/>
      <c r="DB198" s="49"/>
      <c r="DC198" s="49"/>
      <c r="DD198" s="49"/>
      <c r="DE198" s="49"/>
      <c r="DF198" s="57"/>
      <c r="DG198" s="49"/>
      <c r="DH198" s="49"/>
      <c r="DI198" s="49"/>
      <c r="DJ198" s="49"/>
      <c r="DK198" s="27"/>
      <c r="DL198" s="49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59"/>
      <c r="EC198" s="59"/>
      <c r="ED198" s="59"/>
      <c r="EE198" s="14"/>
      <c r="EF198" s="14"/>
      <c r="GN198" s="48"/>
    </row>
    <row r="199" spans="2:196" x14ac:dyDescent="0.25">
      <c r="B199" s="50"/>
      <c r="C199" s="50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9"/>
      <c r="BI199" s="49"/>
      <c r="BJ199" s="57"/>
      <c r="BK199" s="59"/>
      <c r="BL199" s="59"/>
      <c r="BM199" s="57"/>
      <c r="BN199" s="49"/>
      <c r="BO199" s="49"/>
      <c r="BP199" s="57"/>
      <c r="BQ199" s="49"/>
      <c r="BR199" s="49"/>
      <c r="BS199" s="57"/>
      <c r="BT199" s="49"/>
      <c r="BU199" s="49"/>
      <c r="BV199" s="57"/>
      <c r="BW199" s="19"/>
      <c r="BX199" s="59"/>
      <c r="BY199" s="27"/>
      <c r="BZ199" s="59"/>
      <c r="CA199" s="57"/>
      <c r="CB199" s="49"/>
      <c r="CC199" s="49"/>
      <c r="CD199" s="49"/>
      <c r="CE199" s="49"/>
      <c r="CF199" s="49"/>
      <c r="CG199" s="49"/>
      <c r="CH199" s="57"/>
      <c r="CI199" s="49"/>
      <c r="CJ199" s="49"/>
      <c r="CK199" s="57"/>
      <c r="CL199" s="49"/>
      <c r="CM199" s="49"/>
      <c r="CN199" s="49"/>
      <c r="CO199" s="49"/>
      <c r="CP199" s="49"/>
      <c r="CQ199" s="49"/>
      <c r="CR199" s="57"/>
      <c r="CS199" s="49"/>
      <c r="CT199" s="49"/>
      <c r="CU199" s="49"/>
      <c r="CV199" s="49"/>
      <c r="CW199" s="49"/>
      <c r="CX199" s="49"/>
      <c r="CY199" s="57"/>
      <c r="CZ199" s="49"/>
      <c r="DA199" s="49"/>
      <c r="DB199" s="49"/>
      <c r="DC199" s="49"/>
      <c r="DD199" s="49"/>
      <c r="DE199" s="49"/>
      <c r="DF199" s="57"/>
      <c r="DG199" s="49"/>
      <c r="DH199" s="49"/>
      <c r="DI199" s="49"/>
      <c r="DJ199" s="49"/>
      <c r="DK199" s="27"/>
      <c r="DL199" s="49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59"/>
      <c r="EC199" s="59"/>
      <c r="ED199" s="59"/>
      <c r="EE199" s="14"/>
      <c r="EF199" s="14"/>
      <c r="GN199" s="48"/>
    </row>
    <row r="200" spans="2:196" x14ac:dyDescent="0.25">
      <c r="B200" s="50"/>
      <c r="C200" s="50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9"/>
      <c r="BI200" s="49"/>
      <c r="BJ200" s="57"/>
      <c r="BK200" s="59"/>
      <c r="BL200" s="59"/>
      <c r="BM200" s="57"/>
      <c r="BN200" s="49"/>
      <c r="BO200" s="49"/>
      <c r="BP200" s="57"/>
      <c r="BQ200" s="49"/>
      <c r="BR200" s="49"/>
      <c r="BS200" s="57"/>
      <c r="BT200" s="49"/>
      <c r="BU200" s="49"/>
      <c r="BV200" s="57"/>
      <c r="BW200" s="19"/>
      <c r="BX200" s="59"/>
      <c r="BY200" s="27"/>
      <c r="BZ200" s="59"/>
      <c r="CA200" s="57"/>
      <c r="CB200" s="49"/>
      <c r="CC200" s="49"/>
      <c r="CD200" s="49"/>
      <c r="CE200" s="49"/>
      <c r="CF200" s="49"/>
      <c r="CG200" s="49"/>
      <c r="CH200" s="57"/>
      <c r="CI200" s="49"/>
      <c r="CJ200" s="49"/>
      <c r="CK200" s="57"/>
      <c r="CL200" s="49"/>
      <c r="CM200" s="49"/>
      <c r="CN200" s="49"/>
      <c r="CO200" s="49"/>
      <c r="CP200" s="49"/>
      <c r="CQ200" s="49"/>
      <c r="CR200" s="57"/>
      <c r="CS200" s="49"/>
      <c r="CT200" s="49"/>
      <c r="CU200" s="49"/>
      <c r="CV200" s="49"/>
      <c r="CW200" s="49"/>
      <c r="CX200" s="49"/>
      <c r="CY200" s="57"/>
      <c r="CZ200" s="49"/>
      <c r="DA200" s="49"/>
      <c r="DB200" s="49"/>
      <c r="DC200" s="49"/>
      <c r="DD200" s="49"/>
      <c r="DE200" s="49"/>
      <c r="DF200" s="57"/>
      <c r="DG200" s="49"/>
      <c r="DH200" s="49"/>
      <c r="DI200" s="49"/>
      <c r="DJ200" s="49"/>
      <c r="DK200" s="27"/>
      <c r="DL200" s="49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59"/>
      <c r="EC200" s="59"/>
      <c r="ED200" s="59"/>
      <c r="EE200" s="14"/>
      <c r="EF200" s="14"/>
      <c r="GN200" s="48"/>
    </row>
    <row r="201" spans="2:196" x14ac:dyDescent="0.25">
      <c r="B201" s="50"/>
      <c r="C201" s="50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9"/>
      <c r="BI201" s="49"/>
      <c r="BJ201" s="57"/>
      <c r="BK201" s="59"/>
      <c r="BL201" s="59"/>
      <c r="BM201" s="57"/>
      <c r="BN201" s="49"/>
      <c r="BO201" s="49"/>
      <c r="BP201" s="57"/>
      <c r="BQ201" s="49"/>
      <c r="BR201" s="49"/>
      <c r="BS201" s="57"/>
      <c r="BT201" s="49"/>
      <c r="BU201" s="49"/>
      <c r="BV201" s="57"/>
      <c r="BW201" s="19"/>
      <c r="BX201" s="59"/>
      <c r="BY201" s="27"/>
      <c r="BZ201" s="59"/>
      <c r="CA201" s="57"/>
      <c r="CB201" s="49"/>
      <c r="CC201" s="49"/>
      <c r="CD201" s="49"/>
      <c r="CE201" s="49"/>
      <c r="CF201" s="49"/>
      <c r="CG201" s="49"/>
      <c r="CH201" s="57"/>
      <c r="CI201" s="49"/>
      <c r="CJ201" s="49"/>
      <c r="CK201" s="57"/>
      <c r="CL201" s="49"/>
      <c r="CM201" s="49"/>
      <c r="CN201" s="49"/>
      <c r="CO201" s="49"/>
      <c r="CP201" s="49"/>
      <c r="CQ201" s="49"/>
      <c r="CR201" s="57"/>
      <c r="CS201" s="49"/>
      <c r="CT201" s="49"/>
      <c r="CU201" s="49"/>
      <c r="CV201" s="49"/>
      <c r="CW201" s="49"/>
      <c r="CX201" s="49"/>
      <c r="CY201" s="57"/>
      <c r="CZ201" s="49"/>
      <c r="DA201" s="49"/>
      <c r="DB201" s="49"/>
      <c r="DC201" s="49"/>
      <c r="DD201" s="49"/>
      <c r="DE201" s="49"/>
      <c r="DF201" s="57"/>
      <c r="DG201" s="49"/>
      <c r="DH201" s="49"/>
      <c r="DI201" s="49"/>
      <c r="DJ201" s="49"/>
      <c r="DK201" s="27"/>
      <c r="DL201" s="49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59"/>
      <c r="EC201" s="59"/>
      <c r="ED201" s="59"/>
      <c r="EE201" s="14"/>
      <c r="EF201" s="14"/>
      <c r="GN201" s="48"/>
    </row>
    <row r="202" spans="2:196" x14ac:dyDescent="0.25">
      <c r="B202" s="50"/>
      <c r="C202" s="50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9"/>
      <c r="BI202" s="49"/>
      <c r="BJ202" s="57"/>
      <c r="BK202" s="59"/>
      <c r="BL202" s="59"/>
      <c r="BM202" s="57"/>
      <c r="BN202" s="49"/>
      <c r="BO202" s="49"/>
      <c r="BP202" s="57"/>
      <c r="BQ202" s="49"/>
      <c r="BR202" s="49"/>
      <c r="BS202" s="57"/>
      <c r="BT202" s="49"/>
      <c r="BU202" s="49"/>
      <c r="BV202" s="57"/>
      <c r="BW202" s="19"/>
      <c r="BX202" s="59"/>
      <c r="BY202" s="27"/>
      <c r="BZ202" s="59"/>
      <c r="CA202" s="57"/>
      <c r="CB202" s="49"/>
      <c r="CC202" s="49"/>
      <c r="CD202" s="49"/>
      <c r="CE202" s="49"/>
      <c r="CF202" s="49"/>
      <c r="CG202" s="49"/>
      <c r="CH202" s="57"/>
      <c r="CI202" s="49"/>
      <c r="CJ202" s="49"/>
      <c r="CK202" s="57"/>
      <c r="CL202" s="49"/>
      <c r="CM202" s="49"/>
      <c r="CN202" s="49"/>
      <c r="CO202" s="49"/>
      <c r="CP202" s="49"/>
      <c r="CQ202" s="49"/>
      <c r="CR202" s="57"/>
      <c r="CS202" s="49"/>
      <c r="CT202" s="49"/>
      <c r="CU202" s="49"/>
      <c r="CV202" s="49"/>
      <c r="CW202" s="49"/>
      <c r="CX202" s="49"/>
      <c r="CY202" s="57"/>
      <c r="CZ202" s="49"/>
      <c r="DA202" s="49"/>
      <c r="DB202" s="49"/>
      <c r="DC202" s="49"/>
      <c r="DD202" s="49"/>
      <c r="DE202" s="49"/>
      <c r="DF202" s="57"/>
      <c r="DG202" s="49"/>
      <c r="DH202" s="49"/>
      <c r="DI202" s="49"/>
      <c r="DJ202" s="49"/>
      <c r="DK202" s="27"/>
      <c r="DL202" s="49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59"/>
      <c r="EC202" s="59"/>
      <c r="ED202" s="59"/>
      <c r="EE202" s="14"/>
      <c r="EF202" s="14"/>
      <c r="GN202" s="48"/>
    </row>
    <row r="203" spans="2:196" x14ac:dyDescent="0.25">
      <c r="B203" s="50"/>
      <c r="C203" s="50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9"/>
      <c r="BI203" s="49"/>
      <c r="BJ203" s="57"/>
      <c r="BK203" s="59"/>
      <c r="BL203" s="59"/>
      <c r="BM203" s="57"/>
      <c r="BN203" s="49"/>
      <c r="BO203" s="49"/>
      <c r="BP203" s="57"/>
      <c r="BQ203" s="49"/>
      <c r="BR203" s="49"/>
      <c r="BS203" s="57"/>
      <c r="BT203" s="49"/>
      <c r="BU203" s="49"/>
      <c r="BV203" s="57"/>
      <c r="BW203" s="19"/>
      <c r="BX203" s="59"/>
      <c r="BY203" s="27"/>
      <c r="BZ203" s="59"/>
      <c r="CA203" s="57"/>
      <c r="CB203" s="49"/>
      <c r="CC203" s="49"/>
      <c r="CD203" s="49"/>
      <c r="CE203" s="49"/>
      <c r="CF203" s="49"/>
      <c r="CG203" s="49"/>
      <c r="CH203" s="57"/>
      <c r="CI203" s="49"/>
      <c r="CJ203" s="49"/>
      <c r="CK203" s="57"/>
      <c r="CL203" s="49"/>
      <c r="CM203" s="49"/>
      <c r="CN203" s="49"/>
      <c r="CO203" s="49"/>
      <c r="CP203" s="49"/>
      <c r="CQ203" s="49"/>
      <c r="CR203" s="57"/>
      <c r="CS203" s="49"/>
      <c r="CT203" s="49"/>
      <c r="CU203" s="49"/>
      <c r="CV203" s="49"/>
      <c r="CW203" s="49"/>
      <c r="CX203" s="49"/>
      <c r="CY203" s="57"/>
      <c r="CZ203" s="49"/>
      <c r="DA203" s="49"/>
      <c r="DB203" s="49"/>
      <c r="DC203" s="49"/>
      <c r="DD203" s="49"/>
      <c r="DE203" s="49"/>
      <c r="DF203" s="57"/>
      <c r="DG203" s="49"/>
      <c r="DH203" s="49"/>
      <c r="DI203" s="49"/>
      <c r="DJ203" s="49"/>
      <c r="DK203" s="27"/>
      <c r="DL203" s="49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59"/>
      <c r="EC203" s="59"/>
      <c r="ED203" s="59"/>
      <c r="EE203" s="14"/>
      <c r="EF203" s="14"/>
      <c r="GN203" s="48"/>
    </row>
    <row r="204" spans="2:196" x14ac:dyDescent="0.25">
      <c r="B204" s="50"/>
      <c r="C204" s="50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9"/>
      <c r="BI204" s="49"/>
      <c r="BJ204" s="57"/>
      <c r="BK204" s="59"/>
      <c r="BL204" s="59"/>
      <c r="BM204" s="57"/>
      <c r="BN204" s="49"/>
      <c r="BO204" s="49"/>
      <c r="BP204" s="57"/>
      <c r="BQ204" s="49"/>
      <c r="BR204" s="49"/>
      <c r="BS204" s="57"/>
      <c r="BT204" s="49"/>
      <c r="BU204" s="49"/>
      <c r="BV204" s="57"/>
      <c r="BW204" s="19"/>
      <c r="BX204" s="59"/>
      <c r="BY204" s="27"/>
      <c r="BZ204" s="59"/>
      <c r="CA204" s="57"/>
      <c r="CB204" s="49"/>
      <c r="CC204" s="49"/>
      <c r="CD204" s="49"/>
      <c r="CE204" s="49"/>
      <c r="CF204" s="49"/>
      <c r="CG204" s="49"/>
      <c r="CH204" s="57"/>
      <c r="CI204" s="49"/>
      <c r="CJ204" s="49"/>
      <c r="CK204" s="57"/>
      <c r="CL204" s="49"/>
      <c r="CM204" s="49"/>
      <c r="CN204" s="49"/>
      <c r="CO204" s="49"/>
      <c r="CP204" s="49"/>
      <c r="CQ204" s="49"/>
      <c r="CR204" s="57"/>
      <c r="CS204" s="49"/>
      <c r="CT204" s="49"/>
      <c r="CU204" s="49"/>
      <c r="CV204" s="49"/>
      <c r="CW204" s="49"/>
      <c r="CX204" s="49"/>
      <c r="CY204" s="57"/>
      <c r="CZ204" s="49"/>
      <c r="DA204" s="49"/>
      <c r="DB204" s="49"/>
      <c r="DC204" s="49"/>
      <c r="DD204" s="49"/>
      <c r="DE204" s="49"/>
      <c r="DF204" s="57"/>
      <c r="DG204" s="49"/>
      <c r="DH204" s="49"/>
      <c r="DI204" s="49"/>
      <c r="DJ204" s="49"/>
      <c r="DK204" s="27"/>
      <c r="DL204" s="49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59"/>
      <c r="EC204" s="59"/>
      <c r="ED204" s="59"/>
      <c r="EE204" s="14"/>
      <c r="EF204" s="14"/>
      <c r="GN204" s="48"/>
    </row>
    <row r="205" spans="2:196" x14ac:dyDescent="0.25">
      <c r="B205" s="50"/>
      <c r="C205" s="50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9"/>
      <c r="BI205" s="49"/>
      <c r="BJ205" s="57"/>
      <c r="BK205" s="59"/>
      <c r="BL205" s="59"/>
      <c r="BM205" s="57"/>
      <c r="BN205" s="49"/>
      <c r="BO205" s="49"/>
      <c r="BP205" s="57"/>
      <c r="BQ205" s="49"/>
      <c r="BR205" s="49"/>
      <c r="BS205" s="57"/>
      <c r="BT205" s="49"/>
      <c r="BU205" s="49"/>
      <c r="BV205" s="57"/>
      <c r="BW205" s="19"/>
      <c r="BX205" s="59"/>
      <c r="BY205" s="27"/>
      <c r="BZ205" s="59"/>
      <c r="CA205" s="57"/>
      <c r="CB205" s="49"/>
      <c r="CC205" s="49"/>
      <c r="CD205" s="49"/>
      <c r="CE205" s="49"/>
      <c r="CF205" s="49"/>
      <c r="CG205" s="49"/>
      <c r="CH205" s="57"/>
      <c r="CI205" s="49"/>
      <c r="CJ205" s="49"/>
      <c r="CK205" s="57"/>
      <c r="CL205" s="49"/>
      <c r="CM205" s="49"/>
      <c r="CN205" s="49"/>
      <c r="CO205" s="49"/>
      <c r="CP205" s="49"/>
      <c r="CQ205" s="49"/>
      <c r="CR205" s="57"/>
      <c r="CS205" s="49"/>
      <c r="CT205" s="49"/>
      <c r="CU205" s="49"/>
      <c r="CV205" s="49"/>
      <c r="CW205" s="49"/>
      <c r="CX205" s="49"/>
      <c r="CY205" s="57"/>
      <c r="CZ205" s="49"/>
      <c r="DA205" s="49"/>
      <c r="DB205" s="49"/>
      <c r="DC205" s="49"/>
      <c r="DD205" s="49"/>
      <c r="DE205" s="49"/>
      <c r="DF205" s="57"/>
      <c r="DG205" s="49"/>
      <c r="DH205" s="49"/>
      <c r="DI205" s="49"/>
      <c r="DJ205" s="49"/>
      <c r="DK205" s="27"/>
      <c r="DL205" s="49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59"/>
      <c r="EC205" s="59"/>
      <c r="ED205" s="59"/>
      <c r="EE205" s="14"/>
      <c r="EF205" s="14"/>
      <c r="GN205" s="48"/>
    </row>
    <row r="206" spans="2:196" x14ac:dyDescent="0.25">
      <c r="B206" s="50"/>
      <c r="C206" s="50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9"/>
      <c r="BI206" s="49"/>
      <c r="BJ206" s="57"/>
      <c r="BK206" s="59"/>
      <c r="BL206" s="59"/>
      <c r="BM206" s="57"/>
      <c r="BN206" s="49"/>
      <c r="BO206" s="49"/>
      <c r="BP206" s="57"/>
      <c r="BQ206" s="49"/>
      <c r="BR206" s="49"/>
      <c r="BS206" s="57"/>
      <c r="BT206" s="49"/>
      <c r="BU206" s="49"/>
      <c r="BV206" s="57"/>
      <c r="BW206" s="19"/>
      <c r="BX206" s="59"/>
      <c r="BY206" s="27"/>
      <c r="BZ206" s="59"/>
      <c r="CA206" s="57"/>
      <c r="CB206" s="49"/>
      <c r="CC206" s="49"/>
      <c r="CD206" s="49"/>
      <c r="CE206" s="49"/>
      <c r="CF206" s="49"/>
      <c r="CG206" s="49"/>
      <c r="CH206" s="57"/>
      <c r="CI206" s="49"/>
      <c r="CJ206" s="49"/>
      <c r="CK206" s="57"/>
      <c r="CL206" s="49"/>
      <c r="CM206" s="49"/>
      <c r="CN206" s="49"/>
      <c r="CO206" s="49"/>
      <c r="CP206" s="49"/>
      <c r="CQ206" s="49"/>
      <c r="CR206" s="57"/>
      <c r="CS206" s="49"/>
      <c r="CT206" s="49"/>
      <c r="CU206" s="49"/>
      <c r="CV206" s="49"/>
      <c r="CW206" s="49"/>
      <c r="CX206" s="49"/>
      <c r="CY206" s="57"/>
      <c r="CZ206" s="49"/>
      <c r="DA206" s="49"/>
      <c r="DB206" s="49"/>
      <c r="DC206" s="49"/>
      <c r="DD206" s="49"/>
      <c r="DE206" s="49"/>
      <c r="DF206" s="57"/>
      <c r="DG206" s="49"/>
      <c r="DH206" s="49"/>
      <c r="DI206" s="49"/>
      <c r="DJ206" s="49"/>
      <c r="DK206" s="27"/>
      <c r="DL206" s="49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59"/>
      <c r="EC206" s="59"/>
      <c r="ED206" s="59"/>
      <c r="EE206" s="14"/>
      <c r="EF206" s="14"/>
      <c r="GN206" s="48"/>
    </row>
    <row r="207" spans="2:196" x14ac:dyDescent="0.25">
      <c r="B207" s="50"/>
      <c r="C207" s="50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9"/>
      <c r="BI207" s="49"/>
      <c r="BJ207" s="57"/>
      <c r="BK207" s="59"/>
      <c r="BL207" s="59"/>
      <c r="BM207" s="57"/>
      <c r="BN207" s="49"/>
      <c r="BO207" s="49"/>
      <c r="BP207" s="57"/>
      <c r="BQ207" s="49"/>
      <c r="BR207" s="49"/>
      <c r="BS207" s="57"/>
      <c r="BT207" s="49"/>
      <c r="BU207" s="49"/>
      <c r="BV207" s="57"/>
      <c r="BW207" s="19"/>
      <c r="BX207" s="59"/>
      <c r="BY207" s="27"/>
      <c r="BZ207" s="59"/>
      <c r="CA207" s="57"/>
      <c r="CB207" s="49"/>
      <c r="CC207" s="49"/>
      <c r="CD207" s="49"/>
      <c r="CE207" s="49"/>
      <c r="CF207" s="49"/>
      <c r="CG207" s="49"/>
      <c r="CH207" s="57"/>
      <c r="CI207" s="49"/>
      <c r="CJ207" s="49"/>
      <c r="CK207" s="57"/>
      <c r="CL207" s="49"/>
      <c r="CM207" s="49"/>
      <c r="CN207" s="49"/>
      <c r="CO207" s="49"/>
      <c r="CP207" s="49"/>
      <c r="CQ207" s="49"/>
      <c r="CR207" s="57"/>
      <c r="CS207" s="49"/>
      <c r="CT207" s="49"/>
      <c r="CU207" s="49"/>
      <c r="CV207" s="49"/>
      <c r="CW207" s="49"/>
      <c r="CX207" s="49"/>
      <c r="CY207" s="57"/>
      <c r="CZ207" s="49"/>
      <c r="DA207" s="49"/>
      <c r="DB207" s="49"/>
      <c r="DC207" s="49"/>
      <c r="DD207" s="49"/>
      <c r="DE207" s="49"/>
      <c r="DF207" s="57"/>
      <c r="DG207" s="49"/>
      <c r="DH207" s="49"/>
      <c r="DI207" s="49"/>
      <c r="DJ207" s="49"/>
      <c r="DK207" s="27"/>
      <c r="DL207" s="49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59"/>
      <c r="EC207" s="59"/>
      <c r="ED207" s="59"/>
      <c r="EE207" s="14"/>
      <c r="EF207" s="14"/>
      <c r="GN207" s="48"/>
    </row>
    <row r="208" spans="2:196" x14ac:dyDescent="0.25">
      <c r="B208" s="50"/>
      <c r="C208" s="50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9"/>
      <c r="BI208" s="49"/>
      <c r="BJ208" s="57"/>
      <c r="BK208" s="59"/>
      <c r="BL208" s="59"/>
      <c r="BM208" s="57"/>
      <c r="BN208" s="49"/>
      <c r="BO208" s="49"/>
      <c r="BP208" s="57"/>
      <c r="BQ208" s="49"/>
      <c r="BR208" s="49"/>
      <c r="BS208" s="57"/>
      <c r="BT208" s="49"/>
      <c r="BU208" s="49"/>
      <c r="BV208" s="57"/>
      <c r="BW208" s="19"/>
      <c r="BX208" s="59"/>
      <c r="BY208" s="27"/>
      <c r="BZ208" s="59"/>
      <c r="CA208" s="57"/>
      <c r="CB208" s="49"/>
      <c r="CC208" s="49"/>
      <c r="CD208" s="49"/>
      <c r="CE208" s="49"/>
      <c r="CF208" s="49"/>
      <c r="CG208" s="49"/>
      <c r="CH208" s="57"/>
      <c r="CI208" s="49"/>
      <c r="CJ208" s="49"/>
      <c r="CK208" s="57"/>
      <c r="CL208" s="49"/>
      <c r="CM208" s="49"/>
      <c r="CN208" s="49"/>
      <c r="CO208" s="49"/>
      <c r="CP208" s="49"/>
      <c r="CQ208" s="49"/>
      <c r="CR208" s="57"/>
      <c r="CS208" s="49"/>
      <c r="CT208" s="49"/>
      <c r="CU208" s="49"/>
      <c r="CV208" s="49"/>
      <c r="CW208" s="49"/>
      <c r="CX208" s="49"/>
      <c r="CY208" s="57"/>
      <c r="CZ208" s="49"/>
      <c r="DA208" s="49"/>
      <c r="DB208" s="49"/>
      <c r="DC208" s="49"/>
      <c r="DD208" s="49"/>
      <c r="DE208" s="49"/>
      <c r="DF208" s="57"/>
      <c r="DG208" s="49"/>
      <c r="DH208" s="49"/>
      <c r="DI208" s="49"/>
      <c r="DJ208" s="49"/>
      <c r="DK208" s="27"/>
      <c r="DL208" s="49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59"/>
      <c r="EC208" s="59"/>
      <c r="ED208" s="59"/>
      <c r="EE208" s="14"/>
      <c r="EF208" s="14"/>
      <c r="GN208" s="48"/>
    </row>
    <row r="209" spans="2:196" x14ac:dyDescent="0.25">
      <c r="B209" s="50"/>
      <c r="C209" s="50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9"/>
      <c r="BI209" s="49"/>
      <c r="BJ209" s="57"/>
      <c r="BK209" s="59"/>
      <c r="BL209" s="59"/>
      <c r="BM209" s="57"/>
      <c r="BN209" s="49"/>
      <c r="BO209" s="49"/>
      <c r="BP209" s="57"/>
      <c r="BQ209" s="49"/>
      <c r="BR209" s="49"/>
      <c r="BS209" s="57"/>
      <c r="BT209" s="49"/>
      <c r="BU209" s="49"/>
      <c r="BV209" s="57"/>
      <c r="BW209" s="19"/>
      <c r="BX209" s="59"/>
      <c r="BY209" s="27"/>
      <c r="BZ209" s="59"/>
      <c r="CA209" s="57"/>
      <c r="CB209" s="49"/>
      <c r="CC209" s="49"/>
      <c r="CD209" s="49"/>
      <c r="CE209" s="49"/>
      <c r="CF209" s="49"/>
      <c r="CG209" s="49"/>
      <c r="CH209" s="57"/>
      <c r="CI209" s="49"/>
      <c r="CJ209" s="49"/>
      <c r="CK209" s="57"/>
      <c r="CL209" s="49"/>
      <c r="CM209" s="49"/>
      <c r="CN209" s="49"/>
      <c r="CO209" s="49"/>
      <c r="CP209" s="49"/>
      <c r="CQ209" s="49"/>
      <c r="CR209" s="57"/>
      <c r="CS209" s="49"/>
      <c r="CT209" s="49"/>
      <c r="CU209" s="49"/>
      <c r="CV209" s="49"/>
      <c r="CW209" s="49"/>
      <c r="CX209" s="49"/>
      <c r="CY209" s="57"/>
      <c r="CZ209" s="49"/>
      <c r="DA209" s="49"/>
      <c r="DB209" s="49"/>
      <c r="DC209" s="49"/>
      <c r="DD209" s="49"/>
      <c r="DE209" s="49"/>
      <c r="DF209" s="57"/>
      <c r="DG209" s="49"/>
      <c r="DH209" s="49"/>
      <c r="DI209" s="49"/>
      <c r="DJ209" s="49"/>
      <c r="DK209" s="27"/>
      <c r="DL209" s="49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59"/>
      <c r="EC209" s="59"/>
      <c r="ED209" s="59"/>
      <c r="EE209" s="14"/>
      <c r="EF209" s="14"/>
      <c r="GN209" s="48"/>
    </row>
    <row r="210" spans="2:196" x14ac:dyDescent="0.25">
      <c r="B210" s="50"/>
      <c r="C210" s="50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9"/>
      <c r="BI210" s="49"/>
      <c r="BJ210" s="57"/>
      <c r="BK210" s="59"/>
      <c r="BL210" s="59"/>
      <c r="BM210" s="57"/>
      <c r="BN210" s="49"/>
      <c r="BO210" s="49"/>
      <c r="BP210" s="57"/>
      <c r="BQ210" s="49"/>
      <c r="BR210" s="49"/>
      <c r="BS210" s="57"/>
      <c r="BT210" s="49"/>
      <c r="BU210" s="49"/>
      <c r="BV210" s="57"/>
      <c r="BW210" s="19"/>
      <c r="BX210" s="59"/>
      <c r="BY210" s="27"/>
      <c r="BZ210" s="59"/>
      <c r="CA210" s="57"/>
      <c r="CB210" s="49"/>
      <c r="CC210" s="49"/>
      <c r="CD210" s="49"/>
      <c r="CE210" s="49"/>
      <c r="CF210" s="49"/>
      <c r="CG210" s="49"/>
      <c r="CH210" s="57"/>
      <c r="CI210" s="49"/>
      <c r="CJ210" s="49"/>
      <c r="CK210" s="57"/>
      <c r="CL210" s="49"/>
      <c r="CM210" s="49"/>
      <c r="CN210" s="49"/>
      <c r="CO210" s="49"/>
      <c r="CP210" s="49"/>
      <c r="CQ210" s="49"/>
      <c r="CR210" s="57"/>
      <c r="CS210" s="49"/>
      <c r="CT210" s="49"/>
      <c r="CU210" s="49"/>
      <c r="CV210" s="49"/>
      <c r="CW210" s="49"/>
      <c r="CX210" s="49"/>
      <c r="CY210" s="57"/>
      <c r="CZ210" s="49"/>
      <c r="DA210" s="49"/>
      <c r="DB210" s="49"/>
      <c r="DC210" s="49"/>
      <c r="DD210" s="49"/>
      <c r="DE210" s="49"/>
      <c r="DF210" s="57"/>
      <c r="DG210" s="49"/>
      <c r="DH210" s="49"/>
      <c r="DI210" s="49"/>
      <c r="DJ210" s="49"/>
      <c r="DK210" s="27"/>
      <c r="DL210" s="49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59"/>
      <c r="EC210" s="59"/>
      <c r="ED210" s="59"/>
      <c r="EE210" s="14"/>
      <c r="EF210" s="14"/>
      <c r="GN210" s="48"/>
    </row>
    <row r="211" spans="2:196" x14ac:dyDescent="0.25">
      <c r="B211" s="50"/>
      <c r="C211" s="50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9"/>
      <c r="BI211" s="49"/>
      <c r="BJ211" s="57"/>
      <c r="BK211" s="59"/>
      <c r="BL211" s="59"/>
      <c r="BM211" s="57"/>
      <c r="BN211" s="49"/>
      <c r="BO211" s="49"/>
      <c r="BP211" s="57"/>
      <c r="BQ211" s="49"/>
      <c r="BR211" s="49"/>
      <c r="BS211" s="57"/>
      <c r="BT211" s="49"/>
      <c r="BU211" s="49"/>
      <c r="BV211" s="57"/>
      <c r="BW211" s="19"/>
      <c r="BX211" s="59"/>
      <c r="BY211" s="27"/>
      <c r="BZ211" s="59"/>
      <c r="CA211" s="57"/>
      <c r="CB211" s="49"/>
      <c r="CC211" s="49"/>
      <c r="CD211" s="49"/>
      <c r="CE211" s="49"/>
      <c r="CF211" s="49"/>
      <c r="CG211" s="49"/>
      <c r="CH211" s="57"/>
      <c r="CI211" s="49"/>
      <c r="CJ211" s="49"/>
      <c r="CK211" s="57"/>
      <c r="CL211" s="49"/>
      <c r="CM211" s="49"/>
      <c r="CN211" s="49"/>
      <c r="CO211" s="49"/>
      <c r="CP211" s="49"/>
      <c r="CQ211" s="49"/>
      <c r="CR211" s="57"/>
      <c r="CS211" s="49"/>
      <c r="CT211" s="49"/>
      <c r="CU211" s="49"/>
      <c r="CV211" s="49"/>
      <c r="CW211" s="49"/>
      <c r="CX211" s="49"/>
      <c r="CY211" s="57"/>
      <c r="CZ211" s="49"/>
      <c r="DA211" s="49"/>
      <c r="DB211" s="49"/>
      <c r="DC211" s="49"/>
      <c r="DD211" s="49"/>
      <c r="DE211" s="49"/>
      <c r="DF211" s="57"/>
      <c r="DG211" s="49"/>
      <c r="DH211" s="49"/>
      <c r="DI211" s="49"/>
      <c r="DJ211" s="49"/>
      <c r="DK211" s="27"/>
      <c r="DL211" s="49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59"/>
      <c r="EC211" s="59"/>
      <c r="ED211" s="59"/>
      <c r="EE211" s="14"/>
      <c r="EF211" s="14"/>
      <c r="GN211" s="48"/>
    </row>
    <row r="212" spans="2:196" x14ac:dyDescent="0.25">
      <c r="B212" s="50"/>
      <c r="C212" s="50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9"/>
      <c r="BI212" s="49"/>
      <c r="BJ212" s="57"/>
      <c r="BK212" s="59"/>
      <c r="BL212" s="59"/>
      <c r="BM212" s="57"/>
      <c r="BN212" s="49"/>
      <c r="BO212" s="49"/>
      <c r="BP212" s="57"/>
      <c r="BQ212" s="49"/>
      <c r="BR212" s="49"/>
      <c r="BS212" s="57"/>
      <c r="BT212" s="49"/>
      <c r="BU212" s="49"/>
      <c r="BV212" s="57"/>
      <c r="BW212" s="19"/>
      <c r="BX212" s="59"/>
      <c r="BY212" s="27"/>
      <c r="BZ212" s="59"/>
      <c r="CA212" s="57"/>
      <c r="CB212" s="49"/>
      <c r="CC212" s="49"/>
      <c r="CD212" s="49"/>
      <c r="CE212" s="49"/>
      <c r="CF212" s="49"/>
      <c r="CG212" s="49"/>
      <c r="CH212" s="57"/>
      <c r="CI212" s="49"/>
      <c r="CJ212" s="49"/>
      <c r="CK212" s="57"/>
      <c r="CL212" s="49"/>
      <c r="CM212" s="49"/>
      <c r="CN212" s="49"/>
      <c r="CO212" s="49"/>
      <c r="CP212" s="49"/>
      <c r="CQ212" s="49"/>
      <c r="CR212" s="57"/>
      <c r="CS212" s="49"/>
      <c r="CT212" s="49"/>
      <c r="CU212" s="49"/>
      <c r="CV212" s="49"/>
      <c r="CW212" s="49"/>
      <c r="CX212" s="49"/>
      <c r="CY212" s="57"/>
      <c r="CZ212" s="49"/>
      <c r="DA212" s="49"/>
      <c r="DB212" s="49"/>
      <c r="DC212" s="49"/>
      <c r="DD212" s="49"/>
      <c r="DE212" s="49"/>
      <c r="DF212" s="57"/>
      <c r="DG212" s="49"/>
      <c r="DH212" s="49"/>
      <c r="DI212" s="49"/>
      <c r="DJ212" s="49"/>
      <c r="DK212" s="27"/>
      <c r="DL212" s="49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59"/>
      <c r="EC212" s="59"/>
      <c r="ED212" s="59"/>
      <c r="EE212" s="14"/>
      <c r="EF212" s="14"/>
      <c r="GN212" s="48"/>
    </row>
    <row r="213" spans="2:196" x14ac:dyDescent="0.25">
      <c r="B213" s="50"/>
      <c r="C213" s="50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9"/>
      <c r="BI213" s="49"/>
      <c r="BJ213" s="57"/>
      <c r="BK213" s="59"/>
      <c r="BL213" s="59"/>
      <c r="BM213" s="57"/>
      <c r="BN213" s="49"/>
      <c r="BO213" s="49"/>
      <c r="BP213" s="57"/>
      <c r="BQ213" s="49"/>
      <c r="BR213" s="49"/>
      <c r="BS213" s="57"/>
      <c r="BT213" s="49"/>
      <c r="BU213" s="49"/>
      <c r="BV213" s="57"/>
      <c r="BW213" s="19"/>
      <c r="BX213" s="59"/>
      <c r="BY213" s="27"/>
      <c r="BZ213" s="59"/>
      <c r="CA213" s="57"/>
      <c r="CB213" s="49"/>
      <c r="CC213" s="49"/>
      <c r="CD213" s="49"/>
      <c r="CE213" s="49"/>
      <c r="CF213" s="49"/>
      <c r="CG213" s="49"/>
      <c r="CH213" s="57"/>
      <c r="CI213" s="49"/>
      <c r="CJ213" s="49"/>
      <c r="CK213" s="57"/>
      <c r="CL213" s="49"/>
      <c r="CM213" s="49"/>
      <c r="CN213" s="49"/>
      <c r="CO213" s="49"/>
      <c r="CP213" s="49"/>
      <c r="CQ213" s="49"/>
      <c r="CR213" s="57"/>
      <c r="CS213" s="49"/>
      <c r="CT213" s="49"/>
      <c r="CU213" s="49"/>
      <c r="CV213" s="49"/>
      <c r="CW213" s="49"/>
      <c r="CX213" s="49"/>
      <c r="CY213" s="57"/>
      <c r="CZ213" s="49"/>
      <c r="DA213" s="49"/>
      <c r="DB213" s="49"/>
      <c r="DC213" s="49"/>
      <c r="DD213" s="49"/>
      <c r="DE213" s="49"/>
      <c r="DF213" s="57"/>
      <c r="DG213" s="49"/>
      <c r="DH213" s="49"/>
      <c r="DI213" s="49"/>
      <c r="DJ213" s="49"/>
      <c r="DK213" s="27"/>
      <c r="DL213" s="49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59"/>
      <c r="EC213" s="59"/>
      <c r="ED213" s="59"/>
      <c r="EE213" s="14"/>
      <c r="EF213" s="14"/>
      <c r="GN213" s="48"/>
    </row>
    <row r="214" spans="2:196" x14ac:dyDescent="0.25">
      <c r="B214" s="50"/>
      <c r="C214" s="50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9"/>
      <c r="BI214" s="49"/>
      <c r="BJ214" s="57"/>
      <c r="BK214" s="59"/>
      <c r="BL214" s="59"/>
      <c r="BM214" s="57"/>
      <c r="BN214" s="49"/>
      <c r="BO214" s="49"/>
      <c r="BP214" s="57"/>
      <c r="BQ214" s="49"/>
      <c r="BR214" s="49"/>
      <c r="BS214" s="57"/>
      <c r="BT214" s="49"/>
      <c r="BU214" s="49"/>
      <c r="BV214" s="57"/>
      <c r="BW214" s="19"/>
      <c r="BX214" s="59"/>
      <c r="BY214" s="27"/>
      <c r="BZ214" s="59"/>
      <c r="CA214" s="57"/>
      <c r="CB214" s="49"/>
      <c r="CC214" s="49"/>
      <c r="CD214" s="49"/>
      <c r="CE214" s="49"/>
      <c r="CF214" s="49"/>
      <c r="CG214" s="49"/>
      <c r="CH214" s="57"/>
      <c r="CI214" s="49"/>
      <c r="CJ214" s="49"/>
      <c r="CK214" s="57"/>
      <c r="CL214" s="49"/>
      <c r="CM214" s="49"/>
      <c r="CN214" s="49"/>
      <c r="CO214" s="49"/>
      <c r="CP214" s="49"/>
      <c r="CQ214" s="49"/>
      <c r="CR214" s="57"/>
      <c r="CS214" s="49"/>
      <c r="CT214" s="49"/>
      <c r="CU214" s="49"/>
      <c r="CV214" s="49"/>
      <c r="CW214" s="49"/>
      <c r="CX214" s="49"/>
      <c r="CY214" s="57"/>
      <c r="CZ214" s="49"/>
      <c r="DA214" s="49"/>
      <c r="DB214" s="49"/>
      <c r="DC214" s="49"/>
      <c r="DD214" s="49"/>
      <c r="DE214" s="49"/>
      <c r="DF214" s="57"/>
      <c r="DG214" s="49"/>
      <c r="DH214" s="49"/>
      <c r="DI214" s="49"/>
      <c r="DJ214" s="49"/>
      <c r="DK214" s="27"/>
      <c r="DL214" s="49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59"/>
      <c r="EC214" s="59"/>
      <c r="ED214" s="59"/>
      <c r="EE214" s="14"/>
      <c r="EF214" s="14"/>
      <c r="GN214" s="48"/>
    </row>
    <row r="215" spans="2:196" x14ac:dyDescent="0.25">
      <c r="B215" s="50"/>
      <c r="C215" s="50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9"/>
      <c r="BI215" s="49"/>
      <c r="BJ215" s="57"/>
      <c r="BK215" s="59"/>
      <c r="BL215" s="59"/>
      <c r="BM215" s="57"/>
      <c r="BN215" s="49"/>
      <c r="BO215" s="49"/>
      <c r="BP215" s="57"/>
      <c r="BQ215" s="49"/>
      <c r="BR215" s="49"/>
      <c r="BS215" s="57"/>
      <c r="BT215" s="49"/>
      <c r="BU215" s="49"/>
      <c r="BV215" s="57"/>
      <c r="BW215" s="19"/>
      <c r="BX215" s="59"/>
      <c r="BY215" s="27"/>
      <c r="BZ215" s="59"/>
      <c r="CA215" s="57"/>
      <c r="CB215" s="49"/>
      <c r="CC215" s="49"/>
      <c r="CD215" s="49"/>
      <c r="CE215" s="49"/>
      <c r="CF215" s="49"/>
      <c r="CG215" s="49"/>
      <c r="CH215" s="57"/>
      <c r="CI215" s="49"/>
      <c r="CJ215" s="49"/>
      <c r="CK215" s="57"/>
      <c r="CL215" s="49"/>
      <c r="CM215" s="49"/>
      <c r="CN215" s="49"/>
      <c r="CO215" s="49"/>
      <c r="CP215" s="49"/>
      <c r="CQ215" s="49"/>
      <c r="CR215" s="57"/>
      <c r="CS215" s="49"/>
      <c r="CT215" s="49"/>
      <c r="CU215" s="49"/>
      <c r="CV215" s="49"/>
      <c r="CW215" s="49"/>
      <c r="CX215" s="49"/>
      <c r="CY215" s="57"/>
      <c r="CZ215" s="49"/>
      <c r="DA215" s="49"/>
      <c r="DB215" s="49"/>
      <c r="DC215" s="49"/>
      <c r="DD215" s="49"/>
      <c r="DE215" s="49"/>
      <c r="DF215" s="57"/>
      <c r="DG215" s="49"/>
      <c r="DH215" s="49"/>
      <c r="DI215" s="49"/>
      <c r="DJ215" s="49"/>
      <c r="DK215" s="27"/>
      <c r="DL215" s="49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59"/>
      <c r="EC215" s="59"/>
      <c r="ED215" s="59"/>
      <c r="EE215" s="14"/>
      <c r="EF215" s="14"/>
      <c r="GN215" s="48"/>
    </row>
    <row r="216" spans="2:196" x14ac:dyDescent="0.25">
      <c r="B216" s="50"/>
      <c r="C216" s="50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9"/>
      <c r="BI216" s="49"/>
      <c r="BJ216" s="57"/>
      <c r="BK216" s="59"/>
      <c r="BL216" s="59"/>
      <c r="BM216" s="57"/>
      <c r="BN216" s="49"/>
      <c r="BO216" s="49"/>
      <c r="BP216" s="57"/>
      <c r="BQ216" s="49"/>
      <c r="BR216" s="49"/>
      <c r="BS216" s="57"/>
      <c r="BT216" s="49"/>
      <c r="BU216" s="49"/>
      <c r="BV216" s="57"/>
      <c r="BW216" s="19"/>
      <c r="BX216" s="59"/>
      <c r="BY216" s="27"/>
      <c r="BZ216" s="59"/>
      <c r="CA216" s="57"/>
      <c r="CB216" s="49"/>
      <c r="CC216" s="49"/>
      <c r="CD216" s="49"/>
      <c r="CE216" s="49"/>
      <c r="CF216" s="49"/>
      <c r="CG216" s="49"/>
      <c r="CH216" s="57"/>
      <c r="CI216" s="49"/>
      <c r="CJ216" s="49"/>
      <c r="CK216" s="57"/>
      <c r="CL216" s="49"/>
      <c r="CM216" s="49"/>
      <c r="CN216" s="49"/>
      <c r="CO216" s="49"/>
      <c r="CP216" s="49"/>
      <c r="CQ216" s="49"/>
      <c r="CR216" s="57"/>
      <c r="CS216" s="49"/>
      <c r="CT216" s="49"/>
      <c r="CU216" s="49"/>
      <c r="CV216" s="49"/>
      <c r="CW216" s="49"/>
      <c r="CX216" s="49"/>
      <c r="CY216" s="57"/>
      <c r="CZ216" s="49"/>
      <c r="DA216" s="49"/>
      <c r="DB216" s="49"/>
      <c r="DC216" s="49"/>
      <c r="DD216" s="49"/>
      <c r="DE216" s="49"/>
      <c r="DF216" s="57"/>
      <c r="DG216" s="49"/>
      <c r="DH216" s="49"/>
      <c r="DI216" s="49"/>
      <c r="DJ216" s="49"/>
      <c r="DK216" s="27"/>
      <c r="DL216" s="49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59"/>
      <c r="EC216" s="59"/>
      <c r="ED216" s="59"/>
      <c r="EE216" s="14"/>
      <c r="EF216" s="14"/>
      <c r="GN216" s="48"/>
    </row>
    <row r="217" spans="2:196" x14ac:dyDescent="0.25">
      <c r="B217" s="50"/>
      <c r="C217" s="50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9"/>
      <c r="BI217" s="49"/>
      <c r="BJ217" s="57"/>
      <c r="BK217" s="59"/>
      <c r="BL217" s="59"/>
      <c r="BM217" s="57"/>
      <c r="BN217" s="49"/>
      <c r="BO217" s="49"/>
      <c r="BP217" s="57"/>
      <c r="BQ217" s="49"/>
      <c r="BR217" s="49"/>
      <c r="BS217" s="57"/>
      <c r="BT217" s="49"/>
      <c r="BU217" s="49"/>
      <c r="BV217" s="57"/>
      <c r="BW217" s="19"/>
      <c r="BX217" s="59"/>
      <c r="BY217" s="27"/>
      <c r="BZ217" s="59"/>
      <c r="CA217" s="57"/>
      <c r="CB217" s="49"/>
      <c r="CC217" s="49"/>
      <c r="CD217" s="49"/>
      <c r="CE217" s="49"/>
      <c r="CF217" s="49"/>
      <c r="CG217" s="49"/>
      <c r="CH217" s="57"/>
      <c r="CI217" s="49"/>
      <c r="CJ217" s="49"/>
      <c r="CK217" s="57"/>
      <c r="CL217" s="49"/>
      <c r="CM217" s="49"/>
      <c r="CN217" s="49"/>
      <c r="CO217" s="49"/>
      <c r="CP217" s="49"/>
      <c r="CQ217" s="49"/>
      <c r="CR217" s="57"/>
      <c r="CS217" s="49"/>
      <c r="CT217" s="49"/>
      <c r="CU217" s="49"/>
      <c r="CV217" s="49"/>
      <c r="CW217" s="49"/>
      <c r="CX217" s="49"/>
      <c r="CY217" s="57"/>
      <c r="CZ217" s="49"/>
      <c r="DA217" s="49"/>
      <c r="DB217" s="49"/>
      <c r="DC217" s="49"/>
      <c r="DD217" s="49"/>
      <c r="DE217" s="49"/>
      <c r="DF217" s="57"/>
      <c r="DG217" s="49"/>
      <c r="DH217" s="49"/>
      <c r="DI217" s="49"/>
      <c r="DJ217" s="49"/>
      <c r="DK217" s="27"/>
      <c r="DL217" s="49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59"/>
      <c r="EC217" s="59"/>
      <c r="ED217" s="59"/>
      <c r="EE217" s="14"/>
      <c r="EF217" s="14"/>
      <c r="GN217" s="48"/>
    </row>
    <row r="218" spans="2:196" x14ac:dyDescent="0.25">
      <c r="B218" s="50"/>
      <c r="C218" s="50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9"/>
      <c r="BI218" s="49"/>
      <c r="BJ218" s="57"/>
      <c r="BK218" s="59"/>
      <c r="BL218" s="59"/>
      <c r="BM218" s="57"/>
      <c r="BN218" s="49"/>
      <c r="BO218" s="49"/>
      <c r="BP218" s="57"/>
      <c r="BQ218" s="49"/>
      <c r="BR218" s="49"/>
      <c r="BS218" s="57"/>
      <c r="BT218" s="49"/>
      <c r="BU218" s="49"/>
      <c r="BV218" s="57"/>
      <c r="BW218" s="19"/>
      <c r="BX218" s="59"/>
      <c r="BY218" s="27"/>
      <c r="BZ218" s="59"/>
      <c r="CA218" s="57"/>
      <c r="CB218" s="49"/>
      <c r="CC218" s="49"/>
      <c r="CD218" s="49"/>
      <c r="CE218" s="49"/>
      <c r="CF218" s="49"/>
      <c r="CG218" s="49"/>
      <c r="CH218" s="57"/>
      <c r="CI218" s="49"/>
      <c r="CJ218" s="49"/>
      <c r="CK218" s="57"/>
      <c r="CL218" s="49"/>
      <c r="CM218" s="49"/>
      <c r="CN218" s="49"/>
      <c r="CO218" s="49"/>
      <c r="CP218" s="49"/>
      <c r="CQ218" s="49"/>
      <c r="CR218" s="57"/>
      <c r="CS218" s="49"/>
      <c r="CT218" s="49"/>
      <c r="CU218" s="49"/>
      <c r="CV218" s="49"/>
      <c r="CW218" s="49"/>
      <c r="CX218" s="49"/>
      <c r="CY218" s="57"/>
      <c r="CZ218" s="49"/>
      <c r="DA218" s="49"/>
      <c r="DB218" s="49"/>
      <c r="DC218" s="49"/>
      <c r="DD218" s="49"/>
      <c r="DE218" s="49"/>
      <c r="DF218" s="57"/>
      <c r="DG218" s="49"/>
      <c r="DH218" s="49"/>
      <c r="DI218" s="49"/>
      <c r="DJ218" s="49"/>
      <c r="DK218" s="27"/>
      <c r="DL218" s="49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59"/>
      <c r="EC218" s="59"/>
      <c r="ED218" s="59"/>
      <c r="EE218" s="14"/>
      <c r="EF218" s="14"/>
      <c r="GN218" s="48"/>
    </row>
    <row r="219" spans="2:196" x14ac:dyDescent="0.25">
      <c r="B219" s="50"/>
      <c r="C219" s="50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9"/>
      <c r="BI219" s="49"/>
      <c r="BJ219" s="57"/>
      <c r="BK219" s="59"/>
      <c r="BL219" s="59"/>
      <c r="BM219" s="57"/>
      <c r="BN219" s="49"/>
      <c r="BO219" s="49"/>
      <c r="BP219" s="57"/>
      <c r="BQ219" s="49"/>
      <c r="BR219" s="49"/>
      <c r="BS219" s="57"/>
      <c r="BT219" s="49"/>
      <c r="BU219" s="49"/>
      <c r="BV219" s="57"/>
      <c r="BW219" s="19"/>
      <c r="BX219" s="59"/>
      <c r="BY219" s="27"/>
      <c r="BZ219" s="59"/>
      <c r="CA219" s="57"/>
      <c r="CB219" s="49"/>
      <c r="CC219" s="49"/>
      <c r="CD219" s="49"/>
      <c r="CE219" s="49"/>
      <c r="CF219" s="49"/>
      <c r="CG219" s="49"/>
      <c r="CH219" s="57"/>
      <c r="CI219" s="49"/>
      <c r="CJ219" s="49"/>
      <c r="CK219" s="57"/>
      <c r="CL219" s="49"/>
      <c r="CM219" s="49"/>
      <c r="CN219" s="49"/>
      <c r="CO219" s="49"/>
      <c r="CP219" s="49"/>
      <c r="CQ219" s="49"/>
      <c r="CR219" s="57"/>
      <c r="CS219" s="49"/>
      <c r="CT219" s="49"/>
      <c r="CU219" s="49"/>
      <c r="CV219" s="49"/>
      <c r="CW219" s="49"/>
      <c r="CX219" s="49"/>
      <c r="CY219" s="57"/>
      <c r="CZ219" s="49"/>
      <c r="DA219" s="49"/>
      <c r="DB219" s="49"/>
      <c r="DC219" s="49"/>
      <c r="DD219" s="49"/>
      <c r="DE219" s="49"/>
      <c r="DF219" s="57"/>
      <c r="DG219" s="49"/>
      <c r="DH219" s="49"/>
      <c r="DI219" s="49"/>
      <c r="DJ219" s="49"/>
      <c r="DK219" s="27"/>
      <c r="DL219" s="49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59"/>
      <c r="EC219" s="59"/>
      <c r="ED219" s="59"/>
      <c r="EE219" s="14"/>
      <c r="EF219" s="14"/>
      <c r="GN219" s="48"/>
    </row>
    <row r="220" spans="2:196" x14ac:dyDescent="0.25">
      <c r="B220" s="50"/>
      <c r="C220" s="50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9"/>
      <c r="BI220" s="49"/>
      <c r="BJ220" s="57"/>
      <c r="BK220" s="59"/>
      <c r="BL220" s="59"/>
      <c r="BM220" s="57"/>
      <c r="BN220" s="49"/>
      <c r="BO220" s="49"/>
      <c r="BP220" s="57"/>
      <c r="BQ220" s="49"/>
      <c r="BR220" s="49"/>
      <c r="BS220" s="57"/>
      <c r="BT220" s="49"/>
      <c r="BU220" s="49"/>
      <c r="BV220" s="57"/>
      <c r="BW220" s="19"/>
      <c r="BX220" s="59"/>
      <c r="BY220" s="27"/>
      <c r="BZ220" s="59"/>
      <c r="CA220" s="57"/>
      <c r="CB220" s="49"/>
      <c r="CC220" s="49"/>
      <c r="CD220" s="49"/>
      <c r="CE220" s="49"/>
      <c r="CF220" s="49"/>
      <c r="CG220" s="49"/>
      <c r="CH220" s="57"/>
      <c r="CI220" s="49"/>
      <c r="CJ220" s="49"/>
      <c r="CK220" s="57"/>
      <c r="CL220" s="49"/>
      <c r="CM220" s="49"/>
      <c r="CN220" s="49"/>
      <c r="CO220" s="49"/>
      <c r="CP220" s="49"/>
      <c r="CQ220" s="49"/>
      <c r="CR220" s="57"/>
      <c r="CS220" s="49"/>
      <c r="CT220" s="49"/>
      <c r="CU220" s="49"/>
      <c r="CV220" s="49"/>
      <c r="CW220" s="49"/>
      <c r="CX220" s="49"/>
      <c r="CY220" s="57"/>
      <c r="CZ220" s="49"/>
      <c r="DA220" s="49"/>
      <c r="DB220" s="49"/>
      <c r="DC220" s="49"/>
      <c r="DD220" s="49"/>
      <c r="DE220" s="49"/>
      <c r="DF220" s="57"/>
      <c r="DG220" s="49"/>
      <c r="DH220" s="49"/>
      <c r="DI220" s="49"/>
      <c r="DJ220" s="49"/>
      <c r="DK220" s="27"/>
      <c r="DL220" s="49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59"/>
      <c r="EC220" s="59"/>
      <c r="ED220" s="59"/>
      <c r="EE220" s="14"/>
      <c r="EF220" s="14"/>
      <c r="GN220" s="48"/>
    </row>
    <row r="221" spans="2:196" x14ac:dyDescent="0.25">
      <c r="B221" s="50"/>
      <c r="C221" s="50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9"/>
      <c r="BI221" s="49"/>
      <c r="BJ221" s="57"/>
      <c r="BK221" s="59"/>
      <c r="BL221" s="59"/>
      <c r="BM221" s="57"/>
      <c r="BN221" s="49"/>
      <c r="BO221" s="49"/>
      <c r="BP221" s="57"/>
      <c r="BQ221" s="49"/>
      <c r="BR221" s="49"/>
      <c r="BS221" s="57"/>
      <c r="BT221" s="49"/>
      <c r="BU221" s="49"/>
      <c r="BV221" s="57"/>
      <c r="BW221" s="19"/>
      <c r="BX221" s="59"/>
      <c r="BY221" s="27"/>
      <c r="BZ221" s="59"/>
      <c r="CA221" s="57"/>
      <c r="CB221" s="49"/>
      <c r="CC221" s="49"/>
      <c r="CD221" s="49"/>
      <c r="CE221" s="49"/>
      <c r="CF221" s="49"/>
      <c r="CG221" s="49"/>
      <c r="CH221" s="57"/>
      <c r="CI221" s="49"/>
      <c r="CJ221" s="49"/>
      <c r="CK221" s="57"/>
      <c r="CL221" s="49"/>
      <c r="CM221" s="49"/>
      <c r="CN221" s="49"/>
      <c r="CO221" s="49"/>
      <c r="CP221" s="49"/>
      <c r="CQ221" s="49"/>
      <c r="CR221" s="57"/>
      <c r="CS221" s="49"/>
      <c r="CT221" s="49"/>
      <c r="CU221" s="49"/>
      <c r="CV221" s="49"/>
      <c r="CW221" s="49"/>
      <c r="CX221" s="49"/>
      <c r="CY221" s="57"/>
      <c r="CZ221" s="49"/>
      <c r="DA221" s="49"/>
      <c r="DB221" s="49"/>
      <c r="DC221" s="49"/>
      <c r="DD221" s="49"/>
      <c r="DE221" s="49"/>
      <c r="DF221" s="57"/>
      <c r="DG221" s="49"/>
      <c r="DH221" s="49"/>
      <c r="DI221" s="49"/>
      <c r="DJ221" s="49"/>
      <c r="DK221" s="27"/>
      <c r="DL221" s="49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59"/>
      <c r="EC221" s="59"/>
      <c r="ED221" s="59"/>
      <c r="EE221" s="14"/>
      <c r="EF221" s="14"/>
      <c r="GN221" s="48"/>
    </row>
    <row r="222" spans="2:196" x14ac:dyDescent="0.25">
      <c r="B222" s="50"/>
      <c r="C222" s="50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9"/>
      <c r="BI222" s="49"/>
      <c r="BJ222" s="57"/>
      <c r="BK222" s="59"/>
      <c r="BL222" s="59"/>
      <c r="BM222" s="57"/>
      <c r="BN222" s="49"/>
      <c r="BO222" s="49"/>
      <c r="BP222" s="57"/>
      <c r="BQ222" s="49"/>
      <c r="BR222" s="49"/>
      <c r="BS222" s="57"/>
      <c r="BT222" s="49"/>
      <c r="BU222" s="49"/>
      <c r="BV222" s="57"/>
      <c r="BW222" s="19"/>
      <c r="BX222" s="59"/>
      <c r="BY222" s="27"/>
      <c r="BZ222" s="59"/>
      <c r="CA222" s="57"/>
      <c r="CB222" s="49"/>
      <c r="CC222" s="49"/>
      <c r="CD222" s="49"/>
      <c r="CE222" s="49"/>
      <c r="CF222" s="49"/>
      <c r="CG222" s="49"/>
      <c r="CH222" s="57"/>
      <c r="CI222" s="49"/>
      <c r="CJ222" s="49"/>
      <c r="CK222" s="57"/>
      <c r="CL222" s="49"/>
      <c r="CM222" s="49"/>
      <c r="CN222" s="49"/>
      <c r="CO222" s="49"/>
      <c r="CP222" s="49"/>
      <c r="CQ222" s="49"/>
      <c r="CR222" s="57"/>
      <c r="CS222" s="49"/>
      <c r="CT222" s="49"/>
      <c r="CU222" s="49"/>
      <c r="CV222" s="49"/>
      <c r="CW222" s="49"/>
      <c r="CX222" s="49"/>
      <c r="CY222" s="57"/>
      <c r="CZ222" s="49"/>
      <c r="DA222" s="49"/>
      <c r="DB222" s="49"/>
      <c r="DC222" s="49"/>
      <c r="DD222" s="49"/>
      <c r="DE222" s="49"/>
      <c r="DF222" s="57"/>
      <c r="DG222" s="49"/>
      <c r="DH222" s="49"/>
      <c r="DI222" s="49"/>
      <c r="DJ222" s="49"/>
      <c r="DK222" s="27"/>
      <c r="DL222" s="49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59"/>
      <c r="EC222" s="59"/>
      <c r="ED222" s="59"/>
      <c r="EE222" s="14"/>
      <c r="EF222" s="14"/>
      <c r="GN222" s="48"/>
    </row>
    <row r="223" spans="2:196" x14ac:dyDescent="0.25">
      <c r="B223" s="50"/>
      <c r="C223" s="50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9"/>
      <c r="BI223" s="49"/>
      <c r="BJ223" s="57"/>
      <c r="BK223" s="59"/>
      <c r="BL223" s="59"/>
      <c r="BM223" s="57"/>
      <c r="BN223" s="49"/>
      <c r="BO223" s="49"/>
      <c r="BP223" s="57"/>
      <c r="BQ223" s="49"/>
      <c r="BR223" s="49"/>
      <c r="BS223" s="57"/>
      <c r="BT223" s="49"/>
      <c r="BU223" s="49"/>
      <c r="BV223" s="57"/>
      <c r="BW223" s="19"/>
      <c r="BX223" s="59"/>
      <c r="BY223" s="27"/>
      <c r="BZ223" s="59"/>
      <c r="CA223" s="57"/>
      <c r="CB223" s="49"/>
      <c r="CC223" s="49"/>
      <c r="CD223" s="49"/>
      <c r="CE223" s="49"/>
      <c r="CF223" s="49"/>
      <c r="CG223" s="49"/>
      <c r="CH223" s="57"/>
      <c r="CI223" s="49"/>
      <c r="CJ223" s="49"/>
      <c r="CK223" s="57"/>
      <c r="CL223" s="49"/>
      <c r="CM223" s="49"/>
      <c r="CN223" s="49"/>
      <c r="CO223" s="49"/>
      <c r="CP223" s="49"/>
      <c r="CQ223" s="49"/>
      <c r="CR223" s="57"/>
      <c r="CS223" s="49"/>
      <c r="CT223" s="49"/>
      <c r="CU223" s="49"/>
      <c r="CV223" s="49"/>
      <c r="CW223" s="49"/>
      <c r="CX223" s="49"/>
      <c r="CY223" s="57"/>
      <c r="CZ223" s="49"/>
      <c r="DA223" s="49"/>
      <c r="DB223" s="49"/>
      <c r="DC223" s="49"/>
      <c r="DD223" s="49"/>
      <c r="DE223" s="49"/>
      <c r="DF223" s="57"/>
      <c r="DG223" s="49"/>
      <c r="DH223" s="49"/>
      <c r="DI223" s="49"/>
      <c r="DJ223" s="49"/>
      <c r="DK223" s="27"/>
      <c r="DL223" s="49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59"/>
      <c r="EC223" s="59"/>
      <c r="ED223" s="59"/>
      <c r="EE223" s="14"/>
      <c r="EF223" s="14"/>
      <c r="GN223" s="48"/>
    </row>
    <row r="224" spans="2:196" x14ac:dyDescent="0.25">
      <c r="B224" s="50"/>
      <c r="C224" s="50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9"/>
      <c r="BI224" s="49"/>
      <c r="BJ224" s="57"/>
      <c r="BK224" s="59"/>
      <c r="BL224" s="59"/>
      <c r="BM224" s="57"/>
      <c r="BN224" s="49"/>
      <c r="BO224" s="49"/>
      <c r="BP224" s="57"/>
      <c r="BQ224" s="49"/>
      <c r="BR224" s="49"/>
      <c r="BS224" s="57"/>
      <c r="BT224" s="49"/>
      <c r="BU224" s="49"/>
      <c r="BV224" s="57"/>
      <c r="BW224" s="19"/>
      <c r="BX224" s="59"/>
      <c r="BY224" s="27"/>
      <c r="BZ224" s="59"/>
      <c r="CA224" s="57"/>
      <c r="CB224" s="49"/>
      <c r="CC224" s="49"/>
      <c r="CD224" s="49"/>
      <c r="CE224" s="49"/>
      <c r="CF224" s="49"/>
      <c r="CG224" s="49"/>
      <c r="CH224" s="57"/>
      <c r="CI224" s="49"/>
      <c r="CJ224" s="49"/>
      <c r="CK224" s="57"/>
      <c r="CL224" s="49"/>
      <c r="CM224" s="49"/>
      <c r="CN224" s="49"/>
      <c r="CO224" s="49"/>
      <c r="CP224" s="49"/>
      <c r="CQ224" s="49"/>
      <c r="CR224" s="57"/>
      <c r="CS224" s="49"/>
      <c r="CT224" s="49"/>
      <c r="CU224" s="49"/>
      <c r="CV224" s="49"/>
      <c r="CW224" s="49"/>
      <c r="CX224" s="49"/>
      <c r="CY224" s="57"/>
      <c r="CZ224" s="49"/>
      <c r="DA224" s="49"/>
      <c r="DB224" s="49"/>
      <c r="DC224" s="49"/>
      <c r="DD224" s="49"/>
      <c r="DE224" s="49"/>
      <c r="DF224" s="57"/>
      <c r="DG224" s="49"/>
      <c r="DH224" s="49"/>
      <c r="DI224" s="49"/>
      <c r="DJ224" s="49"/>
      <c r="DK224" s="27"/>
      <c r="DL224" s="49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59"/>
      <c r="EC224" s="59"/>
      <c r="ED224" s="59"/>
      <c r="EE224" s="14"/>
      <c r="EF224" s="14"/>
      <c r="GN224" s="48"/>
    </row>
    <row r="225" spans="2:196" x14ac:dyDescent="0.25">
      <c r="B225" s="50"/>
      <c r="C225" s="50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9"/>
      <c r="BI225" s="49"/>
      <c r="BJ225" s="57"/>
      <c r="BK225" s="59"/>
      <c r="BL225" s="59"/>
      <c r="BM225" s="57"/>
      <c r="BN225" s="49"/>
      <c r="BO225" s="49"/>
      <c r="BP225" s="57"/>
      <c r="BQ225" s="49"/>
      <c r="BR225" s="49"/>
      <c r="BS225" s="57"/>
      <c r="BT225" s="49"/>
      <c r="BU225" s="49"/>
      <c r="BV225" s="57"/>
      <c r="BW225" s="19"/>
      <c r="BX225" s="59"/>
      <c r="BY225" s="27"/>
      <c r="BZ225" s="59"/>
      <c r="CA225" s="57"/>
      <c r="CB225" s="49"/>
      <c r="CC225" s="49"/>
      <c r="CD225" s="49"/>
      <c r="CE225" s="49"/>
      <c r="CF225" s="49"/>
      <c r="CG225" s="49"/>
      <c r="CH225" s="57"/>
      <c r="CI225" s="49"/>
      <c r="CJ225" s="49"/>
      <c r="CK225" s="57"/>
      <c r="CL225" s="49"/>
      <c r="CM225" s="49"/>
      <c r="CN225" s="49"/>
      <c r="CO225" s="49"/>
      <c r="CP225" s="49"/>
      <c r="CQ225" s="49"/>
      <c r="CR225" s="57"/>
      <c r="CS225" s="49"/>
      <c r="CT225" s="49"/>
      <c r="CU225" s="49"/>
      <c r="CV225" s="49"/>
      <c r="CW225" s="49"/>
      <c r="CX225" s="49"/>
      <c r="CY225" s="57"/>
      <c r="CZ225" s="49"/>
      <c r="DA225" s="49"/>
      <c r="DB225" s="49"/>
      <c r="DC225" s="49"/>
      <c r="DD225" s="49"/>
      <c r="DE225" s="49"/>
      <c r="DF225" s="57"/>
      <c r="DG225" s="49"/>
      <c r="DH225" s="49"/>
      <c r="DI225" s="49"/>
      <c r="DJ225" s="49"/>
      <c r="DK225" s="27"/>
      <c r="DL225" s="49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59"/>
      <c r="EC225" s="59"/>
      <c r="ED225" s="59"/>
      <c r="EE225" s="14"/>
      <c r="EF225" s="14"/>
      <c r="GN225" s="48"/>
    </row>
    <row r="226" spans="2:196" x14ac:dyDescent="0.25">
      <c r="B226" s="50"/>
      <c r="C226" s="50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9"/>
      <c r="BI226" s="49"/>
      <c r="BJ226" s="57"/>
      <c r="BK226" s="59"/>
      <c r="BL226" s="59"/>
      <c r="BM226" s="57"/>
      <c r="BN226" s="49"/>
      <c r="BO226" s="49"/>
      <c r="BP226" s="57"/>
      <c r="BQ226" s="49"/>
      <c r="BR226" s="49"/>
      <c r="BS226" s="57"/>
      <c r="BT226" s="49"/>
      <c r="BU226" s="49"/>
      <c r="BV226" s="57"/>
      <c r="BW226" s="19"/>
      <c r="BX226" s="59"/>
      <c r="BY226" s="27"/>
      <c r="BZ226" s="59"/>
      <c r="CA226" s="57"/>
      <c r="CB226" s="49"/>
      <c r="CC226" s="49"/>
      <c r="CD226" s="49"/>
      <c r="CE226" s="49"/>
      <c r="CF226" s="49"/>
      <c r="CG226" s="49"/>
      <c r="CH226" s="57"/>
      <c r="CI226" s="49"/>
      <c r="CJ226" s="49"/>
      <c r="CK226" s="57"/>
      <c r="CL226" s="49"/>
      <c r="CM226" s="49"/>
      <c r="CN226" s="49"/>
      <c r="CO226" s="49"/>
      <c r="CP226" s="49"/>
      <c r="CQ226" s="49"/>
      <c r="CR226" s="57"/>
      <c r="CS226" s="49"/>
      <c r="CT226" s="49"/>
      <c r="CU226" s="49"/>
      <c r="CV226" s="49"/>
      <c r="CW226" s="49"/>
      <c r="CX226" s="49"/>
      <c r="CY226" s="57"/>
      <c r="CZ226" s="49"/>
      <c r="DA226" s="49"/>
      <c r="DB226" s="49"/>
      <c r="DC226" s="49"/>
      <c r="DD226" s="49"/>
      <c r="DE226" s="49"/>
      <c r="DF226" s="57"/>
      <c r="DG226" s="49"/>
      <c r="DH226" s="49"/>
      <c r="DI226" s="49"/>
      <c r="DJ226" s="49"/>
      <c r="DK226" s="27"/>
      <c r="DL226" s="49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59"/>
      <c r="EC226" s="59"/>
      <c r="ED226" s="59"/>
      <c r="EE226" s="14"/>
      <c r="EF226" s="14"/>
      <c r="GN226" s="48"/>
    </row>
    <row r="227" spans="2:196" x14ac:dyDescent="0.25">
      <c r="B227" s="50"/>
      <c r="C227" s="50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9"/>
      <c r="BI227" s="49"/>
      <c r="BJ227" s="57"/>
      <c r="BK227" s="59"/>
      <c r="BL227" s="59"/>
      <c r="BM227" s="57"/>
      <c r="BN227" s="49"/>
      <c r="BO227" s="49"/>
      <c r="BP227" s="57"/>
      <c r="BQ227" s="49"/>
      <c r="BR227" s="49"/>
      <c r="BS227" s="57"/>
      <c r="BT227" s="49"/>
      <c r="BU227" s="49"/>
      <c r="BV227" s="57"/>
      <c r="BW227" s="19"/>
      <c r="BX227" s="59"/>
      <c r="BY227" s="27"/>
      <c r="BZ227" s="59"/>
      <c r="CA227" s="57"/>
      <c r="CB227" s="49"/>
      <c r="CC227" s="49"/>
      <c r="CD227" s="49"/>
      <c r="CE227" s="49"/>
      <c r="CF227" s="49"/>
      <c r="CG227" s="49"/>
      <c r="CH227" s="57"/>
      <c r="CI227" s="49"/>
      <c r="CJ227" s="49"/>
      <c r="CK227" s="57"/>
      <c r="CL227" s="49"/>
      <c r="CM227" s="49"/>
      <c r="CN227" s="49"/>
      <c r="CO227" s="49"/>
      <c r="CP227" s="49"/>
      <c r="CQ227" s="49"/>
      <c r="CR227" s="57"/>
      <c r="CS227" s="49"/>
      <c r="CT227" s="49"/>
      <c r="CU227" s="49"/>
      <c r="CV227" s="49"/>
      <c r="CW227" s="49"/>
      <c r="CX227" s="49"/>
      <c r="CY227" s="57"/>
      <c r="CZ227" s="49"/>
      <c r="DA227" s="49"/>
      <c r="DB227" s="49"/>
      <c r="DC227" s="49"/>
      <c r="DD227" s="49"/>
      <c r="DE227" s="49"/>
      <c r="DF227" s="57"/>
      <c r="DG227" s="49"/>
      <c r="DH227" s="49"/>
      <c r="DI227" s="49"/>
      <c r="DJ227" s="49"/>
      <c r="DK227" s="27"/>
      <c r="DL227" s="49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59"/>
      <c r="EC227" s="59"/>
      <c r="ED227" s="59"/>
      <c r="EE227" s="14"/>
      <c r="EF227" s="14"/>
      <c r="GN227" s="48"/>
    </row>
    <row r="228" spans="2:196" x14ac:dyDescent="0.25">
      <c r="B228" s="50"/>
      <c r="C228" s="50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9"/>
      <c r="BI228" s="49"/>
      <c r="BJ228" s="57"/>
      <c r="BK228" s="59"/>
      <c r="BL228" s="59"/>
      <c r="BM228" s="57"/>
      <c r="BN228" s="49"/>
      <c r="BO228" s="49"/>
      <c r="BP228" s="57"/>
      <c r="BQ228" s="49"/>
      <c r="BR228" s="49"/>
      <c r="BS228" s="57"/>
      <c r="BT228" s="49"/>
      <c r="BU228" s="49"/>
      <c r="BV228" s="57"/>
      <c r="BW228" s="19"/>
      <c r="BX228" s="59"/>
      <c r="BY228" s="27"/>
      <c r="BZ228" s="59"/>
      <c r="CA228" s="57"/>
      <c r="CB228" s="49"/>
      <c r="CC228" s="49"/>
      <c r="CD228" s="49"/>
      <c r="CE228" s="49"/>
      <c r="CF228" s="49"/>
      <c r="CG228" s="49"/>
      <c r="CH228" s="57"/>
      <c r="CI228" s="49"/>
      <c r="CJ228" s="49"/>
      <c r="CK228" s="57"/>
      <c r="CL228" s="49"/>
      <c r="CM228" s="49"/>
      <c r="CN228" s="49"/>
      <c r="CO228" s="49"/>
      <c r="CP228" s="49"/>
      <c r="CQ228" s="49"/>
      <c r="CR228" s="57"/>
      <c r="CS228" s="49"/>
      <c r="CT228" s="49"/>
      <c r="CU228" s="49"/>
      <c r="CV228" s="49"/>
      <c r="CW228" s="49"/>
      <c r="CX228" s="49"/>
      <c r="CY228" s="57"/>
      <c r="CZ228" s="49"/>
      <c r="DA228" s="49"/>
      <c r="DB228" s="49"/>
      <c r="DC228" s="49"/>
      <c r="DD228" s="49"/>
      <c r="DE228" s="49"/>
      <c r="DF228" s="57"/>
      <c r="DG228" s="49"/>
      <c r="DH228" s="49"/>
      <c r="DI228" s="49"/>
      <c r="DJ228" s="49"/>
      <c r="DK228" s="27"/>
      <c r="DL228" s="49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59"/>
      <c r="EC228" s="59"/>
      <c r="ED228" s="59"/>
      <c r="EE228" s="14"/>
      <c r="EF228" s="14"/>
      <c r="GN228" s="48"/>
    </row>
    <row r="229" spans="2:196" x14ac:dyDescent="0.25">
      <c r="B229" s="50"/>
      <c r="C229" s="50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9"/>
      <c r="BI229" s="49"/>
      <c r="BJ229" s="57"/>
      <c r="BK229" s="59"/>
      <c r="BL229" s="59"/>
      <c r="BM229" s="57"/>
      <c r="BN229" s="49"/>
      <c r="BO229" s="49"/>
      <c r="BP229" s="57"/>
      <c r="BQ229" s="49"/>
      <c r="BR229" s="49"/>
      <c r="BS229" s="57"/>
      <c r="BT229" s="49"/>
      <c r="BU229" s="49"/>
      <c r="BV229" s="57"/>
      <c r="BW229" s="19"/>
      <c r="BX229" s="59"/>
      <c r="BY229" s="27"/>
      <c r="BZ229" s="59"/>
      <c r="CA229" s="57"/>
      <c r="CB229" s="49"/>
      <c r="CC229" s="49"/>
      <c r="CD229" s="49"/>
      <c r="CE229" s="49"/>
      <c r="CF229" s="49"/>
      <c r="CG229" s="49"/>
      <c r="CH229" s="57"/>
      <c r="CI229" s="49"/>
      <c r="CJ229" s="49"/>
      <c r="CK229" s="57"/>
      <c r="CL229" s="49"/>
      <c r="CM229" s="49"/>
      <c r="CN229" s="49"/>
      <c r="CO229" s="49"/>
      <c r="CP229" s="49"/>
      <c r="CQ229" s="49"/>
      <c r="CR229" s="57"/>
      <c r="CS229" s="49"/>
      <c r="CT229" s="49"/>
      <c r="CU229" s="49"/>
      <c r="CV229" s="49"/>
      <c r="CW229" s="49"/>
      <c r="CX229" s="49"/>
      <c r="CY229" s="57"/>
      <c r="CZ229" s="49"/>
      <c r="DA229" s="49"/>
      <c r="DB229" s="49"/>
      <c r="DC229" s="49"/>
      <c r="DD229" s="49"/>
      <c r="DE229" s="49"/>
      <c r="DF229" s="57"/>
      <c r="DG229" s="49"/>
      <c r="DH229" s="49"/>
      <c r="DI229" s="49"/>
      <c r="DJ229" s="49"/>
      <c r="DK229" s="27"/>
      <c r="DL229" s="49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59"/>
      <c r="EC229" s="59"/>
      <c r="ED229" s="59"/>
      <c r="EE229" s="14"/>
      <c r="EF229" s="14"/>
      <c r="GN229" s="48"/>
    </row>
    <row r="230" spans="2:196" x14ac:dyDescent="0.25">
      <c r="B230" s="50"/>
      <c r="C230" s="50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9"/>
      <c r="BI230" s="49"/>
      <c r="BJ230" s="57"/>
      <c r="BK230" s="59"/>
      <c r="BL230" s="59"/>
      <c r="BM230" s="57"/>
      <c r="BN230" s="49"/>
      <c r="BO230" s="49"/>
      <c r="BP230" s="57"/>
      <c r="BQ230" s="49"/>
      <c r="BR230" s="49"/>
      <c r="BS230" s="57"/>
      <c r="BT230" s="49"/>
      <c r="BU230" s="49"/>
      <c r="BV230" s="57"/>
      <c r="BW230" s="19"/>
      <c r="BX230" s="59"/>
      <c r="BY230" s="27"/>
      <c r="BZ230" s="59"/>
      <c r="CA230" s="57"/>
      <c r="CB230" s="49"/>
      <c r="CC230" s="49"/>
      <c r="CD230" s="49"/>
      <c r="CE230" s="49"/>
      <c r="CF230" s="49"/>
      <c r="CG230" s="49"/>
      <c r="CH230" s="57"/>
      <c r="CI230" s="49"/>
      <c r="CJ230" s="49"/>
      <c r="CK230" s="57"/>
      <c r="CL230" s="49"/>
      <c r="CM230" s="49"/>
      <c r="CN230" s="49"/>
      <c r="CO230" s="49"/>
      <c r="CP230" s="49"/>
      <c r="CQ230" s="49"/>
      <c r="CR230" s="57"/>
      <c r="CS230" s="49"/>
      <c r="CT230" s="49"/>
      <c r="CU230" s="49"/>
      <c r="CV230" s="49"/>
      <c r="CW230" s="49"/>
      <c r="CX230" s="49"/>
      <c r="CY230" s="57"/>
      <c r="CZ230" s="49"/>
      <c r="DA230" s="49"/>
      <c r="DB230" s="49"/>
      <c r="DC230" s="49"/>
      <c r="DD230" s="49"/>
      <c r="DE230" s="49"/>
      <c r="DF230" s="57"/>
      <c r="DG230" s="49"/>
      <c r="DH230" s="49"/>
      <c r="DI230" s="49"/>
      <c r="DJ230" s="49"/>
      <c r="DK230" s="27"/>
      <c r="DL230" s="49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59"/>
      <c r="EC230" s="59"/>
      <c r="ED230" s="59"/>
      <c r="EE230" s="14"/>
      <c r="EF230" s="14"/>
      <c r="GN230" s="48"/>
    </row>
    <row r="231" spans="2:196" x14ac:dyDescent="0.25">
      <c r="B231" s="50"/>
      <c r="C231" s="50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9"/>
      <c r="BI231" s="49"/>
      <c r="BJ231" s="57"/>
      <c r="BK231" s="59"/>
      <c r="BL231" s="59"/>
      <c r="BM231" s="57"/>
      <c r="BN231" s="49"/>
      <c r="BO231" s="49"/>
      <c r="BP231" s="57"/>
      <c r="BQ231" s="49"/>
      <c r="BR231" s="49"/>
      <c r="BS231" s="57"/>
      <c r="BT231" s="49"/>
      <c r="BU231" s="49"/>
      <c r="BV231" s="57"/>
      <c r="BW231" s="19"/>
      <c r="BX231" s="59"/>
      <c r="BY231" s="27"/>
      <c r="BZ231" s="59"/>
      <c r="CA231" s="57"/>
      <c r="CB231" s="49"/>
      <c r="CC231" s="49"/>
      <c r="CD231" s="49"/>
      <c r="CE231" s="49"/>
      <c r="CF231" s="49"/>
      <c r="CG231" s="49"/>
      <c r="CH231" s="57"/>
      <c r="CI231" s="49"/>
      <c r="CJ231" s="49"/>
      <c r="CK231" s="57"/>
      <c r="CL231" s="49"/>
      <c r="CM231" s="49"/>
      <c r="CN231" s="49"/>
      <c r="CO231" s="49"/>
      <c r="CP231" s="49"/>
      <c r="CQ231" s="49"/>
      <c r="CR231" s="57"/>
      <c r="CS231" s="49"/>
      <c r="CT231" s="49"/>
      <c r="CU231" s="49"/>
      <c r="CV231" s="49"/>
      <c r="CW231" s="49"/>
      <c r="CX231" s="49"/>
      <c r="CY231" s="57"/>
      <c r="CZ231" s="49"/>
      <c r="DA231" s="49"/>
      <c r="DB231" s="49"/>
      <c r="DC231" s="49"/>
      <c r="DD231" s="49"/>
      <c r="DE231" s="49"/>
      <c r="DF231" s="57"/>
      <c r="DG231" s="49"/>
      <c r="DH231" s="49"/>
      <c r="DI231" s="49"/>
      <c r="DJ231" s="49"/>
      <c r="DK231" s="27"/>
      <c r="DL231" s="49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59"/>
      <c r="EC231" s="59"/>
      <c r="ED231" s="59"/>
      <c r="EE231" s="14"/>
      <c r="EF231" s="14"/>
      <c r="GN231" s="48"/>
    </row>
    <row r="232" spans="2:196" x14ac:dyDescent="0.25">
      <c r="B232" s="50"/>
      <c r="C232" s="50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9"/>
      <c r="BI232" s="49"/>
      <c r="BJ232" s="57"/>
      <c r="BK232" s="59"/>
      <c r="BL232" s="59"/>
      <c r="BM232" s="57"/>
      <c r="BN232" s="49"/>
      <c r="BO232" s="49"/>
      <c r="BP232" s="57"/>
      <c r="BQ232" s="49"/>
      <c r="BR232" s="49"/>
      <c r="BS232" s="57"/>
      <c r="BT232" s="49"/>
      <c r="BU232" s="49"/>
      <c r="BV232" s="57"/>
      <c r="BW232" s="19"/>
      <c r="BX232" s="59"/>
      <c r="BY232" s="27"/>
      <c r="BZ232" s="59"/>
      <c r="CA232" s="57"/>
      <c r="CB232" s="49"/>
      <c r="CC232" s="49"/>
      <c r="CD232" s="49"/>
      <c r="CE232" s="49"/>
      <c r="CF232" s="49"/>
      <c r="CG232" s="49"/>
      <c r="CH232" s="57"/>
      <c r="CI232" s="49"/>
      <c r="CJ232" s="49"/>
      <c r="CK232" s="57"/>
      <c r="CL232" s="49"/>
      <c r="CM232" s="49"/>
      <c r="CN232" s="49"/>
      <c r="CO232" s="49"/>
      <c r="CP232" s="49"/>
      <c r="CQ232" s="49"/>
      <c r="CR232" s="57"/>
      <c r="CS232" s="49"/>
      <c r="CT232" s="49"/>
      <c r="CU232" s="49"/>
      <c r="CV232" s="49"/>
      <c r="CW232" s="49"/>
      <c r="CX232" s="49"/>
      <c r="CY232" s="57"/>
      <c r="CZ232" s="49"/>
      <c r="DA232" s="49"/>
      <c r="DB232" s="49"/>
      <c r="DC232" s="49"/>
      <c r="DD232" s="49"/>
      <c r="DE232" s="49"/>
      <c r="DF232" s="57"/>
      <c r="DG232" s="49"/>
      <c r="DH232" s="49"/>
      <c r="DI232" s="49"/>
      <c r="DJ232" s="49"/>
      <c r="DK232" s="27"/>
      <c r="DL232" s="49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59"/>
      <c r="EC232" s="59"/>
      <c r="ED232" s="59"/>
      <c r="EE232" s="14"/>
      <c r="EF232" s="14"/>
      <c r="GN232" s="48"/>
    </row>
    <row r="233" spans="2:196" x14ac:dyDescent="0.25">
      <c r="B233" s="50"/>
      <c r="C233" s="50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9"/>
      <c r="BI233" s="49"/>
      <c r="BJ233" s="57"/>
      <c r="BK233" s="59"/>
      <c r="BL233" s="59"/>
      <c r="BM233" s="57"/>
      <c r="BN233" s="49"/>
      <c r="BO233" s="49"/>
      <c r="BP233" s="57"/>
      <c r="BQ233" s="49"/>
      <c r="BR233" s="49"/>
      <c r="BS233" s="57"/>
      <c r="BT233" s="49"/>
      <c r="BU233" s="49"/>
      <c r="BV233" s="57"/>
      <c r="BW233" s="19"/>
      <c r="BX233" s="59"/>
      <c r="BY233" s="27"/>
      <c r="BZ233" s="59"/>
      <c r="CA233" s="57"/>
      <c r="CB233" s="49"/>
      <c r="CC233" s="49"/>
      <c r="CD233" s="49"/>
      <c r="CE233" s="49"/>
      <c r="CF233" s="49"/>
      <c r="CG233" s="49"/>
      <c r="CH233" s="57"/>
      <c r="CI233" s="49"/>
      <c r="CJ233" s="49"/>
      <c r="CK233" s="57"/>
      <c r="CL233" s="49"/>
      <c r="CM233" s="49"/>
      <c r="CN233" s="49"/>
      <c r="CO233" s="49"/>
      <c r="CP233" s="49"/>
      <c r="CQ233" s="49"/>
      <c r="CR233" s="57"/>
      <c r="CS233" s="49"/>
      <c r="CT233" s="49"/>
      <c r="CU233" s="49"/>
      <c r="CV233" s="49"/>
      <c r="CW233" s="49"/>
      <c r="CX233" s="49"/>
      <c r="CY233" s="57"/>
      <c r="CZ233" s="49"/>
      <c r="DA233" s="49"/>
      <c r="DB233" s="49"/>
      <c r="DC233" s="49"/>
      <c r="DD233" s="49"/>
      <c r="DE233" s="49"/>
      <c r="DF233" s="57"/>
      <c r="DG233" s="49"/>
      <c r="DH233" s="49"/>
      <c r="DI233" s="49"/>
      <c r="DJ233" s="49"/>
      <c r="DK233" s="27"/>
      <c r="DL233" s="49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59"/>
      <c r="EC233" s="59"/>
      <c r="ED233" s="59"/>
      <c r="EE233" s="14"/>
      <c r="EF233" s="14"/>
      <c r="GN233" s="48"/>
    </row>
    <row r="234" spans="2:196" x14ac:dyDescent="0.25">
      <c r="B234" s="50"/>
      <c r="C234" s="50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9"/>
      <c r="BI234" s="49"/>
      <c r="BJ234" s="57"/>
      <c r="BK234" s="59"/>
      <c r="BL234" s="59"/>
      <c r="BM234" s="57"/>
      <c r="BN234" s="49"/>
      <c r="BO234" s="49"/>
      <c r="BP234" s="57"/>
      <c r="BQ234" s="49"/>
      <c r="BR234" s="49"/>
      <c r="BS234" s="57"/>
      <c r="BT234" s="49"/>
      <c r="BU234" s="49"/>
      <c r="BV234" s="57"/>
      <c r="BW234" s="19"/>
      <c r="BX234" s="59"/>
      <c r="BY234" s="27"/>
      <c r="BZ234" s="59"/>
      <c r="CA234" s="57"/>
      <c r="CB234" s="49"/>
      <c r="CC234" s="49"/>
      <c r="CD234" s="49"/>
      <c r="CE234" s="49"/>
      <c r="CF234" s="49"/>
      <c r="CG234" s="49"/>
      <c r="CH234" s="57"/>
      <c r="CI234" s="49"/>
      <c r="CJ234" s="49"/>
      <c r="CK234" s="57"/>
      <c r="CL234" s="49"/>
      <c r="CM234" s="49"/>
      <c r="CN234" s="49"/>
      <c r="CO234" s="49"/>
      <c r="CP234" s="49"/>
      <c r="CQ234" s="49"/>
      <c r="CR234" s="57"/>
      <c r="CS234" s="49"/>
      <c r="CT234" s="49"/>
      <c r="CU234" s="49"/>
      <c r="CV234" s="49"/>
      <c r="CW234" s="49"/>
      <c r="CX234" s="49"/>
      <c r="CY234" s="57"/>
      <c r="CZ234" s="49"/>
      <c r="DA234" s="49"/>
      <c r="DB234" s="49"/>
      <c r="DC234" s="49"/>
      <c r="DD234" s="49"/>
      <c r="DE234" s="49"/>
      <c r="DF234" s="57"/>
      <c r="DG234" s="49"/>
      <c r="DH234" s="49"/>
      <c r="DI234" s="49"/>
      <c r="DJ234" s="49"/>
      <c r="DK234" s="27"/>
      <c r="DL234" s="49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59"/>
      <c r="EC234" s="59"/>
      <c r="ED234" s="59"/>
      <c r="EE234" s="14"/>
      <c r="EF234" s="14"/>
      <c r="GN234" s="48"/>
    </row>
    <row r="235" spans="2:196" x14ac:dyDescent="0.25">
      <c r="B235" s="50"/>
      <c r="C235" s="50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9"/>
      <c r="BI235" s="49"/>
      <c r="BJ235" s="57"/>
      <c r="BK235" s="59"/>
      <c r="BL235" s="59"/>
      <c r="BM235" s="57"/>
      <c r="BN235" s="49"/>
      <c r="BO235" s="49"/>
      <c r="BP235" s="57"/>
      <c r="BQ235" s="49"/>
      <c r="BR235" s="49"/>
      <c r="BS235" s="57"/>
      <c r="BT235" s="49"/>
      <c r="BU235" s="49"/>
      <c r="BV235" s="57"/>
      <c r="BW235" s="19"/>
      <c r="BX235" s="59"/>
      <c r="BY235" s="27"/>
      <c r="BZ235" s="59"/>
      <c r="CA235" s="57"/>
      <c r="CB235" s="49"/>
      <c r="CC235" s="49"/>
      <c r="CD235" s="49"/>
      <c r="CE235" s="49"/>
      <c r="CF235" s="49"/>
      <c r="CG235" s="49"/>
      <c r="CH235" s="57"/>
      <c r="CI235" s="49"/>
      <c r="CJ235" s="49"/>
      <c r="CK235" s="57"/>
      <c r="CL235" s="49"/>
      <c r="CM235" s="49"/>
      <c r="CN235" s="49"/>
      <c r="CO235" s="49"/>
      <c r="CP235" s="49"/>
      <c r="CQ235" s="49"/>
      <c r="CR235" s="57"/>
      <c r="CS235" s="49"/>
      <c r="CT235" s="49"/>
      <c r="CU235" s="49"/>
      <c r="CV235" s="49"/>
      <c r="CW235" s="49"/>
      <c r="CX235" s="49"/>
      <c r="CY235" s="57"/>
      <c r="CZ235" s="49"/>
      <c r="DA235" s="49"/>
      <c r="DB235" s="49"/>
      <c r="DC235" s="49"/>
      <c r="DD235" s="49"/>
      <c r="DE235" s="49"/>
      <c r="DF235" s="57"/>
      <c r="DG235" s="49"/>
      <c r="DH235" s="49"/>
      <c r="DI235" s="49"/>
      <c r="DJ235" s="49"/>
      <c r="DK235" s="27"/>
      <c r="DL235" s="49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59"/>
      <c r="EC235" s="59"/>
      <c r="ED235" s="59"/>
      <c r="EE235" s="14"/>
      <c r="EF235" s="14"/>
      <c r="GN235" s="48"/>
    </row>
    <row r="236" spans="2:196" x14ac:dyDescent="0.25">
      <c r="B236" s="50"/>
      <c r="C236" s="50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9"/>
      <c r="BI236" s="49"/>
      <c r="BJ236" s="57"/>
      <c r="BK236" s="59"/>
      <c r="BL236" s="59"/>
      <c r="BM236" s="57"/>
      <c r="BN236" s="49"/>
      <c r="BO236" s="49"/>
      <c r="BP236" s="57"/>
      <c r="BQ236" s="49"/>
      <c r="BR236" s="49"/>
      <c r="BS236" s="57"/>
      <c r="BT236" s="49"/>
      <c r="BU236" s="49"/>
      <c r="BV236" s="57"/>
      <c r="BW236" s="19"/>
      <c r="BX236" s="59"/>
      <c r="BY236" s="27"/>
      <c r="BZ236" s="59"/>
      <c r="CA236" s="57"/>
      <c r="CB236" s="49"/>
      <c r="CC236" s="49"/>
      <c r="CD236" s="49"/>
      <c r="CE236" s="49"/>
      <c r="CF236" s="49"/>
      <c r="CG236" s="49"/>
      <c r="CH236" s="57"/>
      <c r="CI236" s="49"/>
      <c r="CJ236" s="49"/>
      <c r="CK236" s="57"/>
      <c r="CL236" s="49"/>
      <c r="CM236" s="49"/>
      <c r="CN236" s="49"/>
      <c r="CO236" s="49"/>
      <c r="CP236" s="49"/>
      <c r="CQ236" s="49"/>
      <c r="CR236" s="57"/>
      <c r="CS236" s="49"/>
      <c r="CT236" s="49"/>
      <c r="CU236" s="49"/>
      <c r="CV236" s="49"/>
      <c r="CW236" s="49"/>
      <c r="CX236" s="49"/>
      <c r="CY236" s="57"/>
      <c r="CZ236" s="49"/>
      <c r="DA236" s="49"/>
      <c r="DB236" s="49"/>
      <c r="DC236" s="49"/>
      <c r="DD236" s="49"/>
      <c r="DE236" s="49"/>
      <c r="DF236" s="57"/>
      <c r="DG236" s="49"/>
      <c r="DH236" s="49"/>
      <c r="DI236" s="49"/>
      <c r="DJ236" s="49"/>
      <c r="DK236" s="27"/>
      <c r="DL236" s="49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59"/>
      <c r="EC236" s="59"/>
      <c r="ED236" s="59"/>
      <c r="EE236" s="14"/>
      <c r="EF236" s="14"/>
      <c r="GN236" s="48"/>
    </row>
    <row r="237" spans="2:196" x14ac:dyDescent="0.25">
      <c r="B237" s="50"/>
      <c r="C237" s="50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9"/>
      <c r="BI237" s="49"/>
      <c r="BJ237" s="57"/>
      <c r="BK237" s="59"/>
      <c r="BL237" s="59"/>
      <c r="BM237" s="57"/>
      <c r="BN237" s="49"/>
      <c r="BO237" s="49"/>
      <c r="BP237" s="57"/>
      <c r="BQ237" s="49"/>
      <c r="BR237" s="49"/>
      <c r="BS237" s="57"/>
      <c r="BT237" s="49"/>
      <c r="BU237" s="49"/>
      <c r="BV237" s="57"/>
      <c r="BW237" s="19"/>
      <c r="BX237" s="59"/>
      <c r="BY237" s="27"/>
      <c r="BZ237" s="59"/>
      <c r="CA237" s="57"/>
      <c r="CB237" s="49"/>
      <c r="CC237" s="49"/>
      <c r="CD237" s="49"/>
      <c r="CE237" s="49"/>
      <c r="CF237" s="49"/>
      <c r="CG237" s="49"/>
      <c r="CH237" s="57"/>
      <c r="CI237" s="49"/>
      <c r="CJ237" s="49"/>
      <c r="CK237" s="57"/>
      <c r="CL237" s="49"/>
      <c r="CM237" s="49"/>
      <c r="CN237" s="49"/>
      <c r="CO237" s="49"/>
      <c r="CP237" s="49"/>
      <c r="CQ237" s="49"/>
      <c r="CR237" s="57"/>
      <c r="CS237" s="49"/>
      <c r="CT237" s="49"/>
      <c r="CU237" s="49"/>
      <c r="CV237" s="49"/>
      <c r="CW237" s="49"/>
      <c r="CX237" s="49"/>
      <c r="CY237" s="57"/>
      <c r="CZ237" s="49"/>
      <c r="DA237" s="49"/>
      <c r="DB237" s="49"/>
      <c r="DC237" s="49"/>
      <c r="DD237" s="49"/>
      <c r="DE237" s="49"/>
      <c r="DF237" s="57"/>
      <c r="DG237" s="49"/>
      <c r="DH237" s="49"/>
      <c r="DI237" s="49"/>
      <c r="DJ237" s="49"/>
      <c r="DK237" s="27"/>
      <c r="DL237" s="49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59"/>
      <c r="EC237" s="59"/>
      <c r="ED237" s="59"/>
      <c r="EE237" s="14"/>
      <c r="EF237" s="14"/>
      <c r="GN237" s="48"/>
    </row>
    <row r="238" spans="2:196" x14ac:dyDescent="0.25">
      <c r="B238" s="50"/>
      <c r="C238" s="50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9"/>
      <c r="BI238" s="49"/>
      <c r="BJ238" s="57"/>
      <c r="BK238" s="59"/>
      <c r="BL238" s="59"/>
      <c r="BM238" s="57"/>
      <c r="BN238" s="49"/>
      <c r="BO238" s="49"/>
      <c r="BP238" s="57"/>
      <c r="BQ238" s="49"/>
      <c r="BR238" s="49"/>
      <c r="BS238" s="57"/>
      <c r="BT238" s="49"/>
      <c r="BU238" s="49"/>
      <c r="BV238" s="57"/>
      <c r="BW238" s="19"/>
      <c r="BX238" s="59"/>
      <c r="BY238" s="27"/>
      <c r="BZ238" s="59"/>
      <c r="CA238" s="57"/>
      <c r="CB238" s="49"/>
      <c r="CC238" s="49"/>
      <c r="CD238" s="49"/>
      <c r="CE238" s="49"/>
      <c r="CF238" s="49"/>
      <c r="CG238" s="49"/>
      <c r="CH238" s="57"/>
      <c r="CI238" s="49"/>
      <c r="CJ238" s="49"/>
      <c r="CK238" s="57"/>
      <c r="CL238" s="49"/>
      <c r="CM238" s="49"/>
      <c r="CN238" s="49"/>
      <c r="CO238" s="49"/>
      <c r="CP238" s="49"/>
      <c r="CQ238" s="49"/>
      <c r="CR238" s="57"/>
      <c r="CS238" s="49"/>
      <c r="CT238" s="49"/>
      <c r="CU238" s="49"/>
      <c r="CV238" s="49"/>
      <c r="CW238" s="49"/>
      <c r="CX238" s="49"/>
      <c r="CY238" s="57"/>
      <c r="CZ238" s="49"/>
      <c r="DA238" s="49"/>
      <c r="DB238" s="49"/>
      <c r="DC238" s="49"/>
      <c r="DD238" s="49"/>
      <c r="DE238" s="49"/>
      <c r="DF238" s="57"/>
      <c r="DG238" s="49"/>
      <c r="DH238" s="49"/>
      <c r="DI238" s="49"/>
      <c r="DJ238" s="49"/>
      <c r="DK238" s="27"/>
      <c r="DL238" s="49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59"/>
      <c r="EC238" s="59"/>
      <c r="ED238" s="59"/>
      <c r="EE238" s="14"/>
      <c r="EF238" s="14"/>
      <c r="GN238" s="48"/>
    </row>
    <row r="239" spans="2:196" x14ac:dyDescent="0.25">
      <c r="B239" s="50"/>
      <c r="C239" s="50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9"/>
      <c r="BI239" s="49"/>
      <c r="BJ239" s="57"/>
      <c r="BK239" s="59"/>
      <c r="BL239" s="59"/>
      <c r="BM239" s="57"/>
      <c r="BN239" s="49"/>
      <c r="BO239" s="49"/>
      <c r="BP239" s="57"/>
      <c r="BQ239" s="49"/>
      <c r="BR239" s="49"/>
      <c r="BS239" s="57"/>
      <c r="BT239" s="49"/>
      <c r="BU239" s="49"/>
      <c r="BV239" s="57"/>
      <c r="BW239" s="19"/>
      <c r="BX239" s="59"/>
      <c r="BY239" s="27"/>
      <c r="BZ239" s="59"/>
      <c r="CA239" s="57"/>
      <c r="CB239" s="49"/>
      <c r="CC239" s="49"/>
      <c r="CD239" s="49"/>
      <c r="CE239" s="49"/>
      <c r="CF239" s="49"/>
      <c r="CG239" s="49"/>
      <c r="CH239" s="57"/>
      <c r="CI239" s="49"/>
      <c r="CJ239" s="49"/>
      <c r="CK239" s="57"/>
      <c r="CL239" s="49"/>
      <c r="CM239" s="49"/>
      <c r="CN239" s="49"/>
      <c r="CO239" s="49"/>
      <c r="CP239" s="49"/>
      <c r="CQ239" s="49"/>
      <c r="CR239" s="57"/>
      <c r="CS239" s="49"/>
      <c r="CT239" s="49"/>
      <c r="CU239" s="49"/>
      <c r="CV239" s="49"/>
      <c r="CW239" s="49"/>
      <c r="CX239" s="49"/>
      <c r="CY239" s="57"/>
      <c r="CZ239" s="49"/>
      <c r="DA239" s="49"/>
      <c r="DB239" s="49"/>
      <c r="DC239" s="49"/>
      <c r="DD239" s="49"/>
      <c r="DE239" s="49"/>
      <c r="DF239" s="57"/>
      <c r="DG239" s="49"/>
      <c r="DH239" s="49"/>
      <c r="DI239" s="49"/>
      <c r="DJ239" s="49"/>
      <c r="DK239" s="27"/>
      <c r="DL239" s="49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59"/>
      <c r="EC239" s="59"/>
      <c r="ED239" s="59"/>
      <c r="EE239" s="14"/>
      <c r="EF239" s="14"/>
      <c r="GN239" s="48"/>
    </row>
    <row r="240" spans="2:196" x14ac:dyDescent="0.25">
      <c r="B240" s="50"/>
      <c r="C240" s="50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9"/>
      <c r="BI240" s="49"/>
      <c r="BJ240" s="57"/>
      <c r="BK240" s="59"/>
      <c r="BL240" s="59"/>
      <c r="BM240" s="57"/>
      <c r="BN240" s="49"/>
      <c r="BO240" s="49"/>
      <c r="BP240" s="57"/>
      <c r="BQ240" s="49"/>
      <c r="BR240" s="49"/>
      <c r="BS240" s="57"/>
      <c r="BT240" s="49"/>
      <c r="BU240" s="49"/>
      <c r="BV240" s="57"/>
      <c r="BW240" s="19"/>
      <c r="BX240" s="59"/>
      <c r="BY240" s="27"/>
      <c r="BZ240" s="59"/>
      <c r="CA240" s="57"/>
      <c r="CB240" s="49"/>
      <c r="CC240" s="49"/>
      <c r="CD240" s="49"/>
      <c r="CE240" s="49"/>
      <c r="CF240" s="49"/>
      <c r="CG240" s="49"/>
      <c r="CH240" s="57"/>
      <c r="CI240" s="49"/>
      <c r="CJ240" s="49"/>
      <c r="CK240" s="57"/>
      <c r="CL240" s="49"/>
      <c r="CM240" s="49"/>
      <c r="CN240" s="49"/>
      <c r="CO240" s="49"/>
      <c r="CP240" s="49"/>
      <c r="CQ240" s="49"/>
      <c r="CR240" s="57"/>
      <c r="CS240" s="49"/>
      <c r="CT240" s="49"/>
      <c r="CU240" s="49"/>
      <c r="CV240" s="49"/>
      <c r="CW240" s="49"/>
      <c r="CX240" s="49"/>
      <c r="CY240" s="57"/>
      <c r="CZ240" s="49"/>
      <c r="DA240" s="49"/>
      <c r="DB240" s="49"/>
      <c r="DC240" s="49"/>
      <c r="DD240" s="49"/>
      <c r="DE240" s="49"/>
      <c r="DF240" s="57"/>
      <c r="DG240" s="49"/>
      <c r="DH240" s="49"/>
      <c r="DI240" s="49"/>
      <c r="DJ240" s="49"/>
      <c r="DK240" s="27"/>
      <c r="DL240" s="49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59"/>
      <c r="EC240" s="59"/>
      <c r="ED240" s="59"/>
      <c r="EE240" s="14"/>
      <c r="EF240" s="14"/>
      <c r="GN240" s="48"/>
    </row>
    <row r="241" spans="2:196" x14ac:dyDescent="0.25">
      <c r="B241" s="50"/>
      <c r="C241" s="50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9"/>
      <c r="BI241" s="49"/>
      <c r="BJ241" s="57"/>
      <c r="BK241" s="59"/>
      <c r="BL241" s="59"/>
      <c r="BM241" s="57"/>
      <c r="BN241" s="49"/>
      <c r="BO241" s="49"/>
      <c r="BP241" s="57"/>
      <c r="BQ241" s="49"/>
      <c r="BR241" s="49"/>
      <c r="BS241" s="57"/>
      <c r="BT241" s="49"/>
      <c r="BU241" s="49"/>
      <c r="BV241" s="57"/>
      <c r="BW241" s="19"/>
      <c r="BX241" s="59"/>
      <c r="BY241" s="27"/>
      <c r="BZ241" s="59"/>
      <c r="CA241" s="57"/>
      <c r="CB241" s="49"/>
      <c r="CC241" s="49"/>
      <c r="CD241" s="49"/>
      <c r="CE241" s="49"/>
      <c r="CF241" s="49"/>
      <c r="CG241" s="49"/>
      <c r="CH241" s="57"/>
      <c r="CI241" s="49"/>
      <c r="CJ241" s="49"/>
      <c r="CK241" s="57"/>
      <c r="CL241" s="49"/>
      <c r="CM241" s="49"/>
      <c r="CN241" s="49"/>
      <c r="CO241" s="49"/>
      <c r="CP241" s="49"/>
      <c r="CQ241" s="49"/>
      <c r="CR241" s="57"/>
      <c r="CS241" s="49"/>
      <c r="CT241" s="49"/>
      <c r="CU241" s="49"/>
      <c r="CV241" s="49"/>
      <c r="CW241" s="49"/>
      <c r="CX241" s="49"/>
      <c r="CY241" s="57"/>
      <c r="CZ241" s="49"/>
      <c r="DA241" s="49"/>
      <c r="DB241" s="49"/>
      <c r="DC241" s="49"/>
      <c r="DD241" s="49"/>
      <c r="DE241" s="49"/>
      <c r="DF241" s="57"/>
      <c r="DG241" s="49"/>
      <c r="DH241" s="49"/>
      <c r="DI241" s="49"/>
      <c r="DJ241" s="49"/>
      <c r="DK241" s="27"/>
      <c r="DL241" s="49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59"/>
      <c r="EC241" s="59"/>
      <c r="ED241" s="59"/>
      <c r="EE241" s="14"/>
      <c r="EF241" s="14"/>
      <c r="GN241" s="48"/>
    </row>
    <row r="242" spans="2:196" x14ac:dyDescent="0.25">
      <c r="B242" s="50"/>
      <c r="C242" s="50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9"/>
      <c r="BI242" s="49"/>
      <c r="BJ242" s="57"/>
      <c r="BK242" s="59"/>
      <c r="BL242" s="59"/>
      <c r="BM242" s="57"/>
      <c r="BN242" s="49"/>
      <c r="BO242" s="49"/>
      <c r="BP242" s="57"/>
      <c r="BQ242" s="49"/>
      <c r="BR242" s="49"/>
      <c r="BS242" s="57"/>
      <c r="BT242" s="49"/>
      <c r="BU242" s="49"/>
      <c r="BV242" s="57"/>
      <c r="BW242" s="19"/>
      <c r="BX242" s="59"/>
      <c r="BY242" s="27"/>
      <c r="BZ242" s="59"/>
      <c r="CA242" s="57"/>
      <c r="CB242" s="49"/>
      <c r="CC242" s="49"/>
      <c r="CD242" s="49"/>
      <c r="CE242" s="49"/>
      <c r="CF242" s="49"/>
      <c r="CG242" s="49"/>
      <c r="CH242" s="57"/>
      <c r="CI242" s="49"/>
      <c r="CJ242" s="49"/>
      <c r="CK242" s="57"/>
      <c r="CL242" s="49"/>
      <c r="CM242" s="49"/>
      <c r="CN242" s="49"/>
      <c r="CO242" s="49"/>
      <c r="CP242" s="49"/>
      <c r="CQ242" s="49"/>
      <c r="CR242" s="57"/>
      <c r="CS242" s="49"/>
      <c r="CT242" s="49"/>
      <c r="CU242" s="49"/>
      <c r="CV242" s="49"/>
      <c r="CW242" s="49"/>
      <c r="CX242" s="49"/>
      <c r="CY242" s="57"/>
      <c r="CZ242" s="49"/>
      <c r="DA242" s="49"/>
      <c r="DB242" s="49"/>
      <c r="DC242" s="49"/>
      <c r="DD242" s="49"/>
      <c r="DE242" s="49"/>
      <c r="DF242" s="57"/>
      <c r="DG242" s="49"/>
      <c r="DH242" s="49"/>
      <c r="DI242" s="49"/>
      <c r="DJ242" s="49"/>
      <c r="DK242" s="27"/>
      <c r="DL242" s="49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59"/>
      <c r="EC242" s="59"/>
      <c r="ED242" s="59"/>
      <c r="EE242" s="14"/>
      <c r="EF242" s="14"/>
      <c r="GN242" s="48"/>
    </row>
    <row r="243" spans="2:196" x14ac:dyDescent="0.25">
      <c r="B243" s="50"/>
      <c r="C243" s="50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9"/>
      <c r="BI243" s="49"/>
      <c r="BJ243" s="57"/>
      <c r="BK243" s="59"/>
      <c r="BL243" s="59"/>
      <c r="BM243" s="57"/>
      <c r="BN243" s="49"/>
      <c r="BO243" s="49"/>
      <c r="BP243" s="57"/>
      <c r="BQ243" s="49"/>
      <c r="BR243" s="49"/>
      <c r="BS243" s="57"/>
      <c r="BT243" s="49"/>
      <c r="BU243" s="49"/>
      <c r="BV243" s="57"/>
      <c r="BW243" s="19"/>
      <c r="BX243" s="59"/>
      <c r="BY243" s="27"/>
      <c r="BZ243" s="59"/>
      <c r="CA243" s="57"/>
      <c r="CB243" s="49"/>
      <c r="CC243" s="49"/>
      <c r="CD243" s="49"/>
      <c r="CE243" s="49"/>
      <c r="CF243" s="49"/>
      <c r="CG243" s="49"/>
      <c r="CH243" s="57"/>
      <c r="CI243" s="49"/>
      <c r="CJ243" s="49"/>
      <c r="CK243" s="57"/>
      <c r="CL243" s="49"/>
      <c r="CM243" s="49"/>
      <c r="CN243" s="49"/>
      <c r="CO243" s="49"/>
      <c r="CP243" s="49"/>
      <c r="CQ243" s="49"/>
      <c r="CR243" s="57"/>
      <c r="CS243" s="49"/>
      <c r="CT243" s="49"/>
      <c r="CU243" s="49"/>
      <c r="CV243" s="49"/>
      <c r="CW243" s="49"/>
      <c r="CX243" s="49"/>
      <c r="CY243" s="57"/>
      <c r="CZ243" s="49"/>
      <c r="DA243" s="49"/>
      <c r="DB243" s="49"/>
      <c r="DC243" s="49"/>
      <c r="DD243" s="49"/>
      <c r="DE243" s="49"/>
      <c r="DF243" s="57"/>
      <c r="DG243" s="49"/>
      <c r="DH243" s="49"/>
      <c r="DI243" s="49"/>
      <c r="DJ243" s="49"/>
      <c r="DK243" s="27"/>
      <c r="DL243" s="49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59"/>
      <c r="EC243" s="59"/>
      <c r="ED243" s="59"/>
      <c r="EE243" s="14"/>
      <c r="EF243" s="14"/>
      <c r="GN243" s="48"/>
    </row>
    <row r="244" spans="2:196" x14ac:dyDescent="0.25">
      <c r="B244" s="50"/>
      <c r="C244" s="50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9"/>
      <c r="BI244" s="49"/>
      <c r="BJ244" s="57"/>
      <c r="BK244" s="59"/>
      <c r="BL244" s="59"/>
      <c r="BM244" s="57"/>
      <c r="BN244" s="49"/>
      <c r="BO244" s="49"/>
      <c r="BP244" s="57"/>
      <c r="BQ244" s="49"/>
      <c r="BR244" s="49"/>
      <c r="BS244" s="57"/>
      <c r="BT244" s="49"/>
      <c r="BU244" s="49"/>
      <c r="BV244" s="57"/>
      <c r="BW244" s="19"/>
      <c r="BX244" s="59"/>
      <c r="BY244" s="27"/>
      <c r="BZ244" s="59"/>
      <c r="CA244" s="57"/>
      <c r="CB244" s="49"/>
      <c r="CC244" s="49"/>
      <c r="CD244" s="49"/>
      <c r="CE244" s="49"/>
      <c r="CF244" s="49"/>
      <c r="CG244" s="49"/>
      <c r="CH244" s="57"/>
      <c r="CI244" s="49"/>
      <c r="CJ244" s="49"/>
      <c r="CK244" s="57"/>
      <c r="CL244" s="49"/>
      <c r="CM244" s="49"/>
      <c r="CN244" s="49"/>
      <c r="CO244" s="49"/>
      <c r="CP244" s="49"/>
      <c r="CQ244" s="49"/>
      <c r="CR244" s="57"/>
      <c r="CS244" s="49"/>
      <c r="CT244" s="49"/>
      <c r="CU244" s="49"/>
      <c r="CV244" s="49"/>
      <c r="CW244" s="49"/>
      <c r="CX244" s="49"/>
      <c r="CY244" s="57"/>
      <c r="CZ244" s="49"/>
      <c r="DA244" s="49"/>
      <c r="DB244" s="49"/>
      <c r="DC244" s="49"/>
      <c r="DD244" s="49"/>
      <c r="DE244" s="49"/>
      <c r="DF244" s="57"/>
      <c r="DG244" s="49"/>
      <c r="DH244" s="49"/>
      <c r="DI244" s="49"/>
      <c r="DJ244" s="49"/>
      <c r="DK244" s="27"/>
      <c r="DL244" s="49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59"/>
      <c r="EC244" s="59"/>
      <c r="ED244" s="59"/>
      <c r="EE244" s="14"/>
      <c r="EF244" s="14"/>
      <c r="GN244" s="48"/>
    </row>
    <row r="245" spans="2:196" x14ac:dyDescent="0.25">
      <c r="B245" s="50"/>
      <c r="C245" s="50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9"/>
      <c r="BI245" s="49"/>
      <c r="BJ245" s="57"/>
      <c r="BK245" s="59"/>
      <c r="BL245" s="59"/>
      <c r="BM245" s="57"/>
      <c r="BN245" s="49"/>
      <c r="BO245" s="49"/>
      <c r="BP245" s="57"/>
      <c r="BQ245" s="49"/>
      <c r="BR245" s="49"/>
      <c r="BS245" s="57"/>
      <c r="BT245" s="49"/>
      <c r="BU245" s="49"/>
      <c r="BV245" s="57"/>
      <c r="BW245" s="19"/>
      <c r="BX245" s="59"/>
      <c r="BY245" s="27"/>
      <c r="BZ245" s="59"/>
      <c r="CA245" s="57"/>
      <c r="CB245" s="49"/>
      <c r="CC245" s="49"/>
      <c r="CD245" s="49"/>
      <c r="CE245" s="49"/>
      <c r="CF245" s="49"/>
      <c r="CG245" s="49"/>
      <c r="CH245" s="57"/>
      <c r="CI245" s="49"/>
      <c r="CJ245" s="49"/>
      <c r="CK245" s="57"/>
      <c r="CL245" s="49"/>
      <c r="CM245" s="49"/>
      <c r="CN245" s="49"/>
      <c r="CO245" s="49"/>
      <c r="CP245" s="49"/>
      <c r="CQ245" s="49"/>
      <c r="CR245" s="57"/>
      <c r="CS245" s="49"/>
      <c r="CT245" s="49"/>
      <c r="CU245" s="49"/>
      <c r="CV245" s="49"/>
      <c r="CW245" s="49"/>
      <c r="CX245" s="49"/>
      <c r="CY245" s="57"/>
      <c r="CZ245" s="49"/>
      <c r="DA245" s="49"/>
      <c r="DB245" s="49"/>
      <c r="DC245" s="49"/>
      <c r="DD245" s="49"/>
      <c r="DE245" s="49"/>
      <c r="DF245" s="57"/>
      <c r="DG245" s="49"/>
      <c r="DH245" s="49"/>
      <c r="DI245" s="49"/>
      <c r="DJ245" s="49"/>
      <c r="DK245" s="27"/>
      <c r="DL245" s="49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59"/>
      <c r="EC245" s="59"/>
      <c r="ED245" s="59"/>
      <c r="EE245" s="14"/>
      <c r="EF245" s="14"/>
      <c r="GN245" s="48"/>
    </row>
    <row r="246" spans="2:196" x14ac:dyDescent="0.25">
      <c r="B246" s="50"/>
      <c r="C246" s="50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9"/>
      <c r="BI246" s="49"/>
      <c r="BJ246" s="57"/>
      <c r="BK246" s="59"/>
      <c r="BL246" s="59"/>
      <c r="BM246" s="57"/>
      <c r="BN246" s="49"/>
      <c r="BO246" s="49"/>
      <c r="BP246" s="57"/>
      <c r="BQ246" s="49"/>
      <c r="BR246" s="49"/>
      <c r="BS246" s="57"/>
      <c r="BT246" s="49"/>
      <c r="BU246" s="49"/>
      <c r="BV246" s="57"/>
      <c r="BW246" s="19"/>
      <c r="BX246" s="59"/>
      <c r="BY246" s="27"/>
      <c r="BZ246" s="59"/>
      <c r="CA246" s="57"/>
      <c r="CB246" s="49"/>
      <c r="CC246" s="49"/>
      <c r="CD246" s="49"/>
      <c r="CE246" s="49"/>
      <c r="CF246" s="49"/>
      <c r="CG246" s="49"/>
      <c r="CH246" s="57"/>
      <c r="CI246" s="49"/>
      <c r="CJ246" s="49"/>
      <c r="CK246" s="57"/>
      <c r="CL246" s="49"/>
      <c r="CM246" s="49"/>
      <c r="CN246" s="49"/>
      <c r="CO246" s="49"/>
      <c r="CP246" s="49"/>
      <c r="CQ246" s="49"/>
      <c r="CR246" s="57"/>
      <c r="CS246" s="49"/>
      <c r="CT246" s="49"/>
      <c r="CU246" s="49"/>
      <c r="CV246" s="49"/>
      <c r="CW246" s="49"/>
      <c r="CX246" s="49"/>
      <c r="CY246" s="57"/>
      <c r="CZ246" s="49"/>
      <c r="DA246" s="49"/>
      <c r="DB246" s="49"/>
      <c r="DC246" s="49"/>
      <c r="DD246" s="49"/>
      <c r="DE246" s="49"/>
      <c r="DF246" s="57"/>
      <c r="DG246" s="49"/>
      <c r="DH246" s="49"/>
      <c r="DI246" s="49"/>
      <c r="DJ246" s="49"/>
      <c r="DK246" s="27"/>
      <c r="DL246" s="49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59"/>
      <c r="EC246" s="59"/>
      <c r="ED246" s="59"/>
      <c r="EE246" s="14"/>
      <c r="EF246" s="14"/>
      <c r="GN246" s="48"/>
    </row>
    <row r="247" spans="2:196" x14ac:dyDescent="0.25">
      <c r="B247" s="50"/>
      <c r="C247" s="50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9"/>
      <c r="BI247" s="49"/>
      <c r="BJ247" s="57"/>
      <c r="BK247" s="59"/>
      <c r="BL247" s="59"/>
      <c r="BM247" s="57"/>
      <c r="BN247" s="49"/>
      <c r="BO247" s="49"/>
      <c r="BP247" s="57"/>
      <c r="BQ247" s="49"/>
      <c r="BR247" s="49"/>
      <c r="BS247" s="57"/>
      <c r="BT247" s="49"/>
      <c r="BU247" s="49"/>
      <c r="BV247" s="57"/>
      <c r="BW247" s="19"/>
      <c r="BX247" s="59"/>
      <c r="BY247" s="27"/>
      <c r="BZ247" s="59"/>
      <c r="CA247" s="57"/>
      <c r="CB247" s="49"/>
      <c r="CC247" s="49"/>
      <c r="CD247" s="49"/>
      <c r="CE247" s="49"/>
      <c r="CF247" s="49"/>
      <c r="CG247" s="49"/>
      <c r="CH247" s="57"/>
      <c r="CI247" s="49"/>
      <c r="CJ247" s="49"/>
      <c r="CK247" s="57"/>
      <c r="CL247" s="49"/>
      <c r="CM247" s="49"/>
      <c r="CN247" s="49"/>
      <c r="CO247" s="49"/>
      <c r="CP247" s="49"/>
      <c r="CQ247" s="49"/>
      <c r="CR247" s="57"/>
      <c r="CS247" s="49"/>
      <c r="CT247" s="49"/>
      <c r="CU247" s="49"/>
      <c r="CV247" s="49"/>
      <c r="CW247" s="49"/>
      <c r="CX247" s="49"/>
      <c r="CY247" s="57"/>
      <c r="CZ247" s="49"/>
      <c r="DA247" s="49"/>
      <c r="DB247" s="49"/>
      <c r="DC247" s="49"/>
      <c r="DD247" s="49"/>
      <c r="DE247" s="49"/>
      <c r="DF247" s="57"/>
      <c r="DG247" s="49"/>
      <c r="DH247" s="49"/>
      <c r="DI247" s="49"/>
      <c r="DJ247" s="49"/>
      <c r="DK247" s="27"/>
      <c r="DL247" s="49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59"/>
      <c r="EC247" s="59"/>
      <c r="ED247" s="59"/>
      <c r="EE247" s="14"/>
      <c r="EF247" s="14"/>
      <c r="GN247" s="48"/>
    </row>
    <row r="248" spans="2:196" x14ac:dyDescent="0.25">
      <c r="B248" s="50"/>
      <c r="C248" s="50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9"/>
      <c r="BI248" s="49"/>
      <c r="BJ248" s="57"/>
      <c r="BK248" s="59"/>
      <c r="BL248" s="59"/>
      <c r="BM248" s="57"/>
      <c r="BN248" s="49"/>
      <c r="BO248" s="49"/>
      <c r="BP248" s="57"/>
      <c r="BQ248" s="49"/>
      <c r="BR248" s="49"/>
      <c r="BS248" s="57"/>
      <c r="BT248" s="49"/>
      <c r="BU248" s="49"/>
      <c r="BV248" s="57"/>
      <c r="BW248" s="19"/>
      <c r="BX248" s="59"/>
      <c r="BY248" s="27"/>
      <c r="BZ248" s="59"/>
      <c r="CA248" s="57"/>
      <c r="CB248" s="49"/>
      <c r="CC248" s="49"/>
      <c r="CD248" s="49"/>
      <c r="CE248" s="49"/>
      <c r="CF248" s="49"/>
      <c r="CG248" s="49"/>
      <c r="CH248" s="57"/>
      <c r="CI248" s="49"/>
      <c r="CJ248" s="49"/>
      <c r="CK248" s="57"/>
      <c r="CL248" s="49"/>
      <c r="CM248" s="49"/>
      <c r="CN248" s="49"/>
      <c r="CO248" s="49"/>
      <c r="CP248" s="49"/>
      <c r="CQ248" s="49"/>
      <c r="CR248" s="57"/>
      <c r="CS248" s="49"/>
      <c r="CT248" s="49"/>
      <c r="CU248" s="49"/>
      <c r="CV248" s="49"/>
      <c r="CW248" s="49"/>
      <c r="CX248" s="49"/>
      <c r="CY248" s="57"/>
      <c r="CZ248" s="49"/>
      <c r="DA248" s="49"/>
      <c r="DB248" s="49"/>
      <c r="DC248" s="49"/>
      <c r="DD248" s="49"/>
      <c r="DE248" s="49"/>
      <c r="DF248" s="57"/>
      <c r="DG248" s="49"/>
      <c r="DH248" s="49"/>
      <c r="DI248" s="49"/>
      <c r="DJ248" s="49"/>
      <c r="DK248" s="27"/>
      <c r="DL248" s="49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59"/>
      <c r="EC248" s="59"/>
      <c r="ED248" s="59"/>
      <c r="EE248" s="14"/>
      <c r="EF248" s="14"/>
      <c r="GN248" s="48"/>
    </row>
    <row r="249" spans="2:196" x14ac:dyDescent="0.25">
      <c r="B249" s="50"/>
      <c r="C249" s="50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9"/>
      <c r="BI249" s="49"/>
      <c r="BJ249" s="57"/>
      <c r="BK249" s="59"/>
      <c r="BL249" s="59"/>
      <c r="BM249" s="57"/>
      <c r="BN249" s="49"/>
      <c r="BO249" s="49"/>
      <c r="BP249" s="57"/>
      <c r="BQ249" s="49"/>
      <c r="BR249" s="49"/>
      <c r="BS249" s="57"/>
      <c r="BT249" s="49"/>
      <c r="BU249" s="49"/>
      <c r="BV249" s="57"/>
      <c r="BW249" s="19"/>
      <c r="BX249" s="59"/>
      <c r="BY249" s="27"/>
      <c r="BZ249" s="59"/>
      <c r="CA249" s="57"/>
      <c r="CB249" s="49"/>
      <c r="CC249" s="49"/>
      <c r="CD249" s="49"/>
      <c r="CE249" s="49"/>
      <c r="CF249" s="49"/>
      <c r="CG249" s="49"/>
      <c r="CH249" s="57"/>
      <c r="CI249" s="49"/>
      <c r="CJ249" s="49"/>
      <c r="CK249" s="57"/>
      <c r="CL249" s="49"/>
      <c r="CM249" s="49"/>
      <c r="CN249" s="49"/>
      <c r="CO249" s="49"/>
      <c r="CP249" s="49"/>
      <c r="CQ249" s="49"/>
      <c r="CR249" s="57"/>
      <c r="CS249" s="49"/>
      <c r="CT249" s="49"/>
      <c r="CU249" s="49"/>
      <c r="CV249" s="49"/>
      <c r="CW249" s="49"/>
      <c r="CX249" s="49"/>
      <c r="CY249" s="57"/>
      <c r="CZ249" s="49"/>
      <c r="DA249" s="49"/>
      <c r="DB249" s="49"/>
      <c r="DC249" s="49"/>
      <c r="DD249" s="49"/>
      <c r="DE249" s="49"/>
      <c r="DF249" s="57"/>
      <c r="DG249" s="49"/>
      <c r="DH249" s="49"/>
      <c r="DI249" s="49"/>
      <c r="DJ249" s="49"/>
      <c r="DK249" s="27"/>
      <c r="DL249" s="49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59"/>
      <c r="EC249" s="59"/>
      <c r="ED249" s="59"/>
      <c r="EE249" s="14"/>
      <c r="EF249" s="14"/>
      <c r="GN249" s="48"/>
    </row>
    <row r="250" spans="2:196" x14ac:dyDescent="0.25">
      <c r="B250" s="50"/>
      <c r="C250" s="50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9"/>
      <c r="BI250" s="49"/>
      <c r="BJ250" s="57"/>
      <c r="BK250" s="59"/>
      <c r="BL250" s="59"/>
      <c r="BM250" s="57"/>
      <c r="BN250" s="49"/>
      <c r="BO250" s="49"/>
      <c r="BP250" s="57"/>
      <c r="BQ250" s="49"/>
      <c r="BR250" s="49"/>
      <c r="BS250" s="57"/>
      <c r="BT250" s="49"/>
      <c r="BU250" s="49"/>
      <c r="BV250" s="57"/>
      <c r="BW250" s="19"/>
      <c r="BX250" s="59"/>
      <c r="BY250" s="27"/>
      <c r="BZ250" s="59"/>
      <c r="CA250" s="57"/>
      <c r="CB250" s="49"/>
      <c r="CC250" s="49"/>
      <c r="CD250" s="49"/>
      <c r="CE250" s="49"/>
      <c r="CF250" s="49"/>
      <c r="CG250" s="49"/>
      <c r="CH250" s="57"/>
      <c r="CI250" s="49"/>
      <c r="CJ250" s="49"/>
      <c r="CK250" s="57"/>
      <c r="CL250" s="49"/>
      <c r="CM250" s="49"/>
      <c r="CN250" s="49"/>
      <c r="CO250" s="49"/>
      <c r="CP250" s="49"/>
      <c r="CQ250" s="49"/>
      <c r="CR250" s="57"/>
      <c r="CS250" s="49"/>
      <c r="CT250" s="49"/>
      <c r="CU250" s="49"/>
      <c r="CV250" s="49"/>
      <c r="CW250" s="49"/>
      <c r="CX250" s="49"/>
      <c r="CY250" s="57"/>
      <c r="CZ250" s="49"/>
      <c r="DA250" s="49"/>
      <c r="DB250" s="49"/>
      <c r="DC250" s="49"/>
      <c r="DD250" s="49"/>
      <c r="DE250" s="49"/>
      <c r="DF250" s="57"/>
      <c r="DG250" s="49"/>
      <c r="DH250" s="49"/>
      <c r="DI250" s="49"/>
      <c r="DJ250" s="49"/>
      <c r="DK250" s="27"/>
      <c r="DL250" s="49"/>
      <c r="DM250" s="27"/>
      <c r="DN250" s="27"/>
      <c r="DO250" s="27"/>
      <c r="DP250" s="27"/>
      <c r="DQ250" s="27"/>
      <c r="DR250" s="27"/>
      <c r="DS250" s="27"/>
      <c r="DT250" s="27"/>
      <c r="DU250" s="27"/>
      <c r="DV250" s="27"/>
      <c r="DW250" s="27"/>
      <c r="DX250" s="27"/>
      <c r="DY250" s="27"/>
      <c r="DZ250" s="27"/>
      <c r="EA250" s="27"/>
      <c r="EB250" s="59"/>
      <c r="EC250" s="59"/>
      <c r="ED250" s="59"/>
      <c r="EE250" s="14"/>
      <c r="EF250" s="14"/>
      <c r="GN250" s="48"/>
    </row>
    <row r="251" spans="2:196" x14ac:dyDescent="0.25">
      <c r="B251" s="50"/>
      <c r="C251" s="50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9"/>
      <c r="BI251" s="49"/>
      <c r="BJ251" s="57"/>
      <c r="BK251" s="59"/>
      <c r="BL251" s="59"/>
      <c r="BM251" s="57"/>
      <c r="BN251" s="49"/>
      <c r="BO251" s="49"/>
      <c r="BP251" s="57"/>
      <c r="BQ251" s="49"/>
      <c r="BR251" s="49"/>
      <c r="BS251" s="57"/>
      <c r="BT251" s="49"/>
      <c r="BU251" s="49"/>
      <c r="BV251" s="57"/>
      <c r="BW251" s="19"/>
      <c r="BX251" s="59"/>
      <c r="BY251" s="27"/>
      <c r="BZ251" s="59"/>
      <c r="CA251" s="57"/>
      <c r="CB251" s="49"/>
      <c r="CC251" s="49"/>
      <c r="CD251" s="49"/>
      <c r="CE251" s="49"/>
      <c r="CF251" s="49"/>
      <c r="CG251" s="49"/>
      <c r="CH251" s="57"/>
      <c r="CI251" s="49"/>
      <c r="CJ251" s="49"/>
      <c r="CK251" s="57"/>
      <c r="CL251" s="49"/>
      <c r="CM251" s="49"/>
      <c r="CN251" s="49"/>
      <c r="CO251" s="49"/>
      <c r="CP251" s="49"/>
      <c r="CQ251" s="49"/>
      <c r="CR251" s="57"/>
      <c r="CS251" s="49"/>
      <c r="CT251" s="49"/>
      <c r="CU251" s="49"/>
      <c r="CV251" s="49"/>
      <c r="CW251" s="49"/>
      <c r="CX251" s="49"/>
      <c r="CY251" s="57"/>
      <c r="CZ251" s="49"/>
      <c r="DA251" s="49"/>
      <c r="DB251" s="49"/>
      <c r="DC251" s="49"/>
      <c r="DD251" s="49"/>
      <c r="DE251" s="49"/>
      <c r="DF251" s="57"/>
      <c r="DG251" s="49"/>
      <c r="DH251" s="49"/>
      <c r="DI251" s="49"/>
      <c r="DJ251" s="49"/>
      <c r="DK251" s="27"/>
      <c r="DL251" s="49"/>
      <c r="DM251" s="27"/>
      <c r="DN251" s="27"/>
      <c r="DO251" s="27"/>
      <c r="DP251" s="27"/>
      <c r="DQ251" s="27"/>
      <c r="DR251" s="27"/>
      <c r="DS251" s="27"/>
      <c r="DT251" s="27"/>
      <c r="DU251" s="27"/>
      <c r="DV251" s="27"/>
      <c r="DW251" s="27"/>
      <c r="DX251" s="27"/>
      <c r="DY251" s="27"/>
      <c r="DZ251" s="27"/>
      <c r="EA251" s="27"/>
      <c r="EB251" s="59"/>
      <c r="EC251" s="59"/>
      <c r="ED251" s="59"/>
      <c r="EE251" s="14"/>
      <c r="EF251" s="14"/>
      <c r="GN251" s="48"/>
    </row>
    <row r="252" spans="2:196" x14ac:dyDescent="0.25">
      <c r="B252" s="50"/>
      <c r="C252" s="50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9"/>
      <c r="BI252" s="49"/>
      <c r="BJ252" s="57"/>
      <c r="BK252" s="59"/>
      <c r="BL252" s="59"/>
      <c r="BM252" s="57"/>
      <c r="BN252" s="49"/>
      <c r="BO252" s="49"/>
      <c r="BP252" s="57"/>
      <c r="BQ252" s="49"/>
      <c r="BR252" s="49"/>
      <c r="BS252" s="57"/>
      <c r="BT252" s="49"/>
      <c r="BU252" s="49"/>
      <c r="BV252" s="57"/>
      <c r="BW252" s="19"/>
      <c r="BX252" s="59"/>
      <c r="BY252" s="27"/>
      <c r="BZ252" s="59"/>
      <c r="CA252" s="57"/>
      <c r="CB252" s="49"/>
      <c r="CC252" s="49"/>
      <c r="CD252" s="49"/>
      <c r="CE252" s="49"/>
      <c r="CF252" s="49"/>
      <c r="CG252" s="49"/>
      <c r="CH252" s="57"/>
      <c r="CI252" s="49"/>
      <c r="CJ252" s="49"/>
      <c r="CK252" s="57"/>
      <c r="CL252" s="49"/>
      <c r="CM252" s="49"/>
      <c r="CN252" s="49"/>
      <c r="CO252" s="49"/>
      <c r="CP252" s="49"/>
      <c r="CQ252" s="49"/>
      <c r="CR252" s="57"/>
      <c r="CS252" s="49"/>
      <c r="CT252" s="49"/>
      <c r="CU252" s="49"/>
      <c r="CV252" s="49"/>
      <c r="CW252" s="49"/>
      <c r="CX252" s="49"/>
      <c r="CY252" s="57"/>
      <c r="CZ252" s="49"/>
      <c r="DA252" s="49"/>
      <c r="DB252" s="49"/>
      <c r="DC252" s="49"/>
      <c r="DD252" s="49"/>
      <c r="DE252" s="49"/>
      <c r="DF252" s="57"/>
      <c r="DG252" s="49"/>
      <c r="DH252" s="49"/>
      <c r="DI252" s="49"/>
      <c r="DJ252" s="49"/>
      <c r="DK252" s="27"/>
      <c r="DL252" s="49"/>
      <c r="DM252" s="27"/>
      <c r="DN252" s="27"/>
      <c r="DO252" s="27"/>
      <c r="DP252" s="27"/>
      <c r="DQ252" s="27"/>
      <c r="DR252" s="27"/>
      <c r="DS252" s="27"/>
      <c r="DT252" s="27"/>
      <c r="DU252" s="27"/>
      <c r="DV252" s="27"/>
      <c r="DW252" s="27"/>
      <c r="DX252" s="27"/>
      <c r="DY252" s="27"/>
      <c r="DZ252" s="27"/>
      <c r="EA252" s="27"/>
      <c r="EB252" s="59"/>
      <c r="EC252" s="59"/>
      <c r="ED252" s="59"/>
      <c r="EE252" s="14"/>
      <c r="EF252" s="14"/>
      <c r="GN252" s="48"/>
    </row>
    <row r="253" spans="2:196" x14ac:dyDescent="0.25">
      <c r="B253" s="50"/>
      <c r="C253" s="50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9"/>
      <c r="BI253" s="49"/>
      <c r="BJ253" s="57"/>
      <c r="BK253" s="59"/>
      <c r="BL253" s="59"/>
      <c r="BM253" s="57"/>
      <c r="BN253" s="49"/>
      <c r="BO253" s="49"/>
      <c r="BP253" s="57"/>
      <c r="BQ253" s="49"/>
      <c r="BR253" s="49"/>
      <c r="BS253" s="57"/>
      <c r="BT253" s="49"/>
      <c r="BU253" s="49"/>
      <c r="BV253" s="57"/>
      <c r="BW253" s="19"/>
      <c r="BX253" s="59"/>
      <c r="BY253" s="27"/>
      <c r="BZ253" s="59"/>
      <c r="CA253" s="57"/>
      <c r="CB253" s="49"/>
      <c r="CC253" s="49"/>
      <c r="CD253" s="49"/>
      <c r="CE253" s="49"/>
      <c r="CF253" s="49"/>
      <c r="CG253" s="49"/>
      <c r="CH253" s="57"/>
      <c r="CI253" s="49"/>
      <c r="CJ253" s="49"/>
      <c r="CK253" s="57"/>
      <c r="CL253" s="49"/>
      <c r="CM253" s="49"/>
      <c r="CN253" s="49"/>
      <c r="CO253" s="49"/>
      <c r="CP253" s="49"/>
      <c r="CQ253" s="49"/>
      <c r="CR253" s="57"/>
      <c r="CS253" s="49"/>
      <c r="CT253" s="49"/>
      <c r="CU253" s="49"/>
      <c r="CV253" s="49"/>
      <c r="CW253" s="49"/>
      <c r="CX253" s="49"/>
      <c r="CY253" s="57"/>
      <c r="CZ253" s="49"/>
      <c r="DA253" s="49"/>
      <c r="DB253" s="49"/>
      <c r="DC253" s="49"/>
      <c r="DD253" s="49"/>
      <c r="DE253" s="49"/>
      <c r="DF253" s="57"/>
      <c r="DG253" s="49"/>
      <c r="DH253" s="49"/>
      <c r="DI253" s="49"/>
      <c r="DJ253" s="49"/>
      <c r="DK253" s="27"/>
      <c r="DL253" s="49"/>
      <c r="DM253" s="27"/>
      <c r="DN253" s="27"/>
      <c r="DO253" s="27"/>
      <c r="DP253" s="27"/>
      <c r="DQ253" s="2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59"/>
      <c r="EC253" s="59"/>
      <c r="ED253" s="59"/>
      <c r="EE253" s="14"/>
      <c r="EF253" s="14"/>
      <c r="GN253" s="48"/>
    </row>
    <row r="254" spans="2:196" x14ac:dyDescent="0.25">
      <c r="B254" s="50"/>
      <c r="C254" s="50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9"/>
      <c r="BI254" s="49"/>
      <c r="BJ254" s="57"/>
      <c r="BK254" s="59"/>
      <c r="BL254" s="59"/>
      <c r="BM254" s="57"/>
      <c r="BN254" s="49"/>
      <c r="BO254" s="49"/>
      <c r="BP254" s="57"/>
      <c r="BQ254" s="49"/>
      <c r="BR254" s="49"/>
      <c r="BS254" s="57"/>
      <c r="BT254" s="49"/>
      <c r="BU254" s="49"/>
      <c r="BV254" s="57"/>
      <c r="BW254" s="19"/>
      <c r="BX254" s="59"/>
      <c r="BY254" s="27"/>
      <c r="BZ254" s="59"/>
      <c r="CA254" s="57"/>
      <c r="CB254" s="49"/>
      <c r="CC254" s="49"/>
      <c r="CD254" s="49"/>
      <c r="CE254" s="49"/>
      <c r="CF254" s="49"/>
      <c r="CG254" s="49"/>
      <c r="CH254" s="57"/>
      <c r="CI254" s="49"/>
      <c r="CJ254" s="49"/>
      <c r="CK254" s="57"/>
      <c r="CL254" s="49"/>
      <c r="CM254" s="49"/>
      <c r="CN254" s="49"/>
      <c r="CO254" s="49"/>
      <c r="CP254" s="49"/>
      <c r="CQ254" s="49"/>
      <c r="CR254" s="57"/>
      <c r="CS254" s="49"/>
      <c r="CT254" s="49"/>
      <c r="CU254" s="49"/>
      <c r="CV254" s="49"/>
      <c r="CW254" s="49"/>
      <c r="CX254" s="49"/>
      <c r="CY254" s="57"/>
      <c r="CZ254" s="49"/>
      <c r="DA254" s="49"/>
      <c r="DB254" s="49"/>
      <c r="DC254" s="49"/>
      <c r="DD254" s="49"/>
      <c r="DE254" s="49"/>
      <c r="DF254" s="57"/>
      <c r="DG254" s="49"/>
      <c r="DH254" s="49"/>
      <c r="DI254" s="49"/>
      <c r="DJ254" s="49"/>
      <c r="DK254" s="27"/>
      <c r="DL254" s="49"/>
      <c r="DM254" s="27"/>
      <c r="DN254" s="27"/>
      <c r="DO254" s="27"/>
      <c r="DP254" s="27"/>
      <c r="DQ254" s="27"/>
      <c r="DR254" s="27"/>
      <c r="DS254" s="27"/>
      <c r="DT254" s="27"/>
      <c r="DU254" s="27"/>
      <c r="DV254" s="27"/>
      <c r="DW254" s="27"/>
      <c r="DX254" s="27"/>
      <c r="DY254" s="27"/>
      <c r="DZ254" s="27"/>
      <c r="EA254" s="27"/>
      <c r="EB254" s="59"/>
      <c r="EC254" s="59"/>
      <c r="ED254" s="59"/>
      <c r="EE254" s="14"/>
      <c r="EF254" s="14"/>
      <c r="GN254" s="48"/>
    </row>
    <row r="255" spans="2:196" x14ac:dyDescent="0.25">
      <c r="B255" s="50"/>
      <c r="C255" s="50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9"/>
      <c r="BI255" s="49"/>
      <c r="BJ255" s="57"/>
      <c r="BK255" s="59"/>
      <c r="BL255" s="59"/>
      <c r="BM255" s="57"/>
      <c r="BN255" s="49"/>
      <c r="BO255" s="49"/>
      <c r="BP255" s="57"/>
      <c r="BQ255" s="49"/>
      <c r="BR255" s="49"/>
      <c r="BS255" s="57"/>
      <c r="BT255" s="49"/>
      <c r="BU255" s="49"/>
      <c r="BV255" s="57"/>
      <c r="BW255" s="19"/>
      <c r="BX255" s="59"/>
      <c r="BY255" s="27"/>
      <c r="BZ255" s="59"/>
      <c r="CA255" s="57"/>
      <c r="CB255" s="49"/>
      <c r="CC255" s="49"/>
      <c r="CD255" s="49"/>
      <c r="CE255" s="49"/>
      <c r="CF255" s="49"/>
      <c r="CG255" s="49"/>
      <c r="CH255" s="57"/>
      <c r="CI255" s="49"/>
      <c r="CJ255" s="49"/>
      <c r="CK255" s="57"/>
      <c r="CL255" s="49"/>
      <c r="CM255" s="49"/>
      <c r="CN255" s="49"/>
      <c r="CO255" s="49"/>
      <c r="CP255" s="49"/>
      <c r="CQ255" s="49"/>
      <c r="CR255" s="57"/>
      <c r="CS255" s="49"/>
      <c r="CT255" s="49"/>
      <c r="CU255" s="49"/>
      <c r="CV255" s="49"/>
      <c r="CW255" s="49"/>
      <c r="CX255" s="49"/>
      <c r="CY255" s="57"/>
      <c r="CZ255" s="49"/>
      <c r="DA255" s="49"/>
      <c r="DB255" s="49"/>
      <c r="DC255" s="49"/>
      <c r="DD255" s="49"/>
      <c r="DE255" s="49"/>
      <c r="DF255" s="57"/>
      <c r="DG255" s="49"/>
      <c r="DH255" s="49"/>
      <c r="DI255" s="49"/>
      <c r="DJ255" s="49"/>
      <c r="DK255" s="27"/>
      <c r="DL255" s="49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59"/>
      <c r="EC255" s="59"/>
      <c r="ED255" s="59"/>
      <c r="EE255" s="14"/>
      <c r="EF255" s="14"/>
      <c r="GN255" s="48"/>
    </row>
    <row r="256" spans="2:196" x14ac:dyDescent="0.25">
      <c r="B256" s="50"/>
      <c r="C256" s="50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9"/>
      <c r="BI256" s="49"/>
      <c r="BJ256" s="57"/>
      <c r="BK256" s="59"/>
      <c r="BL256" s="59"/>
      <c r="BM256" s="57"/>
      <c r="BN256" s="49"/>
      <c r="BO256" s="49"/>
      <c r="BP256" s="57"/>
      <c r="BQ256" s="49"/>
      <c r="BR256" s="49"/>
      <c r="BS256" s="57"/>
      <c r="BT256" s="49"/>
      <c r="BU256" s="49"/>
      <c r="BV256" s="57"/>
      <c r="BW256" s="19"/>
      <c r="BX256" s="59"/>
      <c r="BY256" s="27"/>
      <c r="BZ256" s="59"/>
      <c r="CA256" s="57"/>
      <c r="CB256" s="49"/>
      <c r="CC256" s="49"/>
      <c r="CD256" s="49"/>
      <c r="CE256" s="49"/>
      <c r="CF256" s="49"/>
      <c r="CG256" s="49"/>
      <c r="CH256" s="57"/>
      <c r="CI256" s="49"/>
      <c r="CJ256" s="49"/>
      <c r="CK256" s="57"/>
      <c r="CL256" s="49"/>
      <c r="CM256" s="49"/>
      <c r="CN256" s="49"/>
      <c r="CO256" s="49"/>
      <c r="CP256" s="49"/>
      <c r="CQ256" s="49"/>
      <c r="CR256" s="57"/>
      <c r="CS256" s="49"/>
      <c r="CT256" s="49"/>
      <c r="CU256" s="49"/>
      <c r="CV256" s="49"/>
      <c r="CW256" s="49"/>
      <c r="CX256" s="49"/>
      <c r="CY256" s="57"/>
      <c r="CZ256" s="49"/>
      <c r="DA256" s="49"/>
      <c r="DB256" s="49"/>
      <c r="DC256" s="49"/>
      <c r="DD256" s="49"/>
      <c r="DE256" s="49"/>
      <c r="DF256" s="57"/>
      <c r="DG256" s="49"/>
      <c r="DH256" s="49"/>
      <c r="DI256" s="49"/>
      <c r="DJ256" s="49"/>
      <c r="DK256" s="27"/>
      <c r="DL256" s="49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59"/>
      <c r="EC256" s="59"/>
      <c r="ED256" s="59"/>
      <c r="EE256" s="14"/>
      <c r="EF256" s="14"/>
      <c r="GN256" s="48"/>
    </row>
    <row r="257" spans="2:196" x14ac:dyDescent="0.25">
      <c r="B257" s="50"/>
      <c r="C257" s="50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9"/>
      <c r="BI257" s="49"/>
      <c r="BJ257" s="57"/>
      <c r="BK257" s="59"/>
      <c r="BL257" s="59"/>
      <c r="BM257" s="57"/>
      <c r="BN257" s="49"/>
      <c r="BO257" s="49"/>
      <c r="BP257" s="57"/>
      <c r="BQ257" s="49"/>
      <c r="BR257" s="49"/>
      <c r="BS257" s="57"/>
      <c r="BT257" s="49"/>
      <c r="BU257" s="49"/>
      <c r="BV257" s="57"/>
      <c r="BW257" s="19"/>
      <c r="BX257" s="59"/>
      <c r="BY257" s="27"/>
      <c r="BZ257" s="59"/>
      <c r="CA257" s="57"/>
      <c r="CB257" s="49"/>
      <c r="CC257" s="49"/>
      <c r="CD257" s="49"/>
      <c r="CE257" s="49"/>
      <c r="CF257" s="49"/>
      <c r="CG257" s="49"/>
      <c r="CH257" s="57"/>
      <c r="CI257" s="49"/>
      <c r="CJ257" s="49"/>
      <c r="CK257" s="57"/>
      <c r="CL257" s="49"/>
      <c r="CM257" s="49"/>
      <c r="CN257" s="49"/>
      <c r="CO257" s="49"/>
      <c r="CP257" s="49"/>
      <c r="CQ257" s="49"/>
      <c r="CR257" s="57"/>
      <c r="CS257" s="49"/>
      <c r="CT257" s="49"/>
      <c r="CU257" s="49"/>
      <c r="CV257" s="49"/>
      <c r="CW257" s="49"/>
      <c r="CX257" s="49"/>
      <c r="CY257" s="57"/>
      <c r="CZ257" s="49"/>
      <c r="DA257" s="49"/>
      <c r="DB257" s="49"/>
      <c r="DC257" s="49"/>
      <c r="DD257" s="49"/>
      <c r="DE257" s="49"/>
      <c r="DF257" s="57"/>
      <c r="DG257" s="49"/>
      <c r="DH257" s="49"/>
      <c r="DI257" s="49"/>
      <c r="DJ257" s="49"/>
      <c r="DK257" s="27"/>
      <c r="DL257" s="49"/>
      <c r="DM257" s="27"/>
      <c r="DN257" s="27"/>
      <c r="DO257" s="27"/>
      <c r="DP257" s="27"/>
      <c r="DQ257" s="27"/>
      <c r="DR257" s="27"/>
      <c r="DS257" s="27"/>
      <c r="DT257" s="27"/>
      <c r="DU257" s="27"/>
      <c r="DV257" s="27"/>
      <c r="DW257" s="27"/>
      <c r="DX257" s="27"/>
      <c r="DY257" s="27"/>
      <c r="DZ257" s="27"/>
      <c r="EA257" s="27"/>
      <c r="EB257" s="59"/>
      <c r="EC257" s="59"/>
      <c r="ED257" s="59"/>
      <c r="EE257" s="14"/>
      <c r="EF257" s="14"/>
      <c r="GN257" s="48"/>
    </row>
    <row r="258" spans="2:196" x14ac:dyDescent="0.25">
      <c r="B258" s="50"/>
      <c r="C258" s="50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9"/>
      <c r="BI258" s="49"/>
      <c r="BJ258" s="57"/>
      <c r="BK258" s="59"/>
      <c r="BL258" s="59"/>
      <c r="BM258" s="57"/>
      <c r="BN258" s="49"/>
      <c r="BO258" s="49"/>
      <c r="BP258" s="57"/>
      <c r="BQ258" s="49"/>
      <c r="BR258" s="49"/>
      <c r="BS258" s="57"/>
      <c r="BT258" s="49"/>
      <c r="BU258" s="49"/>
      <c r="BV258" s="57"/>
      <c r="BW258" s="19"/>
      <c r="BX258" s="59"/>
      <c r="BY258" s="27"/>
      <c r="BZ258" s="59"/>
      <c r="CA258" s="57"/>
      <c r="CB258" s="49"/>
      <c r="CC258" s="49"/>
      <c r="CD258" s="49"/>
      <c r="CE258" s="49"/>
      <c r="CF258" s="49"/>
      <c r="CG258" s="49"/>
      <c r="CH258" s="57"/>
      <c r="CI258" s="49"/>
      <c r="CJ258" s="49"/>
      <c r="CK258" s="57"/>
      <c r="CL258" s="49"/>
      <c r="CM258" s="49"/>
      <c r="CN258" s="49"/>
      <c r="CO258" s="49"/>
      <c r="CP258" s="49"/>
      <c r="CQ258" s="49"/>
      <c r="CR258" s="57"/>
      <c r="CS258" s="49"/>
      <c r="CT258" s="49"/>
      <c r="CU258" s="49"/>
      <c r="CV258" s="49"/>
      <c r="CW258" s="49"/>
      <c r="CX258" s="49"/>
      <c r="CY258" s="57"/>
      <c r="CZ258" s="49"/>
      <c r="DA258" s="49"/>
      <c r="DB258" s="49"/>
      <c r="DC258" s="49"/>
      <c r="DD258" s="49"/>
      <c r="DE258" s="49"/>
      <c r="DF258" s="57"/>
      <c r="DG258" s="49"/>
      <c r="DH258" s="49"/>
      <c r="DI258" s="49"/>
      <c r="DJ258" s="49"/>
      <c r="DK258" s="27"/>
      <c r="DL258" s="49"/>
      <c r="DM258" s="27"/>
      <c r="DN258" s="27"/>
      <c r="DO258" s="27"/>
      <c r="DP258" s="27"/>
      <c r="DQ258" s="27"/>
      <c r="DR258" s="27"/>
      <c r="DS258" s="27"/>
      <c r="DT258" s="27"/>
      <c r="DU258" s="27"/>
      <c r="DV258" s="27"/>
      <c r="DW258" s="27"/>
      <c r="DX258" s="27"/>
      <c r="DY258" s="27"/>
      <c r="DZ258" s="27"/>
      <c r="EA258" s="27"/>
      <c r="EB258" s="59"/>
      <c r="EC258" s="59"/>
      <c r="ED258" s="59"/>
      <c r="EE258" s="14"/>
      <c r="EF258" s="14"/>
      <c r="GN258" s="48"/>
    </row>
    <row r="259" spans="2:196" x14ac:dyDescent="0.25">
      <c r="B259" s="50"/>
      <c r="C259" s="50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9"/>
      <c r="BI259" s="49"/>
      <c r="BJ259" s="57"/>
      <c r="BK259" s="59"/>
      <c r="BL259" s="59"/>
      <c r="BM259" s="57"/>
      <c r="BN259" s="49"/>
      <c r="BO259" s="49"/>
      <c r="BP259" s="57"/>
      <c r="BQ259" s="49"/>
      <c r="BR259" s="49"/>
      <c r="BS259" s="57"/>
      <c r="BT259" s="49"/>
      <c r="BU259" s="49"/>
      <c r="BV259" s="57"/>
      <c r="BW259" s="19"/>
      <c r="BX259" s="59"/>
      <c r="BY259" s="27"/>
      <c r="BZ259" s="59"/>
      <c r="CA259" s="57"/>
      <c r="CB259" s="49"/>
      <c r="CC259" s="49"/>
      <c r="CD259" s="49"/>
      <c r="CE259" s="49"/>
      <c r="CF259" s="49"/>
      <c r="CG259" s="49"/>
      <c r="CH259" s="57"/>
      <c r="CI259" s="49"/>
      <c r="CJ259" s="49"/>
      <c r="CK259" s="57"/>
      <c r="CL259" s="49"/>
      <c r="CM259" s="49"/>
      <c r="CN259" s="49"/>
      <c r="CO259" s="49"/>
      <c r="CP259" s="49"/>
      <c r="CQ259" s="49"/>
      <c r="CR259" s="57"/>
      <c r="CS259" s="49"/>
      <c r="CT259" s="49"/>
      <c r="CU259" s="49"/>
      <c r="CV259" s="49"/>
      <c r="CW259" s="49"/>
      <c r="CX259" s="49"/>
      <c r="CY259" s="57"/>
      <c r="CZ259" s="49"/>
      <c r="DA259" s="49"/>
      <c r="DB259" s="49"/>
      <c r="DC259" s="49"/>
      <c r="DD259" s="49"/>
      <c r="DE259" s="49"/>
      <c r="DF259" s="57"/>
      <c r="DG259" s="49"/>
      <c r="DH259" s="49"/>
      <c r="DI259" s="49"/>
      <c r="DJ259" s="49"/>
      <c r="DK259" s="27"/>
      <c r="DL259" s="49"/>
      <c r="DM259" s="27"/>
      <c r="DN259" s="27"/>
      <c r="DO259" s="27"/>
      <c r="DP259" s="27"/>
      <c r="DQ259" s="27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59"/>
      <c r="EC259" s="59"/>
      <c r="ED259" s="59"/>
      <c r="EE259" s="14"/>
      <c r="EF259" s="14"/>
      <c r="GN259" s="48"/>
    </row>
    <row r="260" spans="2:196" x14ac:dyDescent="0.25">
      <c r="B260" s="50"/>
      <c r="C260" s="50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9"/>
      <c r="BI260" s="49"/>
      <c r="BJ260" s="57"/>
      <c r="BK260" s="59"/>
      <c r="BL260" s="59"/>
      <c r="BM260" s="57"/>
      <c r="BN260" s="49"/>
      <c r="BO260" s="49"/>
      <c r="BP260" s="57"/>
      <c r="BQ260" s="49"/>
      <c r="BR260" s="49"/>
      <c r="BS260" s="57"/>
      <c r="BT260" s="49"/>
      <c r="BU260" s="49"/>
      <c r="BV260" s="57"/>
      <c r="BW260" s="19"/>
      <c r="BX260" s="59"/>
      <c r="BY260" s="27"/>
      <c r="BZ260" s="59"/>
      <c r="CA260" s="57"/>
      <c r="CB260" s="49"/>
      <c r="CC260" s="49"/>
      <c r="CD260" s="49"/>
      <c r="CE260" s="49"/>
      <c r="CF260" s="49"/>
      <c r="CG260" s="49"/>
      <c r="CH260" s="57"/>
      <c r="CI260" s="49"/>
      <c r="CJ260" s="49"/>
      <c r="CK260" s="57"/>
      <c r="CL260" s="49"/>
      <c r="CM260" s="49"/>
      <c r="CN260" s="49"/>
      <c r="CO260" s="49"/>
      <c r="CP260" s="49"/>
      <c r="CQ260" s="49"/>
      <c r="CR260" s="57"/>
      <c r="CS260" s="49"/>
      <c r="CT260" s="49"/>
      <c r="CU260" s="49"/>
      <c r="CV260" s="49"/>
      <c r="CW260" s="49"/>
      <c r="CX260" s="49"/>
      <c r="CY260" s="57"/>
      <c r="CZ260" s="49"/>
      <c r="DA260" s="49"/>
      <c r="DB260" s="49"/>
      <c r="DC260" s="49"/>
      <c r="DD260" s="49"/>
      <c r="DE260" s="49"/>
      <c r="DF260" s="57"/>
      <c r="DG260" s="49"/>
      <c r="DH260" s="49"/>
      <c r="DI260" s="49"/>
      <c r="DJ260" s="49"/>
      <c r="DK260" s="27"/>
      <c r="DL260" s="49"/>
      <c r="DM260" s="27"/>
      <c r="DN260" s="27"/>
      <c r="DO260" s="27"/>
      <c r="DP260" s="27"/>
      <c r="DQ260" s="27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59"/>
      <c r="EC260" s="59"/>
      <c r="ED260" s="59"/>
      <c r="EE260" s="14"/>
      <c r="EF260" s="14"/>
      <c r="GN260" s="48"/>
    </row>
    <row r="261" spans="2:196" x14ac:dyDescent="0.25">
      <c r="B261" s="50"/>
      <c r="C261" s="50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9"/>
      <c r="BI261" s="49"/>
      <c r="BJ261" s="57"/>
      <c r="BK261" s="59"/>
      <c r="BL261" s="59"/>
      <c r="BM261" s="57"/>
      <c r="BN261" s="49"/>
      <c r="BO261" s="49"/>
      <c r="BP261" s="57"/>
      <c r="BQ261" s="49"/>
      <c r="BR261" s="49"/>
      <c r="BS261" s="57"/>
      <c r="BT261" s="49"/>
      <c r="BU261" s="49"/>
      <c r="BV261" s="57"/>
      <c r="BW261" s="19"/>
      <c r="BX261" s="59"/>
      <c r="BY261" s="27"/>
      <c r="BZ261" s="59"/>
      <c r="CA261" s="57"/>
      <c r="CB261" s="49"/>
      <c r="CC261" s="49"/>
      <c r="CD261" s="49"/>
      <c r="CE261" s="49"/>
      <c r="CF261" s="49"/>
      <c r="CG261" s="49"/>
      <c r="CH261" s="57"/>
      <c r="CI261" s="49"/>
      <c r="CJ261" s="49"/>
      <c r="CK261" s="57"/>
      <c r="CL261" s="49"/>
      <c r="CM261" s="49"/>
      <c r="CN261" s="49"/>
      <c r="CO261" s="49"/>
      <c r="CP261" s="49"/>
      <c r="CQ261" s="49"/>
      <c r="CR261" s="57"/>
      <c r="CS261" s="49"/>
      <c r="CT261" s="49"/>
      <c r="CU261" s="49"/>
      <c r="CV261" s="49"/>
      <c r="CW261" s="49"/>
      <c r="CX261" s="49"/>
      <c r="CY261" s="57"/>
      <c r="CZ261" s="49"/>
      <c r="DA261" s="49"/>
      <c r="DB261" s="49"/>
      <c r="DC261" s="49"/>
      <c r="DD261" s="49"/>
      <c r="DE261" s="49"/>
      <c r="DF261" s="57"/>
      <c r="DG261" s="49"/>
      <c r="DH261" s="49"/>
      <c r="DI261" s="49"/>
      <c r="DJ261" s="49"/>
      <c r="DK261" s="27"/>
      <c r="DL261" s="49"/>
      <c r="DM261" s="27"/>
      <c r="DN261" s="27"/>
      <c r="DO261" s="27"/>
      <c r="DP261" s="27"/>
      <c r="DQ261" s="27"/>
      <c r="DR261" s="27"/>
      <c r="DS261" s="27"/>
      <c r="DT261" s="27"/>
      <c r="DU261" s="27"/>
      <c r="DV261" s="27"/>
      <c r="DW261" s="27"/>
      <c r="DX261" s="27"/>
      <c r="DY261" s="27"/>
      <c r="DZ261" s="27"/>
      <c r="EA261" s="27"/>
      <c r="EB261" s="59"/>
      <c r="EC261" s="59"/>
      <c r="ED261" s="59"/>
      <c r="EE261" s="14"/>
      <c r="EF261" s="14"/>
      <c r="GN261" s="48"/>
    </row>
    <row r="262" spans="2:196" x14ac:dyDescent="0.25">
      <c r="B262" s="50"/>
      <c r="C262" s="50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9"/>
      <c r="BI262" s="49"/>
      <c r="BJ262" s="57"/>
      <c r="BK262" s="59"/>
      <c r="BL262" s="59"/>
      <c r="BM262" s="57"/>
      <c r="BN262" s="49"/>
      <c r="BO262" s="49"/>
      <c r="BP262" s="57"/>
      <c r="BQ262" s="49"/>
      <c r="BR262" s="49"/>
      <c r="BS262" s="57"/>
      <c r="BT262" s="49"/>
      <c r="BU262" s="49"/>
      <c r="BV262" s="57"/>
      <c r="BW262" s="19"/>
      <c r="BX262" s="59"/>
      <c r="BY262" s="27"/>
      <c r="BZ262" s="59"/>
      <c r="CA262" s="57"/>
      <c r="CB262" s="49"/>
      <c r="CC262" s="49"/>
      <c r="CD262" s="49"/>
      <c r="CE262" s="49"/>
      <c r="CF262" s="49"/>
      <c r="CG262" s="49"/>
      <c r="CH262" s="57"/>
      <c r="CI262" s="49"/>
      <c r="CJ262" s="49"/>
      <c r="CK262" s="57"/>
      <c r="CL262" s="49"/>
      <c r="CM262" s="49"/>
      <c r="CN262" s="49"/>
      <c r="CO262" s="49"/>
      <c r="CP262" s="49"/>
      <c r="CQ262" s="49"/>
      <c r="CR262" s="57"/>
      <c r="CS262" s="49"/>
      <c r="CT262" s="49"/>
      <c r="CU262" s="49"/>
      <c r="CV262" s="49"/>
      <c r="CW262" s="49"/>
      <c r="CX262" s="49"/>
      <c r="CY262" s="57"/>
      <c r="CZ262" s="49"/>
      <c r="DA262" s="49"/>
      <c r="DB262" s="49"/>
      <c r="DC262" s="49"/>
      <c r="DD262" s="49"/>
      <c r="DE262" s="49"/>
      <c r="DF262" s="57"/>
      <c r="DG262" s="49"/>
      <c r="DH262" s="49"/>
      <c r="DI262" s="49"/>
      <c r="DJ262" s="49"/>
      <c r="DK262" s="27"/>
      <c r="DL262" s="49"/>
      <c r="DM262" s="27"/>
      <c r="DN262" s="27"/>
      <c r="DO262" s="27"/>
      <c r="DP262" s="27"/>
      <c r="DQ262" s="27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59"/>
      <c r="EC262" s="59"/>
      <c r="ED262" s="59"/>
      <c r="EE262" s="14"/>
      <c r="EF262" s="14"/>
      <c r="GN262" s="48"/>
    </row>
    <row r="263" spans="2:196" x14ac:dyDescent="0.25">
      <c r="B263" s="50"/>
      <c r="C263" s="50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9"/>
      <c r="BI263" s="49"/>
      <c r="BJ263" s="57"/>
      <c r="BK263" s="59"/>
      <c r="BL263" s="59"/>
      <c r="BM263" s="57"/>
      <c r="BN263" s="49"/>
      <c r="BO263" s="49"/>
      <c r="BP263" s="57"/>
      <c r="BQ263" s="49"/>
      <c r="BR263" s="49"/>
      <c r="BS263" s="57"/>
      <c r="BT263" s="49"/>
      <c r="BU263" s="49"/>
      <c r="BV263" s="57"/>
      <c r="BW263" s="19"/>
      <c r="BX263" s="59"/>
      <c r="BY263" s="27"/>
      <c r="BZ263" s="59"/>
      <c r="CA263" s="57"/>
      <c r="CB263" s="49"/>
      <c r="CC263" s="49"/>
      <c r="CD263" s="49"/>
      <c r="CE263" s="49"/>
      <c r="CF263" s="49"/>
      <c r="CG263" s="49"/>
      <c r="CH263" s="57"/>
      <c r="CI263" s="49"/>
      <c r="CJ263" s="49"/>
      <c r="CK263" s="57"/>
      <c r="CL263" s="49"/>
      <c r="CM263" s="49"/>
      <c r="CN263" s="49"/>
      <c r="CO263" s="49"/>
      <c r="CP263" s="49"/>
      <c r="CQ263" s="49"/>
      <c r="CR263" s="57"/>
      <c r="CS263" s="49"/>
      <c r="CT263" s="49"/>
      <c r="CU263" s="49"/>
      <c r="CV263" s="49"/>
      <c r="CW263" s="49"/>
      <c r="CX263" s="49"/>
      <c r="CY263" s="57"/>
      <c r="CZ263" s="49"/>
      <c r="DA263" s="49"/>
      <c r="DB263" s="49"/>
      <c r="DC263" s="49"/>
      <c r="DD263" s="49"/>
      <c r="DE263" s="49"/>
      <c r="DF263" s="57"/>
      <c r="DG263" s="49"/>
      <c r="DH263" s="49"/>
      <c r="DI263" s="49"/>
      <c r="DJ263" s="49"/>
      <c r="DK263" s="27"/>
      <c r="DL263" s="49"/>
      <c r="DM263" s="27"/>
      <c r="DN263" s="27"/>
      <c r="DO263" s="27"/>
      <c r="DP263" s="27"/>
      <c r="DQ263" s="27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59"/>
      <c r="EC263" s="59"/>
      <c r="ED263" s="59"/>
      <c r="EE263" s="14"/>
      <c r="EF263" s="14"/>
      <c r="GN263" s="48"/>
    </row>
    <row r="264" spans="2:196" x14ac:dyDescent="0.25">
      <c r="B264" s="50"/>
      <c r="C264" s="50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9"/>
      <c r="BI264" s="49"/>
      <c r="BJ264" s="57"/>
      <c r="BK264" s="59"/>
      <c r="BL264" s="59"/>
      <c r="BM264" s="57"/>
      <c r="BN264" s="49"/>
      <c r="BO264" s="49"/>
      <c r="BP264" s="57"/>
      <c r="BQ264" s="49"/>
      <c r="BR264" s="49"/>
      <c r="BS264" s="57"/>
      <c r="BT264" s="49"/>
      <c r="BU264" s="49"/>
      <c r="BV264" s="57"/>
      <c r="BW264" s="19"/>
      <c r="BX264" s="59"/>
      <c r="BY264" s="27"/>
      <c r="BZ264" s="59"/>
      <c r="CA264" s="57"/>
      <c r="CB264" s="49"/>
      <c r="CC264" s="49"/>
      <c r="CD264" s="49"/>
      <c r="CE264" s="49"/>
      <c r="CF264" s="49"/>
      <c r="CG264" s="49"/>
      <c r="CH264" s="57"/>
      <c r="CI264" s="49"/>
      <c r="CJ264" s="49"/>
      <c r="CK264" s="57"/>
      <c r="CL264" s="49"/>
      <c r="CM264" s="49"/>
      <c r="CN264" s="49"/>
      <c r="CO264" s="49"/>
      <c r="CP264" s="49"/>
      <c r="CQ264" s="49"/>
      <c r="CR264" s="57"/>
      <c r="CS264" s="49"/>
      <c r="CT264" s="49"/>
      <c r="CU264" s="49"/>
      <c r="CV264" s="49"/>
      <c r="CW264" s="49"/>
      <c r="CX264" s="49"/>
      <c r="CY264" s="57"/>
      <c r="CZ264" s="49"/>
      <c r="DA264" s="49"/>
      <c r="DB264" s="49"/>
      <c r="DC264" s="49"/>
      <c r="DD264" s="49"/>
      <c r="DE264" s="49"/>
      <c r="DF264" s="57"/>
      <c r="DG264" s="49"/>
      <c r="DH264" s="49"/>
      <c r="DI264" s="49"/>
      <c r="DJ264" s="49"/>
      <c r="DK264" s="27"/>
      <c r="DL264" s="49"/>
      <c r="DM264" s="27"/>
      <c r="DN264" s="27"/>
      <c r="DO264" s="27"/>
      <c r="DP264" s="27"/>
      <c r="DQ264" s="27"/>
      <c r="DR264" s="27"/>
      <c r="DS264" s="27"/>
      <c r="DT264" s="27"/>
      <c r="DU264" s="27"/>
      <c r="DV264" s="27"/>
      <c r="DW264" s="27"/>
      <c r="DX264" s="27"/>
      <c r="DY264" s="27"/>
      <c r="DZ264" s="27"/>
      <c r="EA264" s="27"/>
      <c r="EB264" s="59"/>
      <c r="EC264" s="59"/>
      <c r="ED264" s="59"/>
      <c r="EE264" s="14"/>
      <c r="EF264" s="14"/>
      <c r="GN264" s="48"/>
    </row>
    <row r="265" spans="2:196" x14ac:dyDescent="0.25">
      <c r="B265" s="50"/>
      <c r="C265" s="50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9"/>
      <c r="BI265" s="49"/>
      <c r="BJ265" s="57"/>
      <c r="BK265" s="59"/>
      <c r="BL265" s="59"/>
      <c r="BM265" s="57"/>
      <c r="BN265" s="49"/>
      <c r="BO265" s="49"/>
      <c r="BP265" s="57"/>
      <c r="BQ265" s="49"/>
      <c r="BR265" s="49"/>
      <c r="BS265" s="57"/>
      <c r="BT265" s="49"/>
      <c r="BU265" s="49"/>
      <c r="BV265" s="57"/>
      <c r="BW265" s="19"/>
      <c r="BX265" s="59"/>
      <c r="BY265" s="27"/>
      <c r="BZ265" s="59"/>
      <c r="CA265" s="57"/>
      <c r="CB265" s="49"/>
      <c r="CC265" s="49"/>
      <c r="CD265" s="49"/>
      <c r="CE265" s="49"/>
      <c r="CF265" s="49"/>
      <c r="CG265" s="49"/>
      <c r="CH265" s="57"/>
      <c r="CI265" s="49"/>
      <c r="CJ265" s="49"/>
      <c r="CK265" s="57"/>
      <c r="CL265" s="49"/>
      <c r="CM265" s="49"/>
      <c r="CN265" s="49"/>
      <c r="CO265" s="49"/>
      <c r="CP265" s="49"/>
      <c r="CQ265" s="49"/>
      <c r="CR265" s="57"/>
      <c r="CS265" s="49"/>
      <c r="CT265" s="49"/>
      <c r="CU265" s="49"/>
      <c r="CV265" s="49"/>
      <c r="CW265" s="49"/>
      <c r="CX265" s="49"/>
      <c r="CY265" s="57"/>
      <c r="CZ265" s="49"/>
      <c r="DA265" s="49"/>
      <c r="DB265" s="49"/>
      <c r="DC265" s="49"/>
      <c r="DD265" s="49"/>
      <c r="DE265" s="49"/>
      <c r="DF265" s="57"/>
      <c r="DG265" s="49"/>
      <c r="DH265" s="49"/>
      <c r="DI265" s="49"/>
      <c r="DJ265" s="49"/>
      <c r="DK265" s="27"/>
      <c r="DL265" s="49"/>
      <c r="DM265" s="27"/>
      <c r="DN265" s="27"/>
      <c r="DO265" s="27"/>
      <c r="DP265" s="27"/>
      <c r="DQ265" s="27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59"/>
      <c r="EC265" s="59"/>
      <c r="ED265" s="59"/>
      <c r="EE265" s="14"/>
      <c r="EF265" s="14"/>
      <c r="GN265" s="48"/>
    </row>
    <row r="266" spans="2:196" x14ac:dyDescent="0.25">
      <c r="B266" s="50"/>
      <c r="C266" s="50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9"/>
      <c r="BI266" s="49"/>
      <c r="BJ266" s="57"/>
      <c r="BK266" s="59"/>
      <c r="BL266" s="59"/>
      <c r="BM266" s="57"/>
      <c r="BN266" s="49"/>
      <c r="BO266" s="49"/>
      <c r="BP266" s="57"/>
      <c r="BQ266" s="49"/>
      <c r="BR266" s="49"/>
      <c r="BS266" s="57"/>
      <c r="BT266" s="49"/>
      <c r="BU266" s="49"/>
      <c r="BV266" s="57"/>
      <c r="BW266" s="19"/>
      <c r="BX266" s="59"/>
      <c r="BY266" s="27"/>
      <c r="BZ266" s="59"/>
      <c r="CA266" s="57"/>
      <c r="CB266" s="49"/>
      <c r="CC266" s="49"/>
      <c r="CD266" s="49"/>
      <c r="CE266" s="49"/>
      <c r="CF266" s="49"/>
      <c r="CG266" s="49"/>
      <c r="CH266" s="57"/>
      <c r="CI266" s="49"/>
      <c r="CJ266" s="49"/>
      <c r="CK266" s="57"/>
      <c r="CL266" s="49"/>
      <c r="CM266" s="49"/>
      <c r="CN266" s="49"/>
      <c r="CO266" s="49"/>
      <c r="CP266" s="49"/>
      <c r="CQ266" s="49"/>
      <c r="CR266" s="57"/>
      <c r="CS266" s="49"/>
      <c r="CT266" s="49"/>
      <c r="CU266" s="49"/>
      <c r="CV266" s="49"/>
      <c r="CW266" s="49"/>
      <c r="CX266" s="49"/>
      <c r="CY266" s="57"/>
      <c r="CZ266" s="49"/>
      <c r="DA266" s="49"/>
      <c r="DB266" s="49"/>
      <c r="DC266" s="49"/>
      <c r="DD266" s="49"/>
      <c r="DE266" s="49"/>
      <c r="DF266" s="57"/>
      <c r="DG266" s="49"/>
      <c r="DH266" s="49"/>
      <c r="DI266" s="49"/>
      <c r="DJ266" s="49"/>
      <c r="DK266" s="27"/>
      <c r="DL266" s="49"/>
      <c r="DM266" s="27"/>
      <c r="DN266" s="27"/>
      <c r="DO266" s="27"/>
      <c r="DP266" s="27"/>
      <c r="DQ266" s="27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59"/>
      <c r="EC266" s="59"/>
      <c r="ED266" s="59"/>
      <c r="EE266" s="14"/>
      <c r="EF266" s="14"/>
      <c r="GN266" s="48"/>
    </row>
    <row r="267" spans="2:196" x14ac:dyDescent="0.25">
      <c r="B267" s="50"/>
      <c r="C267" s="50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9"/>
      <c r="BI267" s="49"/>
      <c r="BJ267" s="57"/>
      <c r="BK267" s="59"/>
      <c r="BL267" s="59"/>
      <c r="BM267" s="57"/>
      <c r="BN267" s="49"/>
      <c r="BO267" s="49"/>
      <c r="BP267" s="57"/>
      <c r="BQ267" s="49"/>
      <c r="BR267" s="49"/>
      <c r="BS267" s="57"/>
      <c r="BT267" s="49"/>
      <c r="BU267" s="49"/>
      <c r="BV267" s="57"/>
      <c r="BW267" s="19"/>
      <c r="BX267" s="59"/>
      <c r="BY267" s="27"/>
      <c r="BZ267" s="59"/>
      <c r="CA267" s="57"/>
      <c r="CB267" s="49"/>
      <c r="CC267" s="49"/>
      <c r="CD267" s="49"/>
      <c r="CE267" s="49"/>
      <c r="CF267" s="49"/>
      <c r="CG267" s="49"/>
      <c r="CH267" s="57"/>
      <c r="CI267" s="49"/>
      <c r="CJ267" s="49"/>
      <c r="CK267" s="57"/>
      <c r="CL267" s="49"/>
      <c r="CM267" s="49"/>
      <c r="CN267" s="49"/>
      <c r="CO267" s="49"/>
      <c r="CP267" s="49"/>
      <c r="CQ267" s="49"/>
      <c r="CR267" s="57"/>
      <c r="CS267" s="49"/>
      <c r="CT267" s="49"/>
      <c r="CU267" s="49"/>
      <c r="CV267" s="49"/>
      <c r="CW267" s="49"/>
      <c r="CX267" s="49"/>
      <c r="CY267" s="57"/>
      <c r="CZ267" s="49"/>
      <c r="DA267" s="49"/>
      <c r="DB267" s="49"/>
      <c r="DC267" s="49"/>
      <c r="DD267" s="49"/>
      <c r="DE267" s="49"/>
      <c r="DF267" s="57"/>
      <c r="DG267" s="49"/>
      <c r="DH267" s="49"/>
      <c r="DI267" s="49"/>
      <c r="DJ267" s="49"/>
      <c r="DK267" s="27"/>
      <c r="DL267" s="49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59"/>
      <c r="EC267" s="59"/>
      <c r="ED267" s="59"/>
      <c r="EE267" s="14"/>
      <c r="EF267" s="14"/>
      <c r="GN267" s="48"/>
    </row>
    <row r="268" spans="2:196" x14ac:dyDescent="0.25">
      <c r="B268" s="50"/>
      <c r="C268" s="50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9"/>
      <c r="BI268" s="49"/>
      <c r="BJ268" s="57"/>
      <c r="BK268" s="59"/>
      <c r="BL268" s="59"/>
      <c r="BM268" s="57"/>
      <c r="BN268" s="49"/>
      <c r="BO268" s="49"/>
      <c r="BP268" s="57"/>
      <c r="BQ268" s="49"/>
      <c r="BR268" s="49"/>
      <c r="BS268" s="57"/>
      <c r="BT268" s="49"/>
      <c r="BU268" s="49"/>
      <c r="BV268" s="57"/>
      <c r="BW268" s="19"/>
      <c r="BX268" s="59"/>
      <c r="BY268" s="27"/>
      <c r="BZ268" s="59"/>
      <c r="CA268" s="57"/>
      <c r="CB268" s="49"/>
      <c r="CC268" s="49"/>
      <c r="CD268" s="49"/>
      <c r="CE268" s="49"/>
      <c r="CF268" s="49"/>
      <c r="CG268" s="49"/>
      <c r="CH268" s="57"/>
      <c r="CI268" s="49"/>
      <c r="CJ268" s="49"/>
      <c r="CK268" s="57"/>
      <c r="CL268" s="49"/>
      <c r="CM268" s="49"/>
      <c r="CN268" s="49"/>
      <c r="CO268" s="49"/>
      <c r="CP268" s="49"/>
      <c r="CQ268" s="49"/>
      <c r="CR268" s="57"/>
      <c r="CS268" s="49"/>
      <c r="CT268" s="49"/>
      <c r="CU268" s="49"/>
      <c r="CV268" s="49"/>
      <c r="CW268" s="49"/>
      <c r="CX268" s="49"/>
      <c r="CY268" s="57"/>
      <c r="CZ268" s="49"/>
      <c r="DA268" s="49"/>
      <c r="DB268" s="49"/>
      <c r="DC268" s="49"/>
      <c r="DD268" s="49"/>
      <c r="DE268" s="49"/>
      <c r="DF268" s="57"/>
      <c r="DG268" s="49"/>
      <c r="DH268" s="49"/>
      <c r="DI268" s="49"/>
      <c r="DJ268" s="49"/>
      <c r="DK268" s="27"/>
      <c r="DL268" s="49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59"/>
      <c r="EC268" s="59"/>
      <c r="ED268" s="59"/>
      <c r="EE268" s="14"/>
      <c r="EF268" s="14"/>
      <c r="GN268" s="48"/>
    </row>
    <row r="269" spans="2:196" x14ac:dyDescent="0.25">
      <c r="B269" s="50"/>
      <c r="C269" s="50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9"/>
      <c r="BI269" s="49"/>
      <c r="BJ269" s="57"/>
      <c r="BK269" s="59"/>
      <c r="BL269" s="59"/>
      <c r="BM269" s="57"/>
      <c r="BN269" s="49"/>
      <c r="BO269" s="49"/>
      <c r="BP269" s="57"/>
      <c r="BQ269" s="49"/>
      <c r="BR269" s="49"/>
      <c r="BS269" s="57"/>
      <c r="BT269" s="49"/>
      <c r="BU269" s="49"/>
      <c r="BV269" s="57"/>
      <c r="BW269" s="19"/>
      <c r="BX269" s="59"/>
      <c r="BY269" s="27"/>
      <c r="BZ269" s="59"/>
      <c r="CA269" s="57"/>
      <c r="CB269" s="49"/>
      <c r="CC269" s="49"/>
      <c r="CD269" s="49"/>
      <c r="CE269" s="49"/>
      <c r="CF269" s="49"/>
      <c r="CG269" s="49"/>
      <c r="CH269" s="57"/>
      <c r="CI269" s="49"/>
      <c r="CJ269" s="49"/>
      <c r="CK269" s="57"/>
      <c r="CL269" s="49"/>
      <c r="CM269" s="49"/>
      <c r="CN269" s="49"/>
      <c r="CO269" s="49"/>
      <c r="CP269" s="49"/>
      <c r="CQ269" s="49"/>
      <c r="CR269" s="57"/>
      <c r="CS269" s="49"/>
      <c r="CT269" s="49"/>
      <c r="CU269" s="49"/>
      <c r="CV269" s="49"/>
      <c r="CW269" s="49"/>
      <c r="CX269" s="49"/>
      <c r="CY269" s="57"/>
      <c r="CZ269" s="49"/>
      <c r="DA269" s="49"/>
      <c r="DB269" s="49"/>
      <c r="DC269" s="49"/>
      <c r="DD269" s="49"/>
      <c r="DE269" s="49"/>
      <c r="DF269" s="57"/>
      <c r="DG269" s="49"/>
      <c r="DH269" s="49"/>
      <c r="DI269" s="49"/>
      <c r="DJ269" s="49"/>
      <c r="DK269" s="27"/>
      <c r="DL269" s="49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59"/>
      <c r="EC269" s="59"/>
      <c r="ED269" s="59"/>
      <c r="EE269" s="14"/>
      <c r="EF269" s="14"/>
      <c r="GN269" s="48"/>
    </row>
    <row r="270" spans="2:196" x14ac:dyDescent="0.25">
      <c r="B270" s="50"/>
      <c r="C270" s="50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9"/>
      <c r="BI270" s="49"/>
      <c r="BJ270" s="57"/>
      <c r="BK270" s="59"/>
      <c r="BL270" s="59"/>
      <c r="BM270" s="57"/>
      <c r="BN270" s="49"/>
      <c r="BO270" s="49"/>
      <c r="BP270" s="57"/>
      <c r="BQ270" s="49"/>
      <c r="BR270" s="49"/>
      <c r="BS270" s="57"/>
      <c r="BT270" s="49"/>
      <c r="BU270" s="49"/>
      <c r="BV270" s="57"/>
      <c r="BW270" s="19"/>
      <c r="BX270" s="59"/>
      <c r="BY270" s="27"/>
      <c r="BZ270" s="59"/>
      <c r="CA270" s="57"/>
      <c r="CB270" s="49"/>
      <c r="CC270" s="49"/>
      <c r="CD270" s="49"/>
      <c r="CE270" s="49"/>
      <c r="CF270" s="49"/>
      <c r="CG270" s="49"/>
      <c r="CH270" s="57"/>
      <c r="CI270" s="49"/>
      <c r="CJ270" s="49"/>
      <c r="CK270" s="57"/>
      <c r="CL270" s="49"/>
      <c r="CM270" s="49"/>
      <c r="CN270" s="49"/>
      <c r="CO270" s="49"/>
      <c r="CP270" s="49"/>
      <c r="CQ270" s="49"/>
      <c r="CR270" s="57"/>
      <c r="CS270" s="49"/>
      <c r="CT270" s="49"/>
      <c r="CU270" s="49"/>
      <c r="CV270" s="49"/>
      <c r="CW270" s="49"/>
      <c r="CX270" s="49"/>
      <c r="CY270" s="57"/>
      <c r="CZ270" s="49"/>
      <c r="DA270" s="49"/>
      <c r="DB270" s="49"/>
      <c r="DC270" s="49"/>
      <c r="DD270" s="49"/>
      <c r="DE270" s="49"/>
      <c r="DF270" s="57"/>
      <c r="DG270" s="49"/>
      <c r="DH270" s="49"/>
      <c r="DI270" s="49"/>
      <c r="DJ270" s="49"/>
      <c r="DK270" s="27"/>
      <c r="DL270" s="49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59"/>
      <c r="EC270" s="59"/>
      <c r="ED270" s="59"/>
      <c r="EE270" s="14"/>
      <c r="EF270" s="14"/>
      <c r="GN270" s="48"/>
    </row>
    <row r="271" spans="2:196" x14ac:dyDescent="0.25">
      <c r="B271" s="50"/>
      <c r="C271" s="50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9"/>
      <c r="BI271" s="49"/>
      <c r="BJ271" s="57"/>
      <c r="BK271" s="59"/>
      <c r="BL271" s="59"/>
      <c r="BM271" s="57"/>
      <c r="BN271" s="49"/>
      <c r="BO271" s="49"/>
      <c r="BP271" s="57"/>
      <c r="BQ271" s="49"/>
      <c r="BR271" s="49"/>
      <c r="BS271" s="57"/>
      <c r="BT271" s="49"/>
      <c r="BU271" s="49"/>
      <c r="BV271" s="57"/>
      <c r="BW271" s="19"/>
      <c r="BX271" s="59"/>
      <c r="BY271" s="27"/>
      <c r="BZ271" s="59"/>
      <c r="CA271" s="57"/>
      <c r="CB271" s="49"/>
      <c r="CC271" s="49"/>
      <c r="CD271" s="49"/>
      <c r="CE271" s="49"/>
      <c r="CF271" s="49"/>
      <c r="CG271" s="49"/>
      <c r="CH271" s="57"/>
      <c r="CI271" s="49"/>
      <c r="CJ271" s="49"/>
      <c r="CK271" s="57"/>
      <c r="CL271" s="49"/>
      <c r="CM271" s="49"/>
      <c r="CN271" s="49"/>
      <c r="CO271" s="49"/>
      <c r="CP271" s="49"/>
      <c r="CQ271" s="49"/>
      <c r="CR271" s="57"/>
      <c r="CS271" s="49"/>
      <c r="CT271" s="49"/>
      <c r="CU271" s="49"/>
      <c r="CV271" s="49"/>
      <c r="CW271" s="49"/>
      <c r="CX271" s="49"/>
      <c r="CY271" s="57"/>
      <c r="CZ271" s="49"/>
      <c r="DA271" s="49"/>
      <c r="DB271" s="49"/>
      <c r="DC271" s="49"/>
      <c r="DD271" s="49"/>
      <c r="DE271" s="49"/>
      <c r="DF271" s="57"/>
      <c r="DG271" s="49"/>
      <c r="DH271" s="49"/>
      <c r="DI271" s="49"/>
      <c r="DJ271" s="49"/>
      <c r="DK271" s="27"/>
      <c r="DL271" s="49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59"/>
      <c r="EC271" s="59"/>
      <c r="ED271" s="59"/>
      <c r="EE271" s="14"/>
      <c r="EF271" s="14"/>
      <c r="GN271" s="48"/>
    </row>
    <row r="272" spans="2:196" x14ac:dyDescent="0.25">
      <c r="B272" s="50"/>
      <c r="C272" s="50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9"/>
      <c r="BI272" s="49"/>
      <c r="BJ272" s="57"/>
      <c r="BK272" s="59"/>
      <c r="BL272" s="59"/>
      <c r="BM272" s="57"/>
      <c r="BN272" s="49"/>
      <c r="BO272" s="49"/>
      <c r="BP272" s="57"/>
      <c r="BQ272" s="49"/>
      <c r="BR272" s="49"/>
      <c r="BS272" s="57"/>
      <c r="BT272" s="49"/>
      <c r="BU272" s="49"/>
      <c r="BV272" s="57"/>
      <c r="BW272" s="19"/>
      <c r="BX272" s="59"/>
      <c r="BY272" s="27"/>
      <c r="BZ272" s="59"/>
      <c r="CA272" s="57"/>
      <c r="CB272" s="49"/>
      <c r="CC272" s="49"/>
      <c r="CD272" s="49"/>
      <c r="CE272" s="49"/>
      <c r="CF272" s="49"/>
      <c r="CG272" s="49"/>
      <c r="CH272" s="57"/>
      <c r="CI272" s="49"/>
      <c r="CJ272" s="49"/>
      <c r="CK272" s="57"/>
      <c r="CL272" s="49"/>
      <c r="CM272" s="49"/>
      <c r="CN272" s="49"/>
      <c r="CO272" s="49"/>
      <c r="CP272" s="49"/>
      <c r="CQ272" s="49"/>
      <c r="CR272" s="57"/>
      <c r="CS272" s="49"/>
      <c r="CT272" s="49"/>
      <c r="CU272" s="49"/>
      <c r="CV272" s="49"/>
      <c r="CW272" s="49"/>
      <c r="CX272" s="49"/>
      <c r="CY272" s="57"/>
      <c r="CZ272" s="49"/>
      <c r="DA272" s="49"/>
      <c r="DB272" s="49"/>
      <c r="DC272" s="49"/>
      <c r="DD272" s="49"/>
      <c r="DE272" s="49"/>
      <c r="DF272" s="57"/>
      <c r="DG272" s="49"/>
      <c r="DH272" s="49"/>
      <c r="DI272" s="49"/>
      <c r="DJ272" s="49"/>
      <c r="DK272" s="27"/>
      <c r="DL272" s="49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59"/>
      <c r="EC272" s="59"/>
      <c r="ED272" s="59"/>
      <c r="EE272" s="14"/>
      <c r="EF272" s="14"/>
      <c r="GN272" s="48"/>
    </row>
    <row r="273" spans="2:196" x14ac:dyDescent="0.25">
      <c r="B273" s="50"/>
      <c r="C273" s="50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9"/>
      <c r="BI273" s="49"/>
      <c r="BJ273" s="57"/>
      <c r="BK273" s="59"/>
      <c r="BL273" s="59"/>
      <c r="BM273" s="57"/>
      <c r="BN273" s="49"/>
      <c r="BO273" s="49"/>
      <c r="BP273" s="57"/>
      <c r="BQ273" s="49"/>
      <c r="BR273" s="49"/>
      <c r="BS273" s="57"/>
      <c r="BT273" s="49"/>
      <c r="BU273" s="49"/>
      <c r="BV273" s="57"/>
      <c r="BW273" s="19"/>
      <c r="BX273" s="59"/>
      <c r="BY273" s="27"/>
      <c r="BZ273" s="59"/>
      <c r="CA273" s="57"/>
      <c r="CB273" s="49"/>
      <c r="CC273" s="49"/>
      <c r="CD273" s="49"/>
      <c r="CE273" s="49"/>
      <c r="CF273" s="49"/>
      <c r="CG273" s="49"/>
      <c r="CH273" s="57"/>
      <c r="CI273" s="49"/>
      <c r="CJ273" s="49"/>
      <c r="CK273" s="57"/>
      <c r="CL273" s="49"/>
      <c r="CM273" s="49"/>
      <c r="CN273" s="49"/>
      <c r="CO273" s="49"/>
      <c r="CP273" s="49"/>
      <c r="CQ273" s="49"/>
      <c r="CR273" s="57"/>
      <c r="CS273" s="49"/>
      <c r="CT273" s="49"/>
      <c r="CU273" s="49"/>
      <c r="CV273" s="49"/>
      <c r="CW273" s="49"/>
      <c r="CX273" s="49"/>
      <c r="CY273" s="57"/>
      <c r="CZ273" s="49"/>
      <c r="DA273" s="49"/>
      <c r="DB273" s="49"/>
      <c r="DC273" s="49"/>
      <c r="DD273" s="49"/>
      <c r="DE273" s="49"/>
      <c r="DF273" s="57"/>
      <c r="DG273" s="49"/>
      <c r="DH273" s="49"/>
      <c r="DI273" s="49"/>
      <c r="DJ273" s="49"/>
      <c r="DK273" s="27"/>
      <c r="DL273" s="49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59"/>
      <c r="EC273" s="59"/>
      <c r="ED273" s="59"/>
      <c r="EE273" s="14"/>
      <c r="EF273" s="14"/>
      <c r="GN273" s="48"/>
    </row>
    <row r="274" spans="2:196" x14ac:dyDescent="0.25">
      <c r="B274" s="50"/>
      <c r="C274" s="50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9"/>
      <c r="BI274" s="49"/>
      <c r="BJ274" s="57"/>
      <c r="BK274" s="59"/>
      <c r="BL274" s="59"/>
      <c r="BM274" s="57"/>
      <c r="BN274" s="49"/>
      <c r="BO274" s="49"/>
      <c r="BP274" s="57"/>
      <c r="BQ274" s="49"/>
      <c r="BR274" s="49"/>
      <c r="BS274" s="57"/>
      <c r="BT274" s="49"/>
      <c r="BU274" s="49"/>
      <c r="BV274" s="57"/>
      <c r="BW274" s="19"/>
      <c r="BX274" s="59"/>
      <c r="BY274" s="27"/>
      <c r="BZ274" s="59"/>
      <c r="CA274" s="57"/>
      <c r="CB274" s="49"/>
      <c r="CC274" s="49"/>
      <c r="CD274" s="49"/>
      <c r="CE274" s="49"/>
      <c r="CF274" s="49"/>
      <c r="CG274" s="49"/>
      <c r="CH274" s="57"/>
      <c r="CI274" s="49"/>
      <c r="CJ274" s="49"/>
      <c r="CK274" s="57"/>
      <c r="CL274" s="49"/>
      <c r="CM274" s="49"/>
      <c r="CN274" s="49"/>
      <c r="CO274" s="49"/>
      <c r="CP274" s="49"/>
      <c r="CQ274" s="49"/>
      <c r="CR274" s="57"/>
      <c r="CS274" s="49"/>
      <c r="CT274" s="49"/>
      <c r="CU274" s="49"/>
      <c r="CV274" s="49"/>
      <c r="CW274" s="49"/>
      <c r="CX274" s="49"/>
      <c r="CY274" s="57"/>
      <c r="CZ274" s="49"/>
      <c r="DA274" s="49"/>
      <c r="DB274" s="49"/>
      <c r="DC274" s="49"/>
      <c r="DD274" s="49"/>
      <c r="DE274" s="49"/>
      <c r="DF274" s="57"/>
      <c r="DG274" s="49"/>
      <c r="DH274" s="49"/>
      <c r="DI274" s="49"/>
      <c r="DJ274" s="49"/>
      <c r="DK274" s="27"/>
      <c r="DL274" s="49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59"/>
      <c r="EC274" s="59"/>
      <c r="ED274" s="59"/>
      <c r="EE274" s="14"/>
      <c r="EF274" s="14"/>
      <c r="GN274" s="48"/>
    </row>
    <row r="275" spans="2:196" x14ac:dyDescent="0.25">
      <c r="B275" s="50"/>
      <c r="C275" s="50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9"/>
      <c r="BI275" s="49"/>
      <c r="BJ275" s="57"/>
      <c r="BK275" s="59"/>
      <c r="BL275" s="59"/>
      <c r="BM275" s="57"/>
      <c r="BN275" s="49"/>
      <c r="BO275" s="49"/>
      <c r="BP275" s="57"/>
      <c r="BQ275" s="49"/>
      <c r="BR275" s="49"/>
      <c r="BS275" s="57"/>
      <c r="BT275" s="49"/>
      <c r="BU275" s="49"/>
      <c r="BV275" s="57"/>
      <c r="BW275" s="19"/>
      <c r="BX275" s="59"/>
      <c r="BY275" s="27"/>
      <c r="BZ275" s="59"/>
      <c r="CA275" s="57"/>
      <c r="CB275" s="49"/>
      <c r="CC275" s="49"/>
      <c r="CD275" s="49"/>
      <c r="CE275" s="49"/>
      <c r="CF275" s="49"/>
      <c r="CG275" s="49"/>
      <c r="CH275" s="57"/>
      <c r="CI275" s="49"/>
      <c r="CJ275" s="49"/>
      <c r="CK275" s="57"/>
      <c r="CL275" s="49"/>
      <c r="CM275" s="49"/>
      <c r="CN275" s="49"/>
      <c r="CO275" s="49"/>
      <c r="CP275" s="49"/>
      <c r="CQ275" s="49"/>
      <c r="CR275" s="57"/>
      <c r="CS275" s="49"/>
      <c r="CT275" s="49"/>
      <c r="CU275" s="49"/>
      <c r="CV275" s="49"/>
      <c r="CW275" s="49"/>
      <c r="CX275" s="49"/>
      <c r="CY275" s="57"/>
      <c r="CZ275" s="49"/>
      <c r="DA275" s="49"/>
      <c r="DB275" s="49"/>
      <c r="DC275" s="49"/>
      <c r="DD275" s="49"/>
      <c r="DE275" s="49"/>
      <c r="DF275" s="57"/>
      <c r="DG275" s="49"/>
      <c r="DH275" s="49"/>
      <c r="DI275" s="49"/>
      <c r="DJ275" s="49"/>
      <c r="DK275" s="27"/>
      <c r="DL275" s="49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59"/>
      <c r="EC275" s="59"/>
      <c r="ED275" s="59"/>
      <c r="EE275" s="14"/>
      <c r="EF275" s="14"/>
      <c r="GN275" s="48"/>
    </row>
    <row r="276" spans="2:196" x14ac:dyDescent="0.25">
      <c r="B276" s="50"/>
      <c r="C276" s="50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9"/>
      <c r="BI276" s="49"/>
      <c r="BJ276" s="57"/>
      <c r="BK276" s="59"/>
      <c r="BL276" s="59"/>
      <c r="BM276" s="57"/>
      <c r="BN276" s="49"/>
      <c r="BO276" s="49"/>
      <c r="BP276" s="57"/>
      <c r="BQ276" s="49"/>
      <c r="BR276" s="49"/>
      <c r="BS276" s="57"/>
      <c r="BT276" s="49"/>
      <c r="BU276" s="49"/>
      <c r="BV276" s="57"/>
      <c r="BW276" s="19"/>
      <c r="BX276" s="59"/>
      <c r="BY276" s="27"/>
      <c r="BZ276" s="59"/>
      <c r="CA276" s="57"/>
      <c r="CB276" s="49"/>
      <c r="CC276" s="49"/>
      <c r="CD276" s="49"/>
      <c r="CE276" s="49"/>
      <c r="CF276" s="49"/>
      <c r="CG276" s="49"/>
      <c r="CH276" s="57"/>
      <c r="CI276" s="49"/>
      <c r="CJ276" s="49"/>
      <c r="CK276" s="57"/>
      <c r="CL276" s="49"/>
      <c r="CM276" s="49"/>
      <c r="CN276" s="49"/>
      <c r="CO276" s="49"/>
      <c r="CP276" s="49"/>
      <c r="CQ276" s="49"/>
      <c r="CR276" s="57"/>
      <c r="CS276" s="49"/>
      <c r="CT276" s="49"/>
      <c r="CU276" s="49"/>
      <c r="CV276" s="49"/>
      <c r="CW276" s="49"/>
      <c r="CX276" s="49"/>
      <c r="CY276" s="57"/>
      <c r="CZ276" s="49"/>
      <c r="DA276" s="49"/>
      <c r="DB276" s="49"/>
      <c r="DC276" s="49"/>
      <c r="DD276" s="49"/>
      <c r="DE276" s="49"/>
      <c r="DF276" s="57"/>
      <c r="DG276" s="49"/>
      <c r="DH276" s="49"/>
      <c r="DI276" s="49"/>
      <c r="DJ276" s="49"/>
      <c r="DK276" s="27"/>
      <c r="DL276" s="49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59"/>
      <c r="EC276" s="59"/>
      <c r="ED276" s="59"/>
      <c r="EE276" s="14"/>
      <c r="EF276" s="14"/>
      <c r="GN276" s="48"/>
    </row>
    <row r="277" spans="2:196" x14ac:dyDescent="0.25">
      <c r="B277" s="50"/>
      <c r="C277" s="50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9"/>
      <c r="BI277" s="49"/>
      <c r="BJ277" s="57"/>
      <c r="BK277" s="59"/>
      <c r="BL277" s="59"/>
      <c r="BM277" s="57"/>
      <c r="BN277" s="49"/>
      <c r="BO277" s="49"/>
      <c r="BP277" s="57"/>
      <c r="BQ277" s="49"/>
      <c r="BR277" s="49"/>
      <c r="BS277" s="57"/>
      <c r="BT277" s="49"/>
      <c r="BU277" s="49"/>
      <c r="BV277" s="57"/>
      <c r="BW277" s="19"/>
      <c r="BX277" s="59"/>
      <c r="BY277" s="27"/>
      <c r="BZ277" s="59"/>
      <c r="CA277" s="57"/>
      <c r="CB277" s="49"/>
      <c r="CC277" s="49"/>
      <c r="CD277" s="49"/>
      <c r="CE277" s="49"/>
      <c r="CF277" s="49"/>
      <c r="CG277" s="49"/>
      <c r="CH277" s="57"/>
      <c r="CI277" s="49"/>
      <c r="CJ277" s="49"/>
      <c r="CK277" s="57"/>
      <c r="CL277" s="49"/>
      <c r="CM277" s="49"/>
      <c r="CN277" s="49"/>
      <c r="CO277" s="49"/>
      <c r="CP277" s="49"/>
      <c r="CQ277" s="49"/>
      <c r="CR277" s="57"/>
      <c r="CS277" s="49"/>
      <c r="CT277" s="49"/>
      <c r="CU277" s="49"/>
      <c r="CV277" s="49"/>
      <c r="CW277" s="49"/>
      <c r="CX277" s="49"/>
      <c r="CY277" s="57"/>
      <c r="CZ277" s="49"/>
      <c r="DA277" s="49"/>
      <c r="DB277" s="49"/>
      <c r="DC277" s="49"/>
      <c r="DD277" s="49"/>
      <c r="DE277" s="49"/>
      <c r="DF277" s="57"/>
      <c r="DG277" s="49"/>
      <c r="DH277" s="49"/>
      <c r="DI277" s="49"/>
      <c r="DJ277" s="49"/>
      <c r="DK277" s="27"/>
      <c r="DL277" s="49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59"/>
      <c r="EC277" s="59"/>
      <c r="ED277" s="59"/>
      <c r="EE277" s="14"/>
      <c r="EF277" s="14"/>
      <c r="GN277" s="48"/>
    </row>
    <row r="278" spans="2:196" x14ac:dyDescent="0.25">
      <c r="B278" s="50"/>
      <c r="C278" s="50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9"/>
      <c r="BI278" s="49"/>
      <c r="BJ278" s="57"/>
      <c r="BK278" s="59"/>
      <c r="BL278" s="59"/>
      <c r="BM278" s="57"/>
      <c r="BN278" s="49"/>
      <c r="BO278" s="49"/>
      <c r="BP278" s="57"/>
      <c r="BQ278" s="49"/>
      <c r="BR278" s="49"/>
      <c r="BS278" s="57"/>
      <c r="BT278" s="49"/>
      <c r="BU278" s="49"/>
      <c r="BV278" s="57"/>
      <c r="BW278" s="19"/>
      <c r="BX278" s="59"/>
      <c r="BY278" s="27"/>
      <c r="BZ278" s="59"/>
      <c r="CA278" s="57"/>
      <c r="CB278" s="49"/>
      <c r="CC278" s="49"/>
      <c r="CD278" s="49"/>
      <c r="CE278" s="49"/>
      <c r="CF278" s="49"/>
      <c r="CG278" s="49"/>
      <c r="CH278" s="57"/>
      <c r="CI278" s="49"/>
      <c r="CJ278" s="49"/>
      <c r="CK278" s="57"/>
      <c r="CL278" s="49"/>
      <c r="CM278" s="49"/>
      <c r="CN278" s="49"/>
      <c r="CO278" s="49"/>
      <c r="CP278" s="49"/>
      <c r="CQ278" s="49"/>
      <c r="CR278" s="57"/>
      <c r="CS278" s="49"/>
      <c r="CT278" s="49"/>
      <c r="CU278" s="49"/>
      <c r="CV278" s="49"/>
      <c r="CW278" s="49"/>
      <c r="CX278" s="49"/>
      <c r="CY278" s="57"/>
      <c r="CZ278" s="49"/>
      <c r="DA278" s="49"/>
      <c r="DB278" s="49"/>
      <c r="DC278" s="49"/>
      <c r="DD278" s="49"/>
      <c r="DE278" s="49"/>
      <c r="DF278" s="57"/>
      <c r="DG278" s="49"/>
      <c r="DH278" s="49"/>
      <c r="DI278" s="49"/>
      <c r="DJ278" s="49"/>
      <c r="DK278" s="27"/>
      <c r="DL278" s="49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59"/>
      <c r="EC278" s="59"/>
      <c r="ED278" s="59"/>
      <c r="EE278" s="14"/>
      <c r="EF278" s="14"/>
      <c r="GN278" s="48"/>
    </row>
    <row r="279" spans="2:196" x14ac:dyDescent="0.25">
      <c r="B279" s="50"/>
      <c r="C279" s="50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9"/>
      <c r="BI279" s="49"/>
      <c r="BJ279" s="57"/>
      <c r="BK279" s="59"/>
      <c r="BL279" s="59"/>
      <c r="BM279" s="57"/>
      <c r="BN279" s="49"/>
      <c r="BO279" s="49"/>
      <c r="BP279" s="57"/>
      <c r="BQ279" s="49"/>
      <c r="BR279" s="49"/>
      <c r="BS279" s="57"/>
      <c r="BT279" s="49"/>
      <c r="BU279" s="49"/>
      <c r="BV279" s="57"/>
      <c r="BW279" s="19"/>
      <c r="BX279" s="59"/>
      <c r="BY279" s="27"/>
      <c r="BZ279" s="59"/>
      <c r="CA279" s="57"/>
      <c r="CB279" s="49"/>
      <c r="CC279" s="49"/>
      <c r="CD279" s="49"/>
      <c r="CE279" s="49"/>
      <c r="CF279" s="49"/>
      <c r="CG279" s="49"/>
      <c r="CH279" s="57"/>
      <c r="CI279" s="49"/>
      <c r="CJ279" s="49"/>
      <c r="CK279" s="57"/>
      <c r="CL279" s="49"/>
      <c r="CM279" s="49"/>
      <c r="CN279" s="49"/>
      <c r="CO279" s="49"/>
      <c r="CP279" s="49"/>
      <c r="CQ279" s="49"/>
      <c r="CR279" s="57"/>
      <c r="CS279" s="49"/>
      <c r="CT279" s="49"/>
      <c r="CU279" s="49"/>
      <c r="CV279" s="49"/>
      <c r="CW279" s="49"/>
      <c r="CX279" s="49"/>
      <c r="CY279" s="57"/>
      <c r="CZ279" s="49"/>
      <c r="DA279" s="49"/>
      <c r="DB279" s="49"/>
      <c r="DC279" s="49"/>
      <c r="DD279" s="49"/>
      <c r="DE279" s="49"/>
      <c r="DF279" s="57"/>
      <c r="DG279" s="49"/>
      <c r="DH279" s="49"/>
      <c r="DI279" s="49"/>
      <c r="DJ279" s="49"/>
      <c r="DK279" s="27"/>
      <c r="DL279" s="49"/>
      <c r="DM279" s="27"/>
      <c r="DN279" s="27"/>
      <c r="DO279" s="27"/>
      <c r="DP279" s="27"/>
      <c r="DQ279" s="27"/>
      <c r="DR279" s="27"/>
      <c r="DS279" s="27"/>
      <c r="DT279" s="27"/>
      <c r="DU279" s="27"/>
      <c r="DV279" s="27"/>
      <c r="DW279" s="27"/>
      <c r="DX279" s="27"/>
      <c r="DY279" s="27"/>
      <c r="DZ279" s="27"/>
      <c r="EA279" s="27"/>
      <c r="EB279" s="59"/>
      <c r="EC279" s="59"/>
      <c r="ED279" s="59"/>
      <c r="EE279" s="14"/>
      <c r="EF279" s="14"/>
      <c r="GN279" s="48"/>
    </row>
    <row r="280" spans="2:196" x14ac:dyDescent="0.25">
      <c r="B280" s="50"/>
      <c r="C280" s="50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9"/>
      <c r="BI280" s="49"/>
      <c r="BJ280" s="57"/>
      <c r="BK280" s="59"/>
      <c r="BL280" s="59"/>
      <c r="BM280" s="57"/>
      <c r="BN280" s="49"/>
      <c r="BO280" s="49"/>
      <c r="BP280" s="57"/>
      <c r="BQ280" s="49"/>
      <c r="BR280" s="49"/>
      <c r="BS280" s="57"/>
      <c r="BT280" s="49"/>
      <c r="BU280" s="49"/>
      <c r="BV280" s="57"/>
      <c r="BW280" s="19"/>
      <c r="BX280" s="59"/>
      <c r="BY280" s="27"/>
      <c r="BZ280" s="59"/>
      <c r="CA280" s="57"/>
      <c r="CB280" s="49"/>
      <c r="CC280" s="49"/>
      <c r="CD280" s="49"/>
      <c r="CE280" s="49"/>
      <c r="CF280" s="49"/>
      <c r="CG280" s="49"/>
      <c r="CH280" s="57"/>
      <c r="CI280" s="49"/>
      <c r="CJ280" s="49"/>
      <c r="CK280" s="57"/>
      <c r="CL280" s="49"/>
      <c r="CM280" s="49"/>
      <c r="CN280" s="49"/>
      <c r="CO280" s="49"/>
      <c r="CP280" s="49"/>
      <c r="CQ280" s="49"/>
      <c r="CR280" s="57"/>
      <c r="CS280" s="49"/>
      <c r="CT280" s="49"/>
      <c r="CU280" s="49"/>
      <c r="CV280" s="49"/>
      <c r="CW280" s="49"/>
      <c r="CX280" s="49"/>
      <c r="CY280" s="57"/>
      <c r="CZ280" s="49"/>
      <c r="DA280" s="49"/>
      <c r="DB280" s="49"/>
      <c r="DC280" s="49"/>
      <c r="DD280" s="49"/>
      <c r="DE280" s="49"/>
      <c r="DF280" s="57"/>
      <c r="DG280" s="49"/>
      <c r="DH280" s="49"/>
      <c r="DI280" s="49"/>
      <c r="DJ280" s="49"/>
      <c r="DK280" s="27"/>
      <c r="DL280" s="49"/>
      <c r="DM280" s="27"/>
      <c r="DN280" s="27"/>
      <c r="DO280" s="27"/>
      <c r="DP280" s="27"/>
      <c r="DQ280" s="27"/>
      <c r="DR280" s="27"/>
      <c r="DS280" s="27"/>
      <c r="DT280" s="27"/>
      <c r="DU280" s="27"/>
      <c r="DV280" s="27"/>
      <c r="DW280" s="27"/>
      <c r="DX280" s="27"/>
      <c r="DY280" s="27"/>
      <c r="DZ280" s="27"/>
      <c r="EA280" s="27"/>
      <c r="EB280" s="59"/>
      <c r="EC280" s="59"/>
      <c r="ED280" s="59"/>
      <c r="EE280" s="14"/>
      <c r="EF280" s="14"/>
      <c r="GN280" s="48"/>
    </row>
    <row r="281" spans="2:196" x14ac:dyDescent="0.25">
      <c r="B281" s="50"/>
      <c r="C281" s="50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9"/>
      <c r="BI281" s="49"/>
      <c r="BJ281" s="57"/>
      <c r="BK281" s="59"/>
      <c r="BL281" s="59"/>
      <c r="BM281" s="57"/>
      <c r="BN281" s="49"/>
      <c r="BO281" s="49"/>
      <c r="BP281" s="57"/>
      <c r="BQ281" s="49"/>
      <c r="BR281" s="49"/>
      <c r="BS281" s="57"/>
      <c r="BT281" s="49"/>
      <c r="BU281" s="49"/>
      <c r="BV281" s="57"/>
      <c r="BW281" s="19"/>
      <c r="BX281" s="59"/>
      <c r="BY281" s="27"/>
      <c r="BZ281" s="59"/>
      <c r="CA281" s="57"/>
      <c r="CB281" s="49"/>
      <c r="CC281" s="49"/>
      <c r="CD281" s="49"/>
      <c r="CE281" s="49"/>
      <c r="CF281" s="49"/>
      <c r="CG281" s="49"/>
      <c r="CH281" s="57"/>
      <c r="CI281" s="49"/>
      <c r="CJ281" s="49"/>
      <c r="CK281" s="57"/>
      <c r="CL281" s="49"/>
      <c r="CM281" s="49"/>
      <c r="CN281" s="49"/>
      <c r="CO281" s="49"/>
      <c r="CP281" s="49"/>
      <c r="CQ281" s="49"/>
      <c r="CR281" s="57"/>
      <c r="CS281" s="49"/>
      <c r="CT281" s="49"/>
      <c r="CU281" s="49"/>
      <c r="CV281" s="49"/>
      <c r="CW281" s="49"/>
      <c r="CX281" s="49"/>
      <c r="CY281" s="57"/>
      <c r="CZ281" s="49"/>
      <c r="DA281" s="49"/>
      <c r="DB281" s="49"/>
      <c r="DC281" s="49"/>
      <c r="DD281" s="49"/>
      <c r="DE281" s="49"/>
      <c r="DF281" s="57"/>
      <c r="DG281" s="49"/>
      <c r="DH281" s="49"/>
      <c r="DI281" s="49"/>
      <c r="DJ281" s="49"/>
      <c r="DK281" s="27"/>
      <c r="DL281" s="49"/>
      <c r="DM281" s="27"/>
      <c r="DN281" s="27"/>
      <c r="DO281" s="27"/>
      <c r="DP281" s="27"/>
      <c r="DQ281" s="27"/>
      <c r="DR281" s="27"/>
      <c r="DS281" s="27"/>
      <c r="DT281" s="27"/>
      <c r="DU281" s="27"/>
      <c r="DV281" s="27"/>
      <c r="DW281" s="27"/>
      <c r="DX281" s="27"/>
      <c r="DY281" s="27"/>
      <c r="DZ281" s="27"/>
      <c r="EA281" s="27"/>
      <c r="EB281" s="59"/>
      <c r="EC281" s="59"/>
      <c r="ED281" s="59"/>
      <c r="EE281" s="14"/>
      <c r="EF281" s="14"/>
      <c r="GN281" s="48"/>
    </row>
    <row r="282" spans="2:196" x14ac:dyDescent="0.25">
      <c r="B282" s="50"/>
      <c r="C282" s="50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9"/>
      <c r="BI282" s="49"/>
      <c r="BJ282" s="57"/>
      <c r="BK282" s="59"/>
      <c r="BL282" s="59"/>
      <c r="BM282" s="57"/>
      <c r="BN282" s="49"/>
      <c r="BO282" s="49"/>
      <c r="BP282" s="57"/>
      <c r="BQ282" s="49"/>
      <c r="BR282" s="49"/>
      <c r="BS282" s="57"/>
      <c r="BT282" s="49"/>
      <c r="BU282" s="49"/>
      <c r="BV282" s="57"/>
      <c r="BW282" s="19"/>
      <c r="BX282" s="59"/>
      <c r="BY282" s="27"/>
      <c r="BZ282" s="59"/>
      <c r="CA282" s="57"/>
      <c r="CB282" s="49"/>
      <c r="CC282" s="49"/>
      <c r="CD282" s="49"/>
      <c r="CE282" s="49"/>
      <c r="CF282" s="49"/>
      <c r="CG282" s="49"/>
      <c r="CH282" s="57"/>
      <c r="CI282" s="49"/>
      <c r="CJ282" s="49"/>
      <c r="CK282" s="57"/>
      <c r="CL282" s="49"/>
      <c r="CM282" s="49"/>
      <c r="CN282" s="49"/>
      <c r="CO282" s="49"/>
      <c r="CP282" s="49"/>
      <c r="CQ282" s="49"/>
      <c r="CR282" s="57"/>
      <c r="CS282" s="49"/>
      <c r="CT282" s="49"/>
      <c r="CU282" s="49"/>
      <c r="CV282" s="49"/>
      <c r="CW282" s="49"/>
      <c r="CX282" s="49"/>
      <c r="CY282" s="57"/>
      <c r="CZ282" s="49"/>
      <c r="DA282" s="49"/>
      <c r="DB282" s="49"/>
      <c r="DC282" s="49"/>
      <c r="DD282" s="49"/>
      <c r="DE282" s="49"/>
      <c r="DF282" s="57"/>
      <c r="DG282" s="49"/>
      <c r="DH282" s="49"/>
      <c r="DI282" s="49"/>
      <c r="DJ282" s="49"/>
      <c r="DK282" s="27"/>
      <c r="DL282" s="49"/>
      <c r="DM282" s="27"/>
      <c r="DN282" s="27"/>
      <c r="DO282" s="27"/>
      <c r="DP282" s="27"/>
      <c r="DQ282" s="27"/>
      <c r="DR282" s="27"/>
      <c r="DS282" s="27"/>
      <c r="DT282" s="27"/>
      <c r="DU282" s="27"/>
      <c r="DV282" s="27"/>
      <c r="DW282" s="27"/>
      <c r="DX282" s="27"/>
      <c r="DY282" s="27"/>
      <c r="DZ282" s="27"/>
      <c r="EA282" s="27"/>
      <c r="EB282" s="59"/>
      <c r="EC282" s="59"/>
      <c r="ED282" s="59"/>
      <c r="EE282" s="14"/>
      <c r="EF282" s="14"/>
      <c r="GN282" s="48"/>
    </row>
    <row r="283" spans="2:196" x14ac:dyDescent="0.25">
      <c r="B283" s="50"/>
      <c r="C283" s="50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9"/>
      <c r="BI283" s="49"/>
      <c r="BJ283" s="57"/>
      <c r="BK283" s="59"/>
      <c r="BL283" s="59"/>
      <c r="BM283" s="57"/>
      <c r="BN283" s="49"/>
      <c r="BO283" s="49"/>
      <c r="BP283" s="57"/>
      <c r="BQ283" s="49"/>
      <c r="BR283" s="49"/>
      <c r="BS283" s="57"/>
      <c r="BT283" s="49"/>
      <c r="BU283" s="49"/>
      <c r="BV283" s="57"/>
      <c r="BW283" s="19"/>
      <c r="BX283" s="59"/>
      <c r="BY283" s="27"/>
      <c r="BZ283" s="59"/>
      <c r="CA283" s="57"/>
      <c r="CB283" s="49"/>
      <c r="CC283" s="49"/>
      <c r="CD283" s="49"/>
      <c r="CE283" s="49"/>
      <c r="CF283" s="49"/>
      <c r="CG283" s="49"/>
      <c r="CH283" s="57"/>
      <c r="CI283" s="49"/>
      <c r="CJ283" s="49"/>
      <c r="CK283" s="57"/>
      <c r="CL283" s="49"/>
      <c r="CM283" s="49"/>
      <c r="CN283" s="49"/>
      <c r="CO283" s="49"/>
      <c r="CP283" s="49"/>
      <c r="CQ283" s="49"/>
      <c r="CR283" s="57"/>
      <c r="CS283" s="49"/>
      <c r="CT283" s="49"/>
      <c r="CU283" s="49"/>
      <c r="CV283" s="49"/>
      <c r="CW283" s="49"/>
      <c r="CX283" s="49"/>
      <c r="CY283" s="57"/>
      <c r="CZ283" s="49"/>
      <c r="DA283" s="49"/>
      <c r="DB283" s="49"/>
      <c r="DC283" s="49"/>
      <c r="DD283" s="49"/>
      <c r="DE283" s="49"/>
      <c r="DF283" s="57"/>
      <c r="DG283" s="49"/>
      <c r="DH283" s="49"/>
      <c r="DI283" s="49"/>
      <c r="DJ283" s="49"/>
      <c r="DK283" s="27"/>
      <c r="DL283" s="49"/>
      <c r="DM283" s="27"/>
      <c r="DN283" s="27"/>
      <c r="DO283" s="27"/>
      <c r="DP283" s="27"/>
      <c r="DQ283" s="27"/>
      <c r="DR283" s="27"/>
      <c r="DS283" s="27"/>
      <c r="DT283" s="27"/>
      <c r="DU283" s="27"/>
      <c r="DV283" s="27"/>
      <c r="DW283" s="27"/>
      <c r="DX283" s="27"/>
      <c r="DY283" s="27"/>
      <c r="DZ283" s="27"/>
      <c r="EA283" s="27"/>
      <c r="EB283" s="59"/>
      <c r="EC283" s="59"/>
      <c r="ED283" s="59"/>
      <c r="EE283" s="14"/>
      <c r="EF283" s="14"/>
      <c r="GN283" s="48"/>
    </row>
    <row r="284" spans="2:196" x14ac:dyDescent="0.25">
      <c r="B284" s="50"/>
      <c r="C284" s="50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9"/>
      <c r="BI284" s="49"/>
      <c r="BJ284" s="57"/>
      <c r="BK284" s="59"/>
      <c r="BL284" s="59"/>
      <c r="BM284" s="57"/>
      <c r="BN284" s="49"/>
      <c r="BO284" s="49"/>
      <c r="BP284" s="57"/>
      <c r="BQ284" s="49"/>
      <c r="BR284" s="49"/>
      <c r="BS284" s="57"/>
      <c r="BT284" s="49"/>
      <c r="BU284" s="49"/>
      <c r="BV284" s="57"/>
      <c r="BW284" s="19"/>
      <c r="BX284" s="59"/>
      <c r="BY284" s="27"/>
      <c r="BZ284" s="59"/>
      <c r="CA284" s="57"/>
      <c r="CB284" s="49"/>
      <c r="CC284" s="49"/>
      <c r="CD284" s="49"/>
      <c r="CE284" s="49"/>
      <c r="CF284" s="49"/>
      <c r="CG284" s="49"/>
      <c r="CH284" s="57"/>
      <c r="CI284" s="49"/>
      <c r="CJ284" s="49"/>
      <c r="CK284" s="57"/>
      <c r="CL284" s="49"/>
      <c r="CM284" s="49"/>
      <c r="CN284" s="49"/>
      <c r="CO284" s="49"/>
      <c r="CP284" s="49"/>
      <c r="CQ284" s="49"/>
      <c r="CR284" s="57"/>
      <c r="CS284" s="49"/>
      <c r="CT284" s="49"/>
      <c r="CU284" s="49"/>
      <c r="CV284" s="49"/>
      <c r="CW284" s="49"/>
      <c r="CX284" s="49"/>
      <c r="CY284" s="57"/>
      <c r="CZ284" s="49"/>
      <c r="DA284" s="49"/>
      <c r="DB284" s="49"/>
      <c r="DC284" s="49"/>
      <c r="DD284" s="49"/>
      <c r="DE284" s="49"/>
      <c r="DF284" s="57"/>
      <c r="DG284" s="49"/>
      <c r="DH284" s="49"/>
      <c r="DI284" s="49"/>
      <c r="DJ284" s="49"/>
      <c r="DK284" s="27"/>
      <c r="DL284" s="49"/>
      <c r="DM284" s="27"/>
      <c r="DN284" s="27"/>
      <c r="DO284" s="27"/>
      <c r="DP284" s="27"/>
      <c r="DQ284" s="27"/>
      <c r="DR284" s="27"/>
      <c r="DS284" s="27"/>
      <c r="DT284" s="27"/>
      <c r="DU284" s="27"/>
      <c r="DV284" s="27"/>
      <c r="DW284" s="27"/>
      <c r="DX284" s="27"/>
      <c r="DY284" s="27"/>
      <c r="DZ284" s="27"/>
      <c r="EA284" s="27"/>
      <c r="EB284" s="59"/>
      <c r="EC284" s="59"/>
      <c r="ED284" s="59"/>
      <c r="EE284" s="14"/>
      <c r="EF284" s="14"/>
      <c r="GN284" s="48"/>
    </row>
    <row r="285" spans="2:196" x14ac:dyDescent="0.25">
      <c r="B285" s="50"/>
      <c r="C285" s="50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9"/>
      <c r="BI285" s="49"/>
      <c r="BJ285" s="57"/>
      <c r="BK285" s="59"/>
      <c r="BL285" s="59"/>
      <c r="BM285" s="57"/>
      <c r="BN285" s="49"/>
      <c r="BO285" s="49"/>
      <c r="BP285" s="57"/>
      <c r="BQ285" s="49"/>
      <c r="BR285" s="49"/>
      <c r="BS285" s="57"/>
      <c r="BT285" s="49"/>
      <c r="BU285" s="49"/>
      <c r="BV285" s="57"/>
      <c r="BW285" s="19"/>
      <c r="BX285" s="59"/>
      <c r="BY285" s="27"/>
      <c r="BZ285" s="59"/>
      <c r="CA285" s="57"/>
      <c r="CB285" s="49"/>
      <c r="CC285" s="49"/>
      <c r="CD285" s="49"/>
      <c r="CE285" s="49"/>
      <c r="CF285" s="49"/>
      <c r="CG285" s="49"/>
      <c r="CH285" s="57"/>
      <c r="CI285" s="49"/>
      <c r="CJ285" s="49"/>
      <c r="CK285" s="57"/>
      <c r="CL285" s="49"/>
      <c r="CM285" s="49"/>
      <c r="CN285" s="49"/>
      <c r="CO285" s="49"/>
      <c r="CP285" s="49"/>
      <c r="CQ285" s="49"/>
      <c r="CR285" s="57"/>
      <c r="CS285" s="49"/>
      <c r="CT285" s="49"/>
      <c r="CU285" s="49"/>
      <c r="CV285" s="49"/>
      <c r="CW285" s="49"/>
      <c r="CX285" s="49"/>
      <c r="CY285" s="57"/>
      <c r="CZ285" s="49"/>
      <c r="DA285" s="49"/>
      <c r="DB285" s="49"/>
      <c r="DC285" s="49"/>
      <c r="DD285" s="49"/>
      <c r="DE285" s="49"/>
      <c r="DF285" s="57"/>
      <c r="DG285" s="49"/>
      <c r="DH285" s="49"/>
      <c r="DI285" s="49"/>
      <c r="DJ285" s="49"/>
      <c r="DK285" s="27"/>
      <c r="DL285" s="49"/>
      <c r="DM285" s="27"/>
      <c r="DN285" s="27"/>
      <c r="DO285" s="27"/>
      <c r="DP285" s="27"/>
      <c r="DQ285" s="27"/>
      <c r="DR285" s="27"/>
      <c r="DS285" s="27"/>
      <c r="DT285" s="27"/>
      <c r="DU285" s="27"/>
      <c r="DV285" s="27"/>
      <c r="DW285" s="27"/>
      <c r="DX285" s="27"/>
      <c r="DY285" s="27"/>
      <c r="DZ285" s="27"/>
      <c r="EA285" s="27"/>
      <c r="EB285" s="59"/>
      <c r="EC285" s="59"/>
      <c r="ED285" s="59"/>
      <c r="EE285" s="14"/>
      <c r="EF285" s="14"/>
      <c r="GN285" s="48"/>
    </row>
    <row r="286" spans="2:196" x14ac:dyDescent="0.25">
      <c r="B286" s="50"/>
      <c r="C286" s="50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9"/>
      <c r="BI286" s="49"/>
      <c r="BJ286" s="57"/>
      <c r="BK286" s="59"/>
      <c r="BL286" s="59"/>
      <c r="BM286" s="57"/>
      <c r="BN286" s="49"/>
      <c r="BO286" s="49"/>
      <c r="BP286" s="57"/>
      <c r="BQ286" s="49"/>
      <c r="BR286" s="49"/>
      <c r="BS286" s="57"/>
      <c r="BT286" s="49"/>
      <c r="BU286" s="49"/>
      <c r="BV286" s="57"/>
      <c r="BW286" s="19"/>
      <c r="BX286" s="59"/>
      <c r="BY286" s="27"/>
      <c r="BZ286" s="59"/>
      <c r="CA286" s="57"/>
      <c r="CB286" s="49"/>
      <c r="CC286" s="49"/>
      <c r="CD286" s="49"/>
      <c r="CE286" s="49"/>
      <c r="CF286" s="49"/>
      <c r="CG286" s="49"/>
      <c r="CH286" s="57"/>
      <c r="CI286" s="49"/>
      <c r="CJ286" s="49"/>
      <c r="CK286" s="57"/>
      <c r="CL286" s="49"/>
      <c r="CM286" s="49"/>
      <c r="CN286" s="49"/>
      <c r="CO286" s="49"/>
      <c r="CP286" s="49"/>
      <c r="CQ286" s="49"/>
      <c r="CR286" s="57"/>
      <c r="CS286" s="49"/>
      <c r="CT286" s="49"/>
      <c r="CU286" s="49"/>
      <c r="CV286" s="49"/>
      <c r="CW286" s="49"/>
      <c r="CX286" s="49"/>
      <c r="CY286" s="57"/>
      <c r="CZ286" s="49"/>
      <c r="DA286" s="49"/>
      <c r="DB286" s="49"/>
      <c r="DC286" s="49"/>
      <c r="DD286" s="49"/>
      <c r="DE286" s="49"/>
      <c r="DF286" s="57"/>
      <c r="DG286" s="49"/>
      <c r="DH286" s="49"/>
      <c r="DI286" s="49"/>
      <c r="DJ286" s="49"/>
      <c r="DK286" s="27"/>
      <c r="DL286" s="49"/>
      <c r="DM286" s="27"/>
      <c r="DN286" s="27"/>
      <c r="DO286" s="27"/>
      <c r="DP286" s="27"/>
      <c r="DQ286" s="27"/>
      <c r="DR286" s="27"/>
      <c r="DS286" s="27"/>
      <c r="DT286" s="27"/>
      <c r="DU286" s="27"/>
      <c r="DV286" s="27"/>
      <c r="DW286" s="27"/>
      <c r="DX286" s="27"/>
      <c r="DY286" s="27"/>
      <c r="DZ286" s="27"/>
      <c r="EA286" s="27"/>
      <c r="EB286" s="59"/>
      <c r="EC286" s="59"/>
      <c r="ED286" s="59"/>
      <c r="EE286" s="14"/>
      <c r="EF286" s="14"/>
      <c r="GN286" s="48"/>
    </row>
    <row r="287" spans="2:196" x14ac:dyDescent="0.25">
      <c r="B287" s="50"/>
      <c r="C287" s="50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9"/>
      <c r="BI287" s="49"/>
      <c r="BJ287" s="57"/>
      <c r="BK287" s="59"/>
      <c r="BL287" s="59"/>
      <c r="BM287" s="57"/>
      <c r="BN287" s="49"/>
      <c r="BO287" s="49"/>
      <c r="BP287" s="57"/>
      <c r="BQ287" s="49"/>
      <c r="BR287" s="49"/>
      <c r="BS287" s="57"/>
      <c r="BT287" s="49"/>
      <c r="BU287" s="49"/>
      <c r="BV287" s="57"/>
      <c r="BW287" s="19"/>
      <c r="BX287" s="59"/>
      <c r="BY287" s="27"/>
      <c r="BZ287" s="59"/>
      <c r="CA287" s="57"/>
      <c r="CB287" s="49"/>
      <c r="CC287" s="49"/>
      <c r="CD287" s="49"/>
      <c r="CE287" s="49"/>
      <c r="CF287" s="49"/>
      <c r="CG287" s="49"/>
      <c r="CH287" s="57"/>
      <c r="CI287" s="49"/>
      <c r="CJ287" s="49"/>
      <c r="CK287" s="57"/>
      <c r="CL287" s="49"/>
      <c r="CM287" s="49"/>
      <c r="CN287" s="49"/>
      <c r="CO287" s="49"/>
      <c r="CP287" s="49"/>
      <c r="CQ287" s="49"/>
      <c r="CR287" s="57"/>
      <c r="CS287" s="49"/>
      <c r="CT287" s="49"/>
      <c r="CU287" s="49"/>
      <c r="CV287" s="49"/>
      <c r="CW287" s="49"/>
      <c r="CX287" s="49"/>
      <c r="CY287" s="57"/>
      <c r="CZ287" s="49"/>
      <c r="DA287" s="49"/>
      <c r="DB287" s="49"/>
      <c r="DC287" s="49"/>
      <c r="DD287" s="49"/>
      <c r="DE287" s="49"/>
      <c r="DF287" s="57"/>
      <c r="DG287" s="49"/>
      <c r="DH287" s="49"/>
      <c r="DI287" s="49"/>
      <c r="DJ287" s="49"/>
      <c r="DK287" s="27"/>
      <c r="DL287" s="49"/>
      <c r="DM287" s="27"/>
      <c r="DN287" s="27"/>
      <c r="DO287" s="27"/>
      <c r="DP287" s="27"/>
      <c r="DQ287" s="27"/>
      <c r="DR287" s="27"/>
      <c r="DS287" s="27"/>
      <c r="DT287" s="27"/>
      <c r="DU287" s="27"/>
      <c r="DV287" s="27"/>
      <c r="DW287" s="27"/>
      <c r="DX287" s="27"/>
      <c r="DY287" s="27"/>
      <c r="DZ287" s="27"/>
      <c r="EA287" s="27"/>
      <c r="EB287" s="59"/>
      <c r="EC287" s="59"/>
      <c r="ED287" s="59"/>
      <c r="EE287" s="14"/>
      <c r="EF287" s="14"/>
      <c r="GN287" s="48"/>
    </row>
    <row r="288" spans="2:196" x14ac:dyDescent="0.25">
      <c r="B288" s="50"/>
      <c r="C288" s="50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9"/>
      <c r="BI288" s="49"/>
      <c r="BJ288" s="57"/>
      <c r="BK288" s="59"/>
      <c r="BL288" s="59"/>
      <c r="BM288" s="57"/>
      <c r="BN288" s="49"/>
      <c r="BO288" s="49"/>
      <c r="BP288" s="57"/>
      <c r="BQ288" s="49"/>
      <c r="BR288" s="49"/>
      <c r="BS288" s="57"/>
      <c r="BT288" s="49"/>
      <c r="BU288" s="49"/>
      <c r="BV288" s="57"/>
      <c r="BW288" s="19"/>
      <c r="BX288" s="59"/>
      <c r="BY288" s="27"/>
      <c r="BZ288" s="59"/>
      <c r="CA288" s="57"/>
      <c r="CB288" s="49"/>
      <c r="CC288" s="49"/>
      <c r="CD288" s="49"/>
      <c r="CE288" s="49"/>
      <c r="CF288" s="49"/>
      <c r="CG288" s="49"/>
      <c r="CH288" s="57"/>
      <c r="CI288" s="49"/>
      <c r="CJ288" s="49"/>
      <c r="CK288" s="57"/>
      <c r="CL288" s="49"/>
      <c r="CM288" s="49"/>
      <c r="CN288" s="49"/>
      <c r="CO288" s="49"/>
      <c r="CP288" s="49"/>
      <c r="CQ288" s="49"/>
      <c r="CR288" s="57"/>
      <c r="CS288" s="49"/>
      <c r="CT288" s="49"/>
      <c r="CU288" s="49"/>
      <c r="CV288" s="49"/>
      <c r="CW288" s="49"/>
      <c r="CX288" s="49"/>
      <c r="CY288" s="57"/>
      <c r="CZ288" s="49"/>
      <c r="DA288" s="49"/>
      <c r="DB288" s="49"/>
      <c r="DC288" s="49"/>
      <c r="DD288" s="49"/>
      <c r="DE288" s="49"/>
      <c r="DF288" s="57"/>
      <c r="DG288" s="49"/>
      <c r="DH288" s="49"/>
      <c r="DI288" s="49"/>
      <c r="DJ288" s="49"/>
      <c r="DK288" s="27"/>
      <c r="DL288" s="49"/>
      <c r="DM288" s="27"/>
      <c r="DN288" s="27"/>
      <c r="DO288" s="27"/>
      <c r="DP288" s="27"/>
      <c r="DQ288" s="27"/>
      <c r="DR288" s="27"/>
      <c r="DS288" s="27"/>
      <c r="DT288" s="27"/>
      <c r="DU288" s="27"/>
      <c r="DV288" s="27"/>
      <c r="DW288" s="27"/>
      <c r="DX288" s="27"/>
      <c r="DY288" s="27"/>
      <c r="DZ288" s="27"/>
      <c r="EA288" s="27"/>
      <c r="EB288" s="59"/>
      <c r="EC288" s="59"/>
      <c r="ED288" s="59"/>
      <c r="EE288" s="14"/>
      <c r="EF288" s="14"/>
      <c r="GN288" s="48"/>
    </row>
    <row r="289" spans="2:196" x14ac:dyDescent="0.25">
      <c r="B289" s="50"/>
      <c r="C289" s="50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9"/>
      <c r="BI289" s="49"/>
      <c r="BJ289" s="57"/>
      <c r="BK289" s="59"/>
      <c r="BL289" s="59"/>
      <c r="BM289" s="57"/>
      <c r="BN289" s="49"/>
      <c r="BO289" s="49"/>
      <c r="BP289" s="57"/>
      <c r="BQ289" s="49"/>
      <c r="BR289" s="49"/>
      <c r="BS289" s="57"/>
      <c r="BT289" s="49"/>
      <c r="BU289" s="49"/>
      <c r="BV289" s="57"/>
      <c r="BW289" s="19"/>
      <c r="BX289" s="59"/>
      <c r="BY289" s="27"/>
      <c r="BZ289" s="59"/>
      <c r="CA289" s="57"/>
      <c r="CB289" s="49"/>
      <c r="CC289" s="49"/>
      <c r="CD289" s="49"/>
      <c r="CE289" s="49"/>
      <c r="CF289" s="49"/>
      <c r="CG289" s="49"/>
      <c r="CH289" s="57"/>
      <c r="CI289" s="49"/>
      <c r="CJ289" s="49"/>
      <c r="CK289" s="57"/>
      <c r="CL289" s="49"/>
      <c r="CM289" s="49"/>
      <c r="CN289" s="49"/>
      <c r="CO289" s="49"/>
      <c r="CP289" s="49"/>
      <c r="CQ289" s="49"/>
      <c r="CR289" s="57"/>
      <c r="CS289" s="49"/>
      <c r="CT289" s="49"/>
      <c r="CU289" s="49"/>
      <c r="CV289" s="49"/>
      <c r="CW289" s="49"/>
      <c r="CX289" s="49"/>
      <c r="CY289" s="57"/>
      <c r="CZ289" s="49"/>
      <c r="DA289" s="49"/>
      <c r="DB289" s="49"/>
      <c r="DC289" s="49"/>
      <c r="DD289" s="49"/>
      <c r="DE289" s="49"/>
      <c r="DF289" s="57"/>
      <c r="DG289" s="49"/>
      <c r="DH289" s="49"/>
      <c r="DI289" s="49"/>
      <c r="DJ289" s="49"/>
      <c r="DK289" s="27"/>
      <c r="DL289" s="49"/>
      <c r="DM289" s="27"/>
      <c r="DN289" s="27"/>
      <c r="DO289" s="27"/>
      <c r="DP289" s="27"/>
      <c r="DQ289" s="27"/>
      <c r="DR289" s="27"/>
      <c r="DS289" s="27"/>
      <c r="DT289" s="27"/>
      <c r="DU289" s="27"/>
      <c r="DV289" s="27"/>
      <c r="DW289" s="27"/>
      <c r="DX289" s="27"/>
      <c r="DY289" s="27"/>
      <c r="DZ289" s="27"/>
      <c r="EA289" s="27"/>
      <c r="EB289" s="59"/>
      <c r="EC289" s="59"/>
      <c r="ED289" s="59"/>
      <c r="EE289" s="14"/>
      <c r="EF289" s="14"/>
      <c r="GN289" s="48"/>
    </row>
    <row r="290" spans="2:196" x14ac:dyDescent="0.25">
      <c r="B290" s="50"/>
      <c r="C290" s="50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9"/>
      <c r="BI290" s="49"/>
      <c r="BJ290" s="57"/>
      <c r="BK290" s="59"/>
      <c r="BL290" s="59"/>
      <c r="BM290" s="57"/>
      <c r="BN290" s="49"/>
      <c r="BO290" s="49"/>
      <c r="BP290" s="57"/>
      <c r="BQ290" s="49"/>
      <c r="BR290" s="49"/>
      <c r="BS290" s="57"/>
      <c r="BT290" s="49"/>
      <c r="BU290" s="49"/>
      <c r="BV290" s="57"/>
      <c r="BW290" s="19"/>
      <c r="BX290" s="59"/>
      <c r="BY290" s="27"/>
      <c r="BZ290" s="59"/>
      <c r="CA290" s="57"/>
      <c r="CB290" s="49"/>
      <c r="CC290" s="49"/>
      <c r="CD290" s="49"/>
      <c r="CE290" s="49"/>
      <c r="CF290" s="49"/>
      <c r="CG290" s="49"/>
      <c r="CH290" s="57"/>
      <c r="CI290" s="49"/>
      <c r="CJ290" s="49"/>
      <c r="CK290" s="57"/>
      <c r="CL290" s="49"/>
      <c r="CM290" s="49"/>
      <c r="CN290" s="49"/>
      <c r="CO290" s="49"/>
      <c r="CP290" s="49"/>
      <c r="CQ290" s="49"/>
      <c r="CR290" s="57"/>
      <c r="CS290" s="49"/>
      <c r="CT290" s="49"/>
      <c r="CU290" s="49"/>
      <c r="CV290" s="49"/>
      <c r="CW290" s="49"/>
      <c r="CX290" s="49"/>
      <c r="CY290" s="57"/>
      <c r="CZ290" s="49"/>
      <c r="DA290" s="49"/>
      <c r="DB290" s="49"/>
      <c r="DC290" s="49"/>
      <c r="DD290" s="49"/>
      <c r="DE290" s="49"/>
      <c r="DF290" s="57"/>
      <c r="DG290" s="49"/>
      <c r="DH290" s="49"/>
      <c r="DI290" s="49"/>
      <c r="DJ290" s="49"/>
      <c r="DK290" s="27"/>
      <c r="DL290" s="49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59"/>
      <c r="EC290" s="59"/>
      <c r="ED290" s="59"/>
      <c r="EE290" s="14"/>
      <c r="EF290" s="14"/>
      <c r="GN290" s="48"/>
    </row>
    <row r="291" spans="2:196" x14ac:dyDescent="0.25">
      <c r="B291" s="50"/>
      <c r="C291" s="50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9"/>
      <c r="BI291" s="49"/>
      <c r="BJ291" s="57"/>
      <c r="BK291" s="59"/>
      <c r="BL291" s="59"/>
      <c r="BM291" s="57"/>
      <c r="BN291" s="49"/>
      <c r="BO291" s="49"/>
      <c r="BP291" s="57"/>
      <c r="BQ291" s="49"/>
      <c r="BR291" s="49"/>
      <c r="BS291" s="57"/>
      <c r="BT291" s="49"/>
      <c r="BU291" s="49"/>
      <c r="BV291" s="57"/>
      <c r="BW291" s="19"/>
      <c r="BX291" s="59"/>
      <c r="BY291" s="27"/>
      <c r="BZ291" s="59"/>
      <c r="CA291" s="57"/>
      <c r="CB291" s="49"/>
      <c r="CC291" s="49"/>
      <c r="CD291" s="49"/>
      <c r="CE291" s="49"/>
      <c r="CF291" s="49"/>
      <c r="CG291" s="49"/>
      <c r="CH291" s="57"/>
      <c r="CI291" s="49"/>
      <c r="CJ291" s="49"/>
      <c r="CK291" s="57"/>
      <c r="CL291" s="49"/>
      <c r="CM291" s="49"/>
      <c r="CN291" s="49"/>
      <c r="CO291" s="49"/>
      <c r="CP291" s="49"/>
      <c r="CQ291" s="49"/>
      <c r="CR291" s="57"/>
      <c r="CS291" s="49"/>
      <c r="CT291" s="49"/>
      <c r="CU291" s="49"/>
      <c r="CV291" s="49"/>
      <c r="CW291" s="49"/>
      <c r="CX291" s="49"/>
      <c r="CY291" s="57"/>
      <c r="CZ291" s="49"/>
      <c r="DA291" s="49"/>
      <c r="DB291" s="49"/>
      <c r="DC291" s="49"/>
      <c r="DD291" s="49"/>
      <c r="DE291" s="49"/>
      <c r="DF291" s="57"/>
      <c r="DG291" s="49"/>
      <c r="DH291" s="49"/>
      <c r="DI291" s="49"/>
      <c r="DJ291" s="49"/>
      <c r="DK291" s="27"/>
      <c r="DL291" s="49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59"/>
      <c r="EC291" s="59"/>
      <c r="ED291" s="59"/>
      <c r="EE291" s="14"/>
      <c r="EF291" s="14"/>
      <c r="GN291" s="48"/>
    </row>
    <row r="292" spans="2:196" x14ac:dyDescent="0.25">
      <c r="B292" s="50"/>
      <c r="C292" s="50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9"/>
      <c r="BI292" s="49"/>
      <c r="BJ292" s="57"/>
      <c r="BK292" s="59"/>
      <c r="BL292" s="59"/>
      <c r="BM292" s="57"/>
      <c r="BN292" s="49"/>
      <c r="BO292" s="49"/>
      <c r="BP292" s="57"/>
      <c r="BQ292" s="49"/>
      <c r="BR292" s="49"/>
      <c r="BS292" s="57"/>
      <c r="BT292" s="49"/>
      <c r="BU292" s="49"/>
      <c r="BV292" s="57"/>
      <c r="BW292" s="19"/>
      <c r="BX292" s="59"/>
      <c r="BY292" s="27"/>
      <c r="BZ292" s="59"/>
      <c r="CA292" s="57"/>
      <c r="CB292" s="49"/>
      <c r="CC292" s="49"/>
      <c r="CD292" s="49"/>
      <c r="CE292" s="49"/>
      <c r="CF292" s="49"/>
      <c r="CG292" s="49"/>
      <c r="CH292" s="57"/>
      <c r="CI292" s="49"/>
      <c r="CJ292" s="49"/>
      <c r="CK292" s="57"/>
      <c r="CL292" s="49"/>
      <c r="CM292" s="49"/>
      <c r="CN292" s="49"/>
      <c r="CO292" s="49"/>
      <c r="CP292" s="49"/>
      <c r="CQ292" s="49"/>
      <c r="CR292" s="57"/>
      <c r="CS292" s="49"/>
      <c r="CT292" s="49"/>
      <c r="CU292" s="49"/>
      <c r="CV292" s="49"/>
      <c r="CW292" s="49"/>
      <c r="CX292" s="49"/>
      <c r="CY292" s="57"/>
      <c r="CZ292" s="49"/>
      <c r="DA292" s="49"/>
      <c r="DB292" s="49"/>
      <c r="DC292" s="49"/>
      <c r="DD292" s="49"/>
      <c r="DE292" s="49"/>
      <c r="DF292" s="57"/>
      <c r="DG292" s="49"/>
      <c r="DH292" s="49"/>
      <c r="DI292" s="49"/>
      <c r="DJ292" s="49"/>
      <c r="DK292" s="27"/>
      <c r="DL292" s="49"/>
      <c r="DM292" s="27"/>
      <c r="DN292" s="27"/>
      <c r="DO292" s="27"/>
      <c r="DP292" s="27"/>
      <c r="DQ292" s="27"/>
      <c r="DR292" s="27"/>
      <c r="DS292" s="27"/>
      <c r="DT292" s="27"/>
      <c r="DU292" s="27"/>
      <c r="DV292" s="27"/>
      <c r="DW292" s="27"/>
      <c r="DX292" s="27"/>
      <c r="DY292" s="27"/>
      <c r="DZ292" s="27"/>
      <c r="EA292" s="27"/>
      <c r="EB292" s="59"/>
      <c r="EC292" s="59"/>
      <c r="ED292" s="59"/>
      <c r="EE292" s="14"/>
      <c r="EF292" s="14"/>
      <c r="GN292" s="48"/>
    </row>
    <row r="293" spans="2:196" x14ac:dyDescent="0.25">
      <c r="B293" s="50"/>
      <c r="C293" s="50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9"/>
      <c r="BI293" s="49"/>
      <c r="BJ293" s="57"/>
      <c r="BK293" s="59"/>
      <c r="BL293" s="59"/>
      <c r="BM293" s="57"/>
      <c r="BN293" s="49"/>
      <c r="BO293" s="49"/>
      <c r="BP293" s="57"/>
      <c r="BQ293" s="49"/>
      <c r="BR293" s="49"/>
      <c r="BS293" s="57"/>
      <c r="BT293" s="49"/>
      <c r="BU293" s="49"/>
      <c r="BV293" s="57"/>
      <c r="BW293" s="19"/>
      <c r="BX293" s="59"/>
      <c r="BY293" s="27"/>
      <c r="BZ293" s="59"/>
      <c r="CA293" s="57"/>
      <c r="CB293" s="49"/>
      <c r="CC293" s="49"/>
      <c r="CD293" s="49"/>
      <c r="CE293" s="49"/>
      <c r="CF293" s="49"/>
      <c r="CG293" s="49"/>
      <c r="CH293" s="57"/>
      <c r="CI293" s="49"/>
      <c r="CJ293" s="49"/>
      <c r="CK293" s="57"/>
      <c r="CL293" s="49"/>
      <c r="CM293" s="49"/>
      <c r="CN293" s="49"/>
      <c r="CO293" s="49"/>
      <c r="CP293" s="49"/>
      <c r="CQ293" s="49"/>
      <c r="CR293" s="57"/>
      <c r="CS293" s="49"/>
      <c r="CT293" s="49"/>
      <c r="CU293" s="49"/>
      <c r="CV293" s="49"/>
      <c r="CW293" s="49"/>
      <c r="CX293" s="49"/>
      <c r="CY293" s="57"/>
      <c r="CZ293" s="49"/>
      <c r="DA293" s="49"/>
      <c r="DB293" s="49"/>
      <c r="DC293" s="49"/>
      <c r="DD293" s="49"/>
      <c r="DE293" s="49"/>
      <c r="DF293" s="57"/>
      <c r="DG293" s="49"/>
      <c r="DH293" s="49"/>
      <c r="DI293" s="49"/>
      <c r="DJ293" s="49"/>
      <c r="DK293" s="27"/>
      <c r="DL293" s="49"/>
      <c r="DM293" s="27"/>
      <c r="DN293" s="27"/>
      <c r="DO293" s="27"/>
      <c r="DP293" s="27"/>
      <c r="DQ293" s="27"/>
      <c r="DR293" s="27"/>
      <c r="DS293" s="27"/>
      <c r="DT293" s="27"/>
      <c r="DU293" s="27"/>
      <c r="DV293" s="27"/>
      <c r="DW293" s="27"/>
      <c r="DX293" s="27"/>
      <c r="DY293" s="27"/>
      <c r="DZ293" s="27"/>
      <c r="EA293" s="27"/>
      <c r="EB293" s="59"/>
      <c r="EC293" s="59"/>
      <c r="ED293" s="59"/>
      <c r="EE293" s="14"/>
      <c r="EF293" s="14"/>
      <c r="GN293" s="48"/>
    </row>
    <row r="294" spans="2:196" x14ac:dyDescent="0.25">
      <c r="B294" s="50"/>
      <c r="C294" s="50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9"/>
      <c r="BI294" s="49"/>
      <c r="BJ294" s="57"/>
      <c r="BK294" s="59"/>
      <c r="BL294" s="59"/>
      <c r="BM294" s="57"/>
      <c r="BN294" s="49"/>
      <c r="BO294" s="49"/>
      <c r="BP294" s="57"/>
      <c r="BQ294" s="49"/>
      <c r="BR294" s="49"/>
      <c r="BS294" s="57"/>
      <c r="BT294" s="49"/>
      <c r="BU294" s="49"/>
      <c r="BV294" s="57"/>
      <c r="BW294" s="19"/>
      <c r="BX294" s="59"/>
      <c r="BY294" s="27"/>
      <c r="BZ294" s="59"/>
      <c r="CA294" s="57"/>
      <c r="CB294" s="49"/>
      <c r="CC294" s="49"/>
      <c r="CD294" s="49"/>
      <c r="CE294" s="49"/>
      <c r="CF294" s="49"/>
      <c r="CG294" s="49"/>
      <c r="CH294" s="57"/>
      <c r="CI294" s="49"/>
      <c r="CJ294" s="49"/>
      <c r="CK294" s="57"/>
      <c r="CL294" s="49"/>
      <c r="CM294" s="49"/>
      <c r="CN294" s="49"/>
      <c r="CO294" s="49"/>
      <c r="CP294" s="49"/>
      <c r="CQ294" s="49"/>
      <c r="CR294" s="57"/>
      <c r="CS294" s="49"/>
      <c r="CT294" s="49"/>
      <c r="CU294" s="49"/>
      <c r="CV294" s="49"/>
      <c r="CW294" s="49"/>
      <c r="CX294" s="49"/>
      <c r="CY294" s="57"/>
      <c r="CZ294" s="49"/>
      <c r="DA294" s="49"/>
      <c r="DB294" s="49"/>
      <c r="DC294" s="49"/>
      <c r="DD294" s="49"/>
      <c r="DE294" s="49"/>
      <c r="DF294" s="57"/>
      <c r="DG294" s="49"/>
      <c r="DH294" s="49"/>
      <c r="DI294" s="49"/>
      <c r="DJ294" s="49"/>
      <c r="DK294" s="27"/>
      <c r="DL294" s="49"/>
      <c r="DM294" s="27"/>
      <c r="DN294" s="27"/>
      <c r="DO294" s="27"/>
      <c r="DP294" s="27"/>
      <c r="DQ294" s="27"/>
      <c r="DR294" s="27"/>
      <c r="DS294" s="27"/>
      <c r="DT294" s="27"/>
      <c r="DU294" s="27"/>
      <c r="DV294" s="27"/>
      <c r="DW294" s="27"/>
      <c r="DX294" s="27"/>
      <c r="DY294" s="27"/>
      <c r="DZ294" s="27"/>
      <c r="EA294" s="27"/>
      <c r="EB294" s="59"/>
      <c r="EC294" s="59"/>
      <c r="ED294" s="59"/>
      <c r="EE294" s="14"/>
      <c r="EF294" s="14"/>
      <c r="GN294" s="48"/>
    </row>
    <row r="295" spans="2:196" x14ac:dyDescent="0.25">
      <c r="B295" s="50"/>
      <c r="C295" s="50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9"/>
      <c r="BI295" s="49"/>
      <c r="BJ295" s="57"/>
      <c r="BK295" s="59"/>
      <c r="BL295" s="59"/>
      <c r="BM295" s="57"/>
      <c r="BN295" s="49"/>
      <c r="BO295" s="49"/>
      <c r="BP295" s="57"/>
      <c r="BQ295" s="49"/>
      <c r="BR295" s="49"/>
      <c r="BS295" s="57"/>
      <c r="BT295" s="49"/>
      <c r="BU295" s="49"/>
      <c r="BV295" s="57"/>
      <c r="BW295" s="19"/>
      <c r="BX295" s="59"/>
      <c r="BY295" s="27"/>
      <c r="BZ295" s="59"/>
      <c r="CA295" s="57"/>
      <c r="CB295" s="49"/>
      <c r="CC295" s="49"/>
      <c r="CD295" s="49"/>
      <c r="CE295" s="49"/>
      <c r="CF295" s="49"/>
      <c r="CG295" s="49"/>
      <c r="CH295" s="57"/>
      <c r="CI295" s="49"/>
      <c r="CJ295" s="49"/>
      <c r="CK295" s="57"/>
      <c r="CL295" s="49"/>
      <c r="CM295" s="49"/>
      <c r="CN295" s="49"/>
      <c r="CO295" s="49"/>
      <c r="CP295" s="49"/>
      <c r="CQ295" s="49"/>
      <c r="CR295" s="57"/>
      <c r="CS295" s="49"/>
      <c r="CT295" s="49"/>
      <c r="CU295" s="49"/>
      <c r="CV295" s="49"/>
      <c r="CW295" s="49"/>
      <c r="CX295" s="49"/>
      <c r="CY295" s="57"/>
      <c r="CZ295" s="49"/>
      <c r="DA295" s="49"/>
      <c r="DB295" s="49"/>
      <c r="DC295" s="49"/>
      <c r="DD295" s="49"/>
      <c r="DE295" s="49"/>
      <c r="DF295" s="57"/>
      <c r="DG295" s="49"/>
      <c r="DH295" s="49"/>
      <c r="DI295" s="49"/>
      <c r="DJ295" s="49"/>
      <c r="DK295" s="27"/>
      <c r="DL295" s="49"/>
      <c r="DM295" s="27"/>
      <c r="DN295" s="27"/>
      <c r="DO295" s="27"/>
      <c r="DP295" s="27"/>
      <c r="DQ295" s="27"/>
      <c r="DR295" s="27"/>
      <c r="DS295" s="27"/>
      <c r="DT295" s="27"/>
      <c r="DU295" s="27"/>
      <c r="DV295" s="27"/>
      <c r="DW295" s="27"/>
      <c r="DX295" s="27"/>
      <c r="DY295" s="27"/>
      <c r="DZ295" s="27"/>
      <c r="EA295" s="27"/>
      <c r="EB295" s="59"/>
      <c r="EC295" s="59"/>
      <c r="ED295" s="59"/>
      <c r="EE295" s="14"/>
      <c r="EF295" s="14"/>
      <c r="GN295" s="48"/>
    </row>
    <row r="296" spans="2:196" x14ac:dyDescent="0.25">
      <c r="B296" s="50"/>
      <c r="C296" s="50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9"/>
      <c r="BI296" s="49"/>
      <c r="BJ296" s="57"/>
      <c r="BK296" s="59"/>
      <c r="BL296" s="59"/>
      <c r="BM296" s="57"/>
      <c r="BN296" s="49"/>
      <c r="BO296" s="49"/>
      <c r="BP296" s="57"/>
      <c r="BQ296" s="49"/>
      <c r="BR296" s="49"/>
      <c r="BS296" s="57"/>
      <c r="BT296" s="49"/>
      <c r="BU296" s="49"/>
      <c r="BV296" s="57"/>
      <c r="BW296" s="19"/>
      <c r="BX296" s="59"/>
      <c r="BY296" s="27"/>
      <c r="BZ296" s="59"/>
      <c r="CA296" s="57"/>
      <c r="CB296" s="49"/>
      <c r="CC296" s="49"/>
      <c r="CD296" s="49"/>
      <c r="CE296" s="49"/>
      <c r="CF296" s="49"/>
      <c r="CG296" s="49"/>
      <c r="CH296" s="57"/>
      <c r="CI296" s="49"/>
      <c r="CJ296" s="49"/>
      <c r="CK296" s="57"/>
      <c r="CL296" s="49"/>
      <c r="CM296" s="49"/>
      <c r="CN296" s="49"/>
      <c r="CO296" s="49"/>
      <c r="CP296" s="49"/>
      <c r="CQ296" s="49"/>
      <c r="CR296" s="57"/>
      <c r="CS296" s="49"/>
      <c r="CT296" s="49"/>
      <c r="CU296" s="49"/>
      <c r="CV296" s="49"/>
      <c r="CW296" s="49"/>
      <c r="CX296" s="49"/>
      <c r="CY296" s="57"/>
      <c r="CZ296" s="49"/>
      <c r="DA296" s="49"/>
      <c r="DB296" s="49"/>
      <c r="DC296" s="49"/>
      <c r="DD296" s="49"/>
      <c r="DE296" s="49"/>
      <c r="DF296" s="57"/>
      <c r="DG296" s="49"/>
      <c r="DH296" s="49"/>
      <c r="DI296" s="49"/>
      <c r="DJ296" s="49"/>
      <c r="DK296" s="27"/>
      <c r="DL296" s="49"/>
      <c r="DM296" s="27"/>
      <c r="DN296" s="27"/>
      <c r="DO296" s="27"/>
      <c r="DP296" s="27"/>
      <c r="DQ296" s="27"/>
      <c r="DR296" s="27"/>
      <c r="DS296" s="27"/>
      <c r="DT296" s="27"/>
      <c r="DU296" s="27"/>
      <c r="DV296" s="27"/>
      <c r="DW296" s="27"/>
      <c r="DX296" s="27"/>
      <c r="DY296" s="27"/>
      <c r="DZ296" s="27"/>
      <c r="EA296" s="27"/>
      <c r="EB296" s="59"/>
      <c r="EC296" s="59"/>
      <c r="ED296" s="59"/>
      <c r="EE296" s="14"/>
      <c r="EF296" s="14"/>
      <c r="GN296" s="48"/>
    </row>
    <row r="297" spans="2:196" x14ac:dyDescent="0.25">
      <c r="B297" s="50"/>
      <c r="C297" s="50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9"/>
      <c r="BI297" s="49"/>
      <c r="BJ297" s="57"/>
      <c r="BK297" s="59"/>
      <c r="BL297" s="59"/>
      <c r="BM297" s="57"/>
      <c r="BN297" s="49"/>
      <c r="BO297" s="49"/>
      <c r="BP297" s="57"/>
      <c r="BQ297" s="49"/>
      <c r="BR297" s="49"/>
      <c r="BS297" s="57"/>
      <c r="BT297" s="49"/>
      <c r="BU297" s="49"/>
      <c r="BV297" s="57"/>
      <c r="BW297" s="19"/>
      <c r="BX297" s="59"/>
      <c r="BY297" s="27"/>
      <c r="BZ297" s="59"/>
      <c r="CA297" s="57"/>
      <c r="CB297" s="49"/>
      <c r="CC297" s="49"/>
      <c r="CD297" s="49"/>
      <c r="CE297" s="49"/>
      <c r="CF297" s="49"/>
      <c r="CG297" s="49"/>
      <c r="CH297" s="57"/>
      <c r="CI297" s="49"/>
      <c r="CJ297" s="49"/>
      <c r="CK297" s="57"/>
      <c r="CL297" s="49"/>
      <c r="CM297" s="49"/>
      <c r="CN297" s="49"/>
      <c r="CO297" s="49"/>
      <c r="CP297" s="49"/>
      <c r="CQ297" s="49"/>
      <c r="CR297" s="57"/>
      <c r="CS297" s="49"/>
      <c r="CT297" s="49"/>
      <c r="CU297" s="49"/>
      <c r="CV297" s="49"/>
      <c r="CW297" s="49"/>
      <c r="CX297" s="49"/>
      <c r="CY297" s="57"/>
      <c r="CZ297" s="49"/>
      <c r="DA297" s="49"/>
      <c r="DB297" s="49"/>
      <c r="DC297" s="49"/>
      <c r="DD297" s="49"/>
      <c r="DE297" s="49"/>
      <c r="DF297" s="57"/>
      <c r="DG297" s="49"/>
      <c r="DH297" s="49"/>
      <c r="DI297" s="49"/>
      <c r="DJ297" s="49"/>
      <c r="DK297" s="27"/>
      <c r="DL297" s="49"/>
      <c r="DM297" s="27"/>
      <c r="DN297" s="27"/>
      <c r="DO297" s="27"/>
      <c r="DP297" s="27"/>
      <c r="DQ297" s="27"/>
      <c r="DR297" s="27"/>
      <c r="DS297" s="27"/>
      <c r="DT297" s="27"/>
      <c r="DU297" s="27"/>
      <c r="DV297" s="27"/>
      <c r="DW297" s="27"/>
      <c r="DX297" s="27"/>
      <c r="DY297" s="27"/>
      <c r="DZ297" s="27"/>
      <c r="EA297" s="27"/>
      <c r="EB297" s="59"/>
      <c r="EC297" s="59"/>
      <c r="ED297" s="59"/>
      <c r="EE297" s="14"/>
      <c r="EF297" s="14"/>
      <c r="GN297" s="48"/>
    </row>
    <row r="298" spans="2:196" x14ac:dyDescent="0.25">
      <c r="B298" s="50"/>
      <c r="C298" s="50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9"/>
      <c r="BI298" s="49"/>
      <c r="BJ298" s="57"/>
      <c r="BK298" s="59"/>
      <c r="BL298" s="59"/>
      <c r="BM298" s="57"/>
      <c r="BN298" s="49"/>
      <c r="BO298" s="49"/>
      <c r="BP298" s="57"/>
      <c r="BQ298" s="49"/>
      <c r="BR298" s="49"/>
      <c r="BS298" s="57"/>
      <c r="BT298" s="49"/>
      <c r="BU298" s="49"/>
      <c r="BV298" s="57"/>
      <c r="BW298" s="19"/>
      <c r="BX298" s="59"/>
      <c r="BY298" s="27"/>
      <c r="BZ298" s="59"/>
      <c r="CA298" s="57"/>
      <c r="CB298" s="49"/>
      <c r="CC298" s="49"/>
      <c r="CD298" s="49"/>
      <c r="CE298" s="49"/>
      <c r="CF298" s="49"/>
      <c r="CG298" s="49"/>
      <c r="CH298" s="57"/>
      <c r="CI298" s="49"/>
      <c r="CJ298" s="49"/>
      <c r="CK298" s="57"/>
      <c r="CL298" s="49"/>
      <c r="CM298" s="49"/>
      <c r="CN298" s="49"/>
      <c r="CO298" s="49"/>
      <c r="CP298" s="49"/>
      <c r="CQ298" s="49"/>
      <c r="CR298" s="57"/>
      <c r="CS298" s="49"/>
      <c r="CT298" s="49"/>
      <c r="CU298" s="49"/>
      <c r="CV298" s="49"/>
      <c r="CW298" s="49"/>
      <c r="CX298" s="49"/>
      <c r="CY298" s="57"/>
      <c r="CZ298" s="49"/>
      <c r="DA298" s="49"/>
      <c r="DB298" s="49"/>
      <c r="DC298" s="49"/>
      <c r="DD298" s="49"/>
      <c r="DE298" s="49"/>
      <c r="DF298" s="57"/>
      <c r="DG298" s="49"/>
      <c r="DH298" s="49"/>
      <c r="DI298" s="49"/>
      <c r="DJ298" s="49"/>
      <c r="DK298" s="27"/>
      <c r="DL298" s="49"/>
      <c r="DM298" s="27"/>
      <c r="DN298" s="27"/>
      <c r="DO298" s="27"/>
      <c r="DP298" s="27"/>
      <c r="DQ298" s="27"/>
      <c r="DR298" s="27"/>
      <c r="DS298" s="27"/>
      <c r="DT298" s="27"/>
      <c r="DU298" s="27"/>
      <c r="DV298" s="27"/>
      <c r="DW298" s="27"/>
      <c r="DX298" s="27"/>
      <c r="DY298" s="27"/>
      <c r="DZ298" s="27"/>
      <c r="EA298" s="27"/>
      <c r="EB298" s="59"/>
      <c r="EC298" s="59"/>
      <c r="ED298" s="59"/>
      <c r="EE298" s="14"/>
      <c r="EF298" s="14"/>
      <c r="GN298" s="48"/>
    </row>
    <row r="299" spans="2:196" x14ac:dyDescent="0.25">
      <c r="B299" s="50"/>
      <c r="C299" s="50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9"/>
      <c r="BI299" s="49"/>
      <c r="BJ299" s="57"/>
      <c r="BK299" s="59"/>
      <c r="BL299" s="59"/>
      <c r="BM299" s="57"/>
      <c r="BN299" s="49"/>
      <c r="BO299" s="49"/>
      <c r="BP299" s="57"/>
      <c r="BQ299" s="49"/>
      <c r="BR299" s="49"/>
      <c r="BS299" s="57"/>
      <c r="BT299" s="49"/>
      <c r="BU299" s="49"/>
      <c r="BV299" s="57"/>
      <c r="BW299" s="19"/>
      <c r="BX299" s="59"/>
      <c r="BY299" s="27"/>
      <c r="BZ299" s="59"/>
      <c r="CA299" s="57"/>
      <c r="CB299" s="49"/>
      <c r="CC299" s="49"/>
      <c r="CD299" s="49"/>
      <c r="CE299" s="49"/>
      <c r="CF299" s="49"/>
      <c r="CG299" s="49"/>
      <c r="CH299" s="57"/>
      <c r="CI299" s="49"/>
      <c r="CJ299" s="49"/>
      <c r="CK299" s="57"/>
      <c r="CL299" s="49"/>
      <c r="CM299" s="49"/>
      <c r="CN299" s="49"/>
      <c r="CO299" s="49"/>
      <c r="CP299" s="49"/>
      <c r="CQ299" s="49"/>
      <c r="CR299" s="57"/>
      <c r="CS299" s="49"/>
      <c r="CT299" s="49"/>
      <c r="CU299" s="49"/>
      <c r="CV299" s="49"/>
      <c r="CW299" s="49"/>
      <c r="CX299" s="49"/>
      <c r="CY299" s="57"/>
      <c r="CZ299" s="49"/>
      <c r="DA299" s="49"/>
      <c r="DB299" s="49"/>
      <c r="DC299" s="49"/>
      <c r="DD299" s="49"/>
      <c r="DE299" s="49"/>
      <c r="DF299" s="57"/>
      <c r="DG299" s="49"/>
      <c r="DH299" s="49"/>
      <c r="DI299" s="49"/>
      <c r="DJ299" s="49"/>
      <c r="DK299" s="27"/>
      <c r="DL299" s="49"/>
      <c r="DM299" s="27"/>
      <c r="DN299" s="27"/>
      <c r="DO299" s="27"/>
      <c r="DP299" s="27"/>
      <c r="DQ299" s="27"/>
      <c r="DR299" s="27"/>
      <c r="DS299" s="27"/>
      <c r="DT299" s="27"/>
      <c r="DU299" s="27"/>
      <c r="DV299" s="27"/>
      <c r="DW299" s="27"/>
      <c r="DX299" s="27"/>
      <c r="DY299" s="27"/>
      <c r="DZ299" s="27"/>
      <c r="EA299" s="27"/>
      <c r="EB299" s="59"/>
      <c r="EC299" s="59"/>
      <c r="ED299" s="59"/>
      <c r="EE299" s="14"/>
      <c r="EF299" s="14"/>
      <c r="GN299" s="48"/>
    </row>
    <row r="300" spans="2:196" x14ac:dyDescent="0.25">
      <c r="B300" s="50"/>
      <c r="C300" s="50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9"/>
      <c r="BI300" s="49"/>
      <c r="BJ300" s="57"/>
      <c r="BK300" s="59"/>
      <c r="BL300" s="59"/>
      <c r="BM300" s="57"/>
      <c r="BN300" s="49"/>
      <c r="BO300" s="49"/>
      <c r="BP300" s="57"/>
      <c r="BQ300" s="49"/>
      <c r="BR300" s="49"/>
      <c r="BS300" s="57"/>
      <c r="BT300" s="49"/>
      <c r="BU300" s="49"/>
      <c r="BV300" s="57"/>
      <c r="BW300" s="19"/>
      <c r="BX300" s="59"/>
      <c r="BY300" s="27"/>
      <c r="BZ300" s="59"/>
      <c r="CA300" s="57"/>
      <c r="CB300" s="49"/>
      <c r="CC300" s="49"/>
      <c r="CD300" s="49"/>
      <c r="CE300" s="49"/>
      <c r="CF300" s="49"/>
      <c r="CG300" s="49"/>
      <c r="CH300" s="57"/>
      <c r="CI300" s="49"/>
      <c r="CJ300" s="49"/>
      <c r="CK300" s="57"/>
      <c r="CL300" s="49"/>
      <c r="CM300" s="49"/>
      <c r="CN300" s="49"/>
      <c r="CO300" s="49"/>
      <c r="CP300" s="49"/>
      <c r="CQ300" s="49"/>
      <c r="CR300" s="57"/>
      <c r="CS300" s="49"/>
      <c r="CT300" s="49"/>
      <c r="CU300" s="49"/>
      <c r="CV300" s="49"/>
      <c r="CW300" s="49"/>
      <c r="CX300" s="49"/>
      <c r="CY300" s="57"/>
      <c r="CZ300" s="49"/>
      <c r="DA300" s="49"/>
      <c r="DB300" s="49"/>
      <c r="DC300" s="49"/>
      <c r="DD300" s="49"/>
      <c r="DE300" s="49"/>
      <c r="DF300" s="57"/>
      <c r="DG300" s="49"/>
      <c r="DH300" s="49"/>
      <c r="DI300" s="49"/>
      <c r="DJ300" s="49"/>
      <c r="DK300" s="27"/>
      <c r="DL300" s="49"/>
      <c r="DM300" s="27"/>
      <c r="DN300" s="27"/>
      <c r="DO300" s="27"/>
      <c r="DP300" s="27"/>
      <c r="DQ300" s="27"/>
      <c r="DR300" s="27"/>
      <c r="DS300" s="27"/>
      <c r="DT300" s="27"/>
      <c r="DU300" s="27"/>
      <c r="DV300" s="27"/>
      <c r="DW300" s="27"/>
      <c r="DX300" s="27"/>
      <c r="DY300" s="27"/>
      <c r="DZ300" s="27"/>
      <c r="EA300" s="27"/>
      <c r="EB300" s="59"/>
      <c r="EC300" s="59"/>
      <c r="ED300" s="59"/>
      <c r="EE300" s="14"/>
      <c r="EF300" s="14"/>
      <c r="GN300" s="48"/>
    </row>
    <row r="301" spans="2:196" x14ac:dyDescent="0.25">
      <c r="B301" s="50"/>
      <c r="C301" s="50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9"/>
      <c r="BI301" s="49"/>
      <c r="BJ301" s="57"/>
      <c r="BK301" s="59"/>
      <c r="BL301" s="59"/>
      <c r="BM301" s="57"/>
      <c r="BN301" s="49"/>
      <c r="BO301" s="49"/>
      <c r="BP301" s="57"/>
      <c r="BQ301" s="49"/>
      <c r="BR301" s="49"/>
      <c r="BS301" s="57"/>
      <c r="BT301" s="49"/>
      <c r="BU301" s="49"/>
      <c r="BV301" s="57"/>
      <c r="BW301" s="19"/>
      <c r="BX301" s="59"/>
      <c r="BY301" s="27"/>
      <c r="BZ301" s="59"/>
      <c r="CA301" s="57"/>
      <c r="CB301" s="49"/>
      <c r="CC301" s="49"/>
      <c r="CD301" s="49"/>
      <c r="CE301" s="49"/>
      <c r="CF301" s="49"/>
      <c r="CG301" s="49"/>
      <c r="CH301" s="57"/>
      <c r="CI301" s="49"/>
      <c r="CJ301" s="49"/>
      <c r="CK301" s="57"/>
      <c r="CL301" s="49"/>
      <c r="CM301" s="49"/>
      <c r="CN301" s="49"/>
      <c r="CO301" s="49"/>
      <c r="CP301" s="49"/>
      <c r="CQ301" s="49"/>
      <c r="CR301" s="57"/>
      <c r="CS301" s="49"/>
      <c r="CT301" s="49"/>
      <c r="CU301" s="49"/>
      <c r="CV301" s="49"/>
      <c r="CW301" s="49"/>
      <c r="CX301" s="49"/>
      <c r="CY301" s="57"/>
      <c r="CZ301" s="49"/>
      <c r="DA301" s="49"/>
      <c r="DB301" s="49"/>
      <c r="DC301" s="49"/>
      <c r="DD301" s="49"/>
      <c r="DE301" s="49"/>
      <c r="DF301" s="57"/>
      <c r="DG301" s="49"/>
      <c r="DH301" s="49"/>
      <c r="DI301" s="49"/>
      <c r="DJ301" s="49"/>
      <c r="DK301" s="27"/>
      <c r="DL301" s="49"/>
      <c r="DM301" s="27"/>
      <c r="DN301" s="27"/>
      <c r="DO301" s="27"/>
      <c r="DP301" s="27"/>
      <c r="DQ301" s="27"/>
      <c r="DR301" s="27"/>
      <c r="DS301" s="27"/>
      <c r="DT301" s="27"/>
      <c r="DU301" s="27"/>
      <c r="DV301" s="27"/>
      <c r="DW301" s="27"/>
      <c r="DX301" s="27"/>
      <c r="DY301" s="27"/>
      <c r="DZ301" s="27"/>
      <c r="EA301" s="27"/>
      <c r="EB301" s="59"/>
      <c r="EC301" s="59"/>
      <c r="ED301" s="59"/>
      <c r="EE301" s="14"/>
      <c r="EF301" s="14"/>
      <c r="GN301" s="48"/>
    </row>
    <row r="302" spans="2:196" x14ac:dyDescent="0.25">
      <c r="B302" s="50"/>
      <c r="C302" s="50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9"/>
      <c r="BI302" s="49"/>
      <c r="BJ302" s="57"/>
      <c r="BK302" s="59"/>
      <c r="BL302" s="59"/>
      <c r="BM302" s="57"/>
      <c r="BN302" s="49"/>
      <c r="BO302" s="49"/>
      <c r="BP302" s="57"/>
      <c r="BQ302" s="49"/>
      <c r="BR302" s="49"/>
      <c r="BS302" s="57"/>
      <c r="BT302" s="49"/>
      <c r="BU302" s="49"/>
      <c r="BV302" s="57"/>
      <c r="BW302" s="19"/>
      <c r="BX302" s="59"/>
      <c r="BY302" s="27"/>
      <c r="BZ302" s="59"/>
      <c r="CA302" s="57"/>
      <c r="CB302" s="49"/>
      <c r="CC302" s="49"/>
      <c r="CD302" s="49"/>
      <c r="CE302" s="49"/>
      <c r="CF302" s="49"/>
      <c r="CG302" s="49"/>
      <c r="CH302" s="57"/>
      <c r="CI302" s="49"/>
      <c r="CJ302" s="49"/>
      <c r="CK302" s="57"/>
      <c r="CL302" s="49"/>
      <c r="CM302" s="49"/>
      <c r="CN302" s="49"/>
      <c r="CO302" s="49"/>
      <c r="CP302" s="49"/>
      <c r="CQ302" s="49"/>
      <c r="CR302" s="57"/>
      <c r="CS302" s="49"/>
      <c r="CT302" s="49"/>
      <c r="CU302" s="49"/>
      <c r="CV302" s="49"/>
      <c r="CW302" s="49"/>
      <c r="CX302" s="49"/>
      <c r="CY302" s="57"/>
      <c r="CZ302" s="49"/>
      <c r="DA302" s="49"/>
      <c r="DB302" s="49"/>
      <c r="DC302" s="49"/>
      <c r="DD302" s="49"/>
      <c r="DE302" s="49"/>
      <c r="DF302" s="57"/>
      <c r="DG302" s="49"/>
      <c r="DH302" s="49"/>
      <c r="DI302" s="49"/>
      <c r="DJ302" s="49"/>
      <c r="DK302" s="27"/>
      <c r="DL302" s="49"/>
      <c r="DM302" s="27"/>
      <c r="DN302" s="27"/>
      <c r="DO302" s="27"/>
      <c r="DP302" s="27"/>
      <c r="DQ302" s="27"/>
      <c r="DR302" s="27"/>
      <c r="DS302" s="27"/>
      <c r="DT302" s="27"/>
      <c r="DU302" s="27"/>
      <c r="DV302" s="27"/>
      <c r="DW302" s="27"/>
      <c r="DX302" s="27"/>
      <c r="DY302" s="27"/>
      <c r="DZ302" s="27"/>
      <c r="EA302" s="27"/>
      <c r="EB302" s="59"/>
      <c r="EC302" s="59"/>
      <c r="ED302" s="59"/>
      <c r="EE302" s="14"/>
      <c r="EF302" s="14"/>
      <c r="GN302" s="48"/>
    </row>
    <row r="303" spans="2:196" x14ac:dyDescent="0.25">
      <c r="B303" s="50"/>
      <c r="C303" s="50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9"/>
      <c r="BI303" s="49"/>
      <c r="BJ303" s="57"/>
      <c r="BK303" s="59"/>
      <c r="BL303" s="59"/>
      <c r="BM303" s="57"/>
      <c r="BN303" s="49"/>
      <c r="BO303" s="49"/>
      <c r="BP303" s="57"/>
      <c r="BQ303" s="49"/>
      <c r="BR303" s="49"/>
      <c r="BS303" s="57"/>
      <c r="BT303" s="49"/>
      <c r="BU303" s="49"/>
      <c r="BV303" s="57"/>
      <c r="BW303" s="19"/>
      <c r="BX303" s="59"/>
      <c r="BY303" s="27"/>
      <c r="BZ303" s="59"/>
      <c r="CA303" s="57"/>
      <c r="CB303" s="49"/>
      <c r="CC303" s="49"/>
      <c r="CD303" s="49"/>
      <c r="CE303" s="49"/>
      <c r="CF303" s="49"/>
      <c r="CG303" s="49"/>
      <c r="CH303" s="57"/>
      <c r="CI303" s="49"/>
      <c r="CJ303" s="49"/>
      <c r="CK303" s="57"/>
      <c r="CL303" s="49"/>
      <c r="CM303" s="49"/>
      <c r="CN303" s="49"/>
      <c r="CO303" s="49"/>
      <c r="CP303" s="49"/>
      <c r="CQ303" s="49"/>
      <c r="CR303" s="57"/>
      <c r="CS303" s="49"/>
      <c r="CT303" s="49"/>
      <c r="CU303" s="49"/>
      <c r="CV303" s="49"/>
      <c r="CW303" s="49"/>
      <c r="CX303" s="49"/>
      <c r="CY303" s="57"/>
      <c r="CZ303" s="49"/>
      <c r="DA303" s="49"/>
      <c r="DB303" s="49"/>
      <c r="DC303" s="49"/>
      <c r="DD303" s="49"/>
      <c r="DE303" s="49"/>
      <c r="DF303" s="57"/>
      <c r="DG303" s="49"/>
      <c r="DH303" s="49"/>
      <c r="DI303" s="49"/>
      <c r="DJ303" s="49"/>
      <c r="DK303" s="27"/>
      <c r="DL303" s="49"/>
      <c r="DM303" s="27"/>
      <c r="DN303" s="27"/>
      <c r="DO303" s="27"/>
      <c r="DP303" s="27"/>
      <c r="DQ303" s="27"/>
      <c r="DR303" s="27"/>
      <c r="DS303" s="27"/>
      <c r="DT303" s="27"/>
      <c r="DU303" s="27"/>
      <c r="DV303" s="27"/>
      <c r="DW303" s="27"/>
      <c r="DX303" s="27"/>
      <c r="DY303" s="27"/>
      <c r="DZ303" s="27"/>
      <c r="EA303" s="27"/>
      <c r="EB303" s="59"/>
      <c r="EC303" s="59"/>
      <c r="ED303" s="59"/>
      <c r="EE303" s="14"/>
      <c r="EF303" s="14"/>
      <c r="GN303" s="48"/>
    </row>
    <row r="304" spans="2:196" x14ac:dyDescent="0.25">
      <c r="B304" s="50"/>
      <c r="C304" s="50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9"/>
      <c r="BI304" s="49"/>
      <c r="BJ304" s="57"/>
      <c r="BK304" s="59"/>
      <c r="BL304" s="59"/>
      <c r="BM304" s="57"/>
      <c r="BN304" s="49"/>
      <c r="BO304" s="49"/>
      <c r="BP304" s="57"/>
      <c r="BQ304" s="49"/>
      <c r="BR304" s="49"/>
      <c r="BS304" s="57"/>
      <c r="BT304" s="49"/>
      <c r="BU304" s="49"/>
      <c r="BV304" s="57"/>
      <c r="BW304" s="19"/>
      <c r="BX304" s="59"/>
      <c r="BY304" s="27"/>
      <c r="BZ304" s="59"/>
      <c r="CA304" s="57"/>
      <c r="CB304" s="49"/>
      <c r="CC304" s="49"/>
      <c r="CD304" s="49"/>
      <c r="CE304" s="49"/>
      <c r="CF304" s="49"/>
      <c r="CG304" s="49"/>
      <c r="CH304" s="57"/>
      <c r="CI304" s="49"/>
      <c r="CJ304" s="49"/>
      <c r="CK304" s="57"/>
      <c r="CL304" s="49"/>
      <c r="CM304" s="49"/>
      <c r="CN304" s="49"/>
      <c r="CO304" s="49"/>
      <c r="CP304" s="49"/>
      <c r="CQ304" s="49"/>
      <c r="CR304" s="57"/>
      <c r="CS304" s="49"/>
      <c r="CT304" s="49"/>
      <c r="CU304" s="49"/>
      <c r="CV304" s="49"/>
      <c r="CW304" s="49"/>
      <c r="CX304" s="49"/>
      <c r="CY304" s="57"/>
      <c r="CZ304" s="49"/>
      <c r="DA304" s="49"/>
      <c r="DB304" s="49"/>
      <c r="DC304" s="49"/>
      <c r="DD304" s="49"/>
      <c r="DE304" s="49"/>
      <c r="DF304" s="57"/>
      <c r="DG304" s="49"/>
      <c r="DH304" s="49"/>
      <c r="DI304" s="49"/>
      <c r="DJ304" s="49"/>
      <c r="DK304" s="27"/>
      <c r="DL304" s="49"/>
      <c r="DM304" s="27"/>
      <c r="DN304" s="27"/>
      <c r="DO304" s="27"/>
      <c r="DP304" s="27"/>
      <c r="DQ304" s="27"/>
      <c r="DR304" s="27"/>
      <c r="DS304" s="27"/>
      <c r="DT304" s="27"/>
      <c r="DU304" s="27"/>
      <c r="DV304" s="27"/>
      <c r="DW304" s="27"/>
      <c r="DX304" s="27"/>
      <c r="DY304" s="27"/>
      <c r="DZ304" s="27"/>
      <c r="EA304" s="27"/>
      <c r="EB304" s="59"/>
      <c r="EC304" s="59"/>
      <c r="ED304" s="59"/>
      <c r="EE304" s="14"/>
      <c r="EF304" s="14"/>
      <c r="GN304" s="48"/>
    </row>
    <row r="305" spans="2:196" x14ac:dyDescent="0.25">
      <c r="B305" s="50"/>
      <c r="C305" s="50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9"/>
      <c r="BI305" s="49"/>
      <c r="BJ305" s="57"/>
      <c r="BK305" s="59"/>
      <c r="BL305" s="59"/>
      <c r="BM305" s="57"/>
      <c r="BN305" s="49"/>
      <c r="BO305" s="49"/>
      <c r="BP305" s="57"/>
      <c r="BQ305" s="49"/>
      <c r="BR305" s="49"/>
      <c r="BS305" s="57"/>
      <c r="BT305" s="49"/>
      <c r="BU305" s="49"/>
      <c r="BV305" s="57"/>
      <c r="BW305" s="19"/>
      <c r="BX305" s="59"/>
      <c r="BY305" s="27"/>
      <c r="BZ305" s="59"/>
      <c r="CA305" s="57"/>
      <c r="CB305" s="49"/>
      <c r="CC305" s="49"/>
      <c r="CD305" s="49"/>
      <c r="CE305" s="49"/>
      <c r="CF305" s="49"/>
      <c r="CG305" s="49"/>
      <c r="CH305" s="57"/>
      <c r="CI305" s="49"/>
      <c r="CJ305" s="49"/>
      <c r="CK305" s="57"/>
      <c r="CL305" s="49"/>
      <c r="CM305" s="49"/>
      <c r="CN305" s="49"/>
      <c r="CO305" s="49"/>
      <c r="CP305" s="49"/>
      <c r="CQ305" s="49"/>
      <c r="CR305" s="57"/>
      <c r="CS305" s="49"/>
      <c r="CT305" s="49"/>
      <c r="CU305" s="49"/>
      <c r="CV305" s="49"/>
      <c r="CW305" s="49"/>
      <c r="CX305" s="49"/>
      <c r="CY305" s="57"/>
      <c r="CZ305" s="49"/>
      <c r="DA305" s="49"/>
      <c r="DB305" s="49"/>
      <c r="DC305" s="49"/>
      <c r="DD305" s="49"/>
      <c r="DE305" s="49"/>
      <c r="DF305" s="57"/>
      <c r="DG305" s="49"/>
      <c r="DH305" s="49"/>
      <c r="DI305" s="49"/>
      <c r="DJ305" s="49"/>
      <c r="DK305" s="27"/>
      <c r="DL305" s="49"/>
      <c r="DM305" s="27"/>
      <c r="DN305" s="27"/>
      <c r="DO305" s="27"/>
      <c r="DP305" s="27"/>
      <c r="DQ305" s="27"/>
      <c r="DR305" s="27"/>
      <c r="DS305" s="27"/>
      <c r="DT305" s="27"/>
      <c r="DU305" s="27"/>
      <c r="DV305" s="27"/>
      <c r="DW305" s="27"/>
      <c r="DX305" s="27"/>
      <c r="DY305" s="27"/>
      <c r="DZ305" s="27"/>
      <c r="EA305" s="27"/>
      <c r="EB305" s="59"/>
      <c r="EC305" s="59"/>
      <c r="ED305" s="59"/>
      <c r="EE305" s="14"/>
      <c r="EF305" s="14"/>
      <c r="GN305" s="48"/>
    </row>
    <row r="306" spans="2:196" x14ac:dyDescent="0.25">
      <c r="B306" s="50"/>
      <c r="C306" s="50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9"/>
      <c r="BI306" s="49"/>
      <c r="BJ306" s="57"/>
      <c r="BK306" s="59"/>
      <c r="BL306" s="59"/>
      <c r="BM306" s="57"/>
      <c r="BN306" s="49"/>
      <c r="BO306" s="49"/>
      <c r="BP306" s="57"/>
      <c r="BQ306" s="49"/>
      <c r="BR306" s="49"/>
      <c r="BS306" s="57"/>
      <c r="BT306" s="49"/>
      <c r="BU306" s="49"/>
      <c r="BV306" s="57"/>
      <c r="BW306" s="19"/>
      <c r="BX306" s="59"/>
      <c r="BY306" s="27"/>
      <c r="BZ306" s="59"/>
      <c r="CA306" s="57"/>
      <c r="CB306" s="49"/>
      <c r="CC306" s="49"/>
      <c r="CD306" s="49"/>
      <c r="CE306" s="49"/>
      <c r="CF306" s="49"/>
      <c r="CG306" s="49"/>
      <c r="CH306" s="57"/>
      <c r="CI306" s="49"/>
      <c r="CJ306" s="49"/>
      <c r="CK306" s="57"/>
      <c r="CL306" s="49"/>
      <c r="CM306" s="49"/>
      <c r="CN306" s="49"/>
      <c r="CO306" s="49"/>
      <c r="CP306" s="49"/>
      <c r="CQ306" s="49"/>
      <c r="CR306" s="57"/>
      <c r="CS306" s="49"/>
      <c r="CT306" s="49"/>
      <c r="CU306" s="49"/>
      <c r="CV306" s="49"/>
      <c r="CW306" s="49"/>
      <c r="CX306" s="49"/>
      <c r="CY306" s="57"/>
      <c r="CZ306" s="49"/>
      <c r="DA306" s="49"/>
      <c r="DB306" s="49"/>
      <c r="DC306" s="49"/>
      <c r="DD306" s="49"/>
      <c r="DE306" s="49"/>
      <c r="DF306" s="57"/>
      <c r="DG306" s="49"/>
      <c r="DH306" s="49"/>
      <c r="DI306" s="49"/>
      <c r="DJ306" s="49"/>
      <c r="DK306" s="27"/>
      <c r="DL306" s="49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59"/>
      <c r="EC306" s="59"/>
      <c r="ED306" s="59"/>
      <c r="EE306" s="14"/>
      <c r="EF306" s="14"/>
      <c r="GN306" s="48"/>
    </row>
    <row r="307" spans="2:196" x14ac:dyDescent="0.25">
      <c r="B307" s="50"/>
      <c r="C307" s="50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9"/>
      <c r="BI307" s="49"/>
      <c r="BJ307" s="57"/>
      <c r="BK307" s="59"/>
      <c r="BL307" s="59"/>
      <c r="BM307" s="57"/>
      <c r="BN307" s="49"/>
      <c r="BO307" s="49"/>
      <c r="BP307" s="57"/>
      <c r="BQ307" s="49"/>
      <c r="BR307" s="49"/>
      <c r="BS307" s="57"/>
      <c r="BT307" s="49"/>
      <c r="BU307" s="49"/>
      <c r="BV307" s="57"/>
      <c r="BW307" s="19"/>
      <c r="BX307" s="59"/>
      <c r="BY307" s="27"/>
      <c r="BZ307" s="59"/>
      <c r="CA307" s="57"/>
      <c r="CB307" s="49"/>
      <c r="CC307" s="49"/>
      <c r="CD307" s="49"/>
      <c r="CE307" s="49"/>
      <c r="CF307" s="49"/>
      <c r="CG307" s="49"/>
      <c r="CH307" s="57"/>
      <c r="CI307" s="49"/>
      <c r="CJ307" s="49"/>
      <c r="CK307" s="57"/>
      <c r="CL307" s="49"/>
      <c r="CM307" s="49"/>
      <c r="CN307" s="49"/>
      <c r="CO307" s="49"/>
      <c r="CP307" s="49"/>
      <c r="CQ307" s="49"/>
      <c r="CR307" s="57"/>
      <c r="CS307" s="49"/>
      <c r="CT307" s="49"/>
      <c r="CU307" s="49"/>
      <c r="CV307" s="49"/>
      <c r="CW307" s="49"/>
      <c r="CX307" s="49"/>
      <c r="CY307" s="57"/>
      <c r="CZ307" s="49"/>
      <c r="DA307" s="49"/>
      <c r="DB307" s="49"/>
      <c r="DC307" s="49"/>
      <c r="DD307" s="49"/>
      <c r="DE307" s="49"/>
      <c r="DF307" s="57"/>
      <c r="DG307" s="49"/>
      <c r="DH307" s="49"/>
      <c r="DI307" s="49"/>
      <c r="DJ307" s="49"/>
      <c r="DK307" s="27"/>
      <c r="DL307" s="49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59"/>
      <c r="EC307" s="59"/>
      <c r="ED307" s="59"/>
      <c r="EE307" s="14"/>
      <c r="EF307" s="14"/>
      <c r="GN307" s="48"/>
    </row>
    <row r="308" spans="2:196" x14ac:dyDescent="0.25">
      <c r="B308" s="50"/>
      <c r="C308" s="50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9"/>
      <c r="BI308" s="49"/>
      <c r="BJ308" s="57"/>
      <c r="BK308" s="59"/>
      <c r="BL308" s="59"/>
      <c r="BM308" s="57"/>
      <c r="BN308" s="49"/>
      <c r="BO308" s="49"/>
      <c r="BP308" s="57"/>
      <c r="BQ308" s="49"/>
      <c r="BR308" s="49"/>
      <c r="BS308" s="57"/>
      <c r="BT308" s="49"/>
      <c r="BU308" s="49"/>
      <c r="BV308" s="57"/>
      <c r="BW308" s="19"/>
      <c r="BX308" s="59"/>
      <c r="BY308" s="27"/>
      <c r="BZ308" s="59"/>
      <c r="CA308" s="57"/>
      <c r="CB308" s="49"/>
      <c r="CC308" s="49"/>
      <c r="CD308" s="49"/>
      <c r="CE308" s="49"/>
      <c r="CF308" s="49"/>
      <c r="CG308" s="49"/>
      <c r="CH308" s="57"/>
      <c r="CI308" s="49"/>
      <c r="CJ308" s="49"/>
      <c r="CK308" s="57"/>
      <c r="CL308" s="49"/>
      <c r="CM308" s="49"/>
      <c r="CN308" s="49"/>
      <c r="CO308" s="49"/>
      <c r="CP308" s="49"/>
      <c r="CQ308" s="49"/>
      <c r="CR308" s="57"/>
      <c r="CS308" s="49"/>
      <c r="CT308" s="49"/>
      <c r="CU308" s="49"/>
      <c r="CV308" s="49"/>
      <c r="CW308" s="49"/>
      <c r="CX308" s="49"/>
      <c r="CY308" s="57"/>
      <c r="CZ308" s="49"/>
      <c r="DA308" s="49"/>
      <c r="DB308" s="49"/>
      <c r="DC308" s="49"/>
      <c r="DD308" s="49"/>
      <c r="DE308" s="49"/>
      <c r="DF308" s="57"/>
      <c r="DG308" s="49"/>
      <c r="DH308" s="49"/>
      <c r="DI308" s="49"/>
      <c r="DJ308" s="49"/>
      <c r="DK308" s="27"/>
      <c r="DL308" s="49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59"/>
      <c r="EC308" s="59"/>
      <c r="ED308" s="59"/>
      <c r="EE308" s="14"/>
      <c r="EF308" s="14"/>
      <c r="GN308" s="48"/>
    </row>
    <row r="309" spans="2:196" x14ac:dyDescent="0.25">
      <c r="B309" s="50"/>
      <c r="C309" s="50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9"/>
      <c r="BI309" s="49"/>
      <c r="BJ309" s="57"/>
      <c r="BK309" s="59"/>
      <c r="BL309" s="59"/>
      <c r="BM309" s="57"/>
      <c r="BN309" s="49"/>
      <c r="BO309" s="49"/>
      <c r="BP309" s="57"/>
      <c r="BQ309" s="49"/>
      <c r="BR309" s="49"/>
      <c r="BS309" s="57"/>
      <c r="BT309" s="49"/>
      <c r="BU309" s="49"/>
      <c r="BV309" s="57"/>
      <c r="BW309" s="19"/>
      <c r="BX309" s="59"/>
      <c r="BY309" s="27"/>
      <c r="BZ309" s="59"/>
      <c r="CA309" s="57"/>
      <c r="CB309" s="49"/>
      <c r="CC309" s="49"/>
      <c r="CD309" s="49"/>
      <c r="CE309" s="49"/>
      <c r="CF309" s="49"/>
      <c r="CG309" s="49"/>
      <c r="CH309" s="57"/>
      <c r="CI309" s="49"/>
      <c r="CJ309" s="49"/>
      <c r="CK309" s="57"/>
      <c r="CL309" s="49"/>
      <c r="CM309" s="49"/>
      <c r="CN309" s="49"/>
      <c r="CO309" s="49"/>
      <c r="CP309" s="49"/>
      <c r="CQ309" s="49"/>
      <c r="CR309" s="57"/>
      <c r="CS309" s="49"/>
      <c r="CT309" s="49"/>
      <c r="CU309" s="49"/>
      <c r="CV309" s="49"/>
      <c r="CW309" s="49"/>
      <c r="CX309" s="49"/>
      <c r="CY309" s="57"/>
      <c r="CZ309" s="49"/>
      <c r="DA309" s="49"/>
      <c r="DB309" s="49"/>
      <c r="DC309" s="49"/>
      <c r="DD309" s="49"/>
      <c r="DE309" s="49"/>
      <c r="DF309" s="57"/>
      <c r="DG309" s="49"/>
      <c r="DH309" s="49"/>
      <c r="DI309" s="49"/>
      <c r="DJ309" s="49"/>
      <c r="DK309" s="27"/>
      <c r="DL309" s="49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59"/>
      <c r="EC309" s="59"/>
      <c r="ED309" s="59"/>
      <c r="EE309" s="14"/>
      <c r="EF309" s="14"/>
      <c r="GN309" s="48"/>
    </row>
    <row r="310" spans="2:196" x14ac:dyDescent="0.25">
      <c r="B310" s="50"/>
      <c r="C310" s="50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9"/>
      <c r="BI310" s="49"/>
      <c r="BJ310" s="57"/>
      <c r="BK310" s="59"/>
      <c r="BL310" s="59"/>
      <c r="BM310" s="57"/>
      <c r="BN310" s="49"/>
      <c r="BO310" s="49"/>
      <c r="BP310" s="57"/>
      <c r="BQ310" s="49"/>
      <c r="BR310" s="49"/>
      <c r="BS310" s="57"/>
      <c r="BT310" s="49"/>
      <c r="BU310" s="49"/>
      <c r="BV310" s="57"/>
      <c r="BW310" s="19"/>
      <c r="BX310" s="59"/>
      <c r="BY310" s="27"/>
      <c r="BZ310" s="59"/>
      <c r="CA310" s="57"/>
      <c r="CB310" s="49"/>
      <c r="CC310" s="49"/>
      <c r="CD310" s="49"/>
      <c r="CE310" s="49"/>
      <c r="CF310" s="49"/>
      <c r="CG310" s="49"/>
      <c r="CH310" s="57"/>
      <c r="CI310" s="49"/>
      <c r="CJ310" s="49"/>
      <c r="CK310" s="57"/>
      <c r="CL310" s="49"/>
      <c r="CM310" s="49"/>
      <c r="CN310" s="49"/>
      <c r="CO310" s="49"/>
      <c r="CP310" s="49"/>
      <c r="CQ310" s="49"/>
      <c r="CR310" s="57"/>
      <c r="CS310" s="49"/>
      <c r="CT310" s="49"/>
      <c r="CU310" s="49"/>
      <c r="CV310" s="49"/>
      <c r="CW310" s="49"/>
      <c r="CX310" s="49"/>
      <c r="CY310" s="57"/>
      <c r="CZ310" s="49"/>
      <c r="DA310" s="49"/>
      <c r="DB310" s="49"/>
      <c r="DC310" s="49"/>
      <c r="DD310" s="49"/>
      <c r="DE310" s="49"/>
      <c r="DF310" s="57"/>
      <c r="DG310" s="49"/>
      <c r="DH310" s="49"/>
      <c r="DI310" s="49"/>
      <c r="DJ310" s="49"/>
      <c r="DK310" s="27"/>
      <c r="DL310" s="49"/>
      <c r="DM310" s="27"/>
      <c r="DN310" s="27"/>
      <c r="DO310" s="27"/>
      <c r="DP310" s="27"/>
      <c r="DQ310" s="27"/>
      <c r="DR310" s="27"/>
      <c r="DS310" s="27"/>
      <c r="DT310" s="27"/>
      <c r="DU310" s="27"/>
      <c r="DV310" s="27"/>
      <c r="DW310" s="27"/>
      <c r="DX310" s="27"/>
      <c r="DY310" s="27"/>
      <c r="DZ310" s="27"/>
      <c r="EA310" s="27"/>
      <c r="EB310" s="59"/>
      <c r="EC310" s="59"/>
      <c r="ED310" s="59"/>
      <c r="EE310" s="14"/>
      <c r="EF310" s="14"/>
      <c r="GN310" s="48"/>
    </row>
    <row r="311" spans="2:196" x14ac:dyDescent="0.25">
      <c r="B311" s="50"/>
      <c r="C311" s="50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9"/>
      <c r="BI311" s="49"/>
      <c r="BJ311" s="57"/>
      <c r="BK311" s="59"/>
      <c r="BL311" s="59"/>
      <c r="BM311" s="57"/>
      <c r="BN311" s="49"/>
      <c r="BO311" s="49"/>
      <c r="BP311" s="57"/>
      <c r="BQ311" s="49"/>
      <c r="BR311" s="49"/>
      <c r="BS311" s="57"/>
      <c r="BT311" s="49"/>
      <c r="BU311" s="49"/>
      <c r="BV311" s="57"/>
      <c r="BW311" s="19"/>
      <c r="BX311" s="59"/>
      <c r="BY311" s="27"/>
      <c r="BZ311" s="59"/>
      <c r="CA311" s="57"/>
      <c r="CB311" s="49"/>
      <c r="CC311" s="49"/>
      <c r="CD311" s="49"/>
      <c r="CE311" s="49"/>
      <c r="CF311" s="49"/>
      <c r="CG311" s="49"/>
      <c r="CH311" s="57"/>
      <c r="CI311" s="49"/>
      <c r="CJ311" s="49"/>
      <c r="CK311" s="57"/>
      <c r="CL311" s="49"/>
      <c r="CM311" s="49"/>
      <c r="CN311" s="49"/>
      <c r="CO311" s="49"/>
      <c r="CP311" s="49"/>
      <c r="CQ311" s="49"/>
      <c r="CR311" s="57"/>
      <c r="CS311" s="49"/>
      <c r="CT311" s="49"/>
      <c r="CU311" s="49"/>
      <c r="CV311" s="49"/>
      <c r="CW311" s="49"/>
      <c r="CX311" s="49"/>
      <c r="CY311" s="57"/>
      <c r="CZ311" s="49"/>
      <c r="DA311" s="49"/>
      <c r="DB311" s="49"/>
      <c r="DC311" s="49"/>
      <c r="DD311" s="49"/>
      <c r="DE311" s="49"/>
      <c r="DF311" s="57"/>
      <c r="DG311" s="49"/>
      <c r="DH311" s="49"/>
      <c r="DI311" s="49"/>
      <c r="DJ311" s="49"/>
      <c r="DK311" s="27"/>
      <c r="DL311" s="49"/>
      <c r="DM311" s="27"/>
      <c r="DN311" s="27"/>
      <c r="DO311" s="27"/>
      <c r="DP311" s="27"/>
      <c r="DQ311" s="27"/>
      <c r="DR311" s="27"/>
      <c r="DS311" s="27"/>
      <c r="DT311" s="27"/>
      <c r="DU311" s="27"/>
      <c r="DV311" s="27"/>
      <c r="DW311" s="27"/>
      <c r="DX311" s="27"/>
      <c r="DY311" s="27"/>
      <c r="DZ311" s="27"/>
      <c r="EA311" s="27"/>
      <c r="EB311" s="59"/>
      <c r="EC311" s="59"/>
      <c r="ED311" s="59"/>
      <c r="EE311" s="14"/>
      <c r="EF311" s="14"/>
      <c r="GN311" s="48"/>
    </row>
    <row r="312" spans="2:196" x14ac:dyDescent="0.25">
      <c r="B312" s="50"/>
      <c r="C312" s="50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9"/>
      <c r="BI312" s="49"/>
      <c r="BJ312" s="57"/>
      <c r="BK312" s="59"/>
      <c r="BL312" s="59"/>
      <c r="BM312" s="57"/>
      <c r="BN312" s="49"/>
      <c r="BO312" s="49"/>
      <c r="BP312" s="57"/>
      <c r="BQ312" s="49"/>
      <c r="BR312" s="49"/>
      <c r="BS312" s="57"/>
      <c r="BT312" s="49"/>
      <c r="BU312" s="49"/>
      <c r="BV312" s="57"/>
      <c r="BW312" s="19"/>
      <c r="BX312" s="59"/>
      <c r="BY312" s="27"/>
      <c r="BZ312" s="59"/>
      <c r="CA312" s="57"/>
      <c r="CB312" s="49"/>
      <c r="CC312" s="49"/>
      <c r="CD312" s="49"/>
      <c r="CE312" s="49"/>
      <c r="CF312" s="49"/>
      <c r="CG312" s="49"/>
      <c r="CH312" s="57"/>
      <c r="CI312" s="49"/>
      <c r="CJ312" s="49"/>
      <c r="CK312" s="57"/>
      <c r="CL312" s="49"/>
      <c r="CM312" s="49"/>
      <c r="CN312" s="49"/>
      <c r="CO312" s="49"/>
      <c r="CP312" s="49"/>
      <c r="CQ312" s="49"/>
      <c r="CR312" s="57"/>
      <c r="CS312" s="49"/>
      <c r="CT312" s="49"/>
      <c r="CU312" s="49"/>
      <c r="CV312" s="49"/>
      <c r="CW312" s="49"/>
      <c r="CX312" s="49"/>
      <c r="CY312" s="57"/>
      <c r="CZ312" s="49"/>
      <c r="DA312" s="49"/>
      <c r="DB312" s="49"/>
      <c r="DC312" s="49"/>
      <c r="DD312" s="49"/>
      <c r="DE312" s="49"/>
      <c r="DF312" s="57"/>
      <c r="DG312" s="49"/>
      <c r="DH312" s="49"/>
      <c r="DI312" s="49"/>
      <c r="DJ312" s="49"/>
      <c r="DK312" s="27"/>
      <c r="DL312" s="49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59"/>
      <c r="EC312" s="59"/>
      <c r="ED312" s="59"/>
      <c r="EE312" s="14"/>
      <c r="EF312" s="14"/>
      <c r="GN312" s="48"/>
    </row>
    <row r="313" spans="2:196" x14ac:dyDescent="0.25">
      <c r="B313" s="50"/>
      <c r="C313" s="50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9"/>
      <c r="BI313" s="49"/>
      <c r="BJ313" s="57"/>
      <c r="BK313" s="59"/>
      <c r="BL313" s="59"/>
      <c r="BM313" s="57"/>
      <c r="BN313" s="49"/>
      <c r="BO313" s="49"/>
      <c r="BP313" s="57"/>
      <c r="BQ313" s="49"/>
      <c r="BR313" s="49"/>
      <c r="BS313" s="57"/>
      <c r="BT313" s="49"/>
      <c r="BU313" s="49"/>
      <c r="BV313" s="57"/>
      <c r="BW313" s="19"/>
      <c r="BX313" s="59"/>
      <c r="BY313" s="27"/>
      <c r="BZ313" s="59"/>
      <c r="CA313" s="57"/>
      <c r="CB313" s="49"/>
      <c r="CC313" s="49"/>
      <c r="CD313" s="49"/>
      <c r="CE313" s="49"/>
      <c r="CF313" s="49"/>
      <c r="CG313" s="49"/>
      <c r="CH313" s="57"/>
      <c r="CI313" s="49"/>
      <c r="CJ313" s="49"/>
      <c r="CK313" s="57"/>
      <c r="CL313" s="49"/>
      <c r="CM313" s="49"/>
      <c r="CN313" s="49"/>
      <c r="CO313" s="49"/>
      <c r="CP313" s="49"/>
      <c r="CQ313" s="49"/>
      <c r="CR313" s="57"/>
      <c r="CS313" s="49"/>
      <c r="CT313" s="49"/>
      <c r="CU313" s="49"/>
      <c r="CV313" s="49"/>
      <c r="CW313" s="49"/>
      <c r="CX313" s="49"/>
      <c r="CY313" s="57"/>
      <c r="CZ313" s="49"/>
      <c r="DA313" s="49"/>
      <c r="DB313" s="49"/>
      <c r="DC313" s="49"/>
      <c r="DD313" s="49"/>
      <c r="DE313" s="49"/>
      <c r="DF313" s="57"/>
      <c r="DG313" s="49"/>
      <c r="DH313" s="49"/>
      <c r="DI313" s="49"/>
      <c r="DJ313" s="49"/>
      <c r="DK313" s="27"/>
      <c r="DL313" s="49"/>
      <c r="DM313" s="27"/>
      <c r="DN313" s="27"/>
      <c r="DO313" s="27"/>
      <c r="DP313" s="27"/>
      <c r="DQ313" s="27"/>
      <c r="DR313" s="27"/>
      <c r="DS313" s="27"/>
      <c r="DT313" s="27"/>
      <c r="DU313" s="27"/>
      <c r="DV313" s="27"/>
      <c r="DW313" s="27"/>
      <c r="DX313" s="27"/>
      <c r="DY313" s="27"/>
      <c r="DZ313" s="27"/>
      <c r="EA313" s="27"/>
      <c r="EB313" s="59"/>
      <c r="EC313" s="59"/>
      <c r="ED313" s="59"/>
      <c r="EE313" s="14"/>
      <c r="EF313" s="14"/>
      <c r="GN313" s="48"/>
    </row>
    <row r="314" spans="2:196" x14ac:dyDescent="0.25">
      <c r="B314" s="50"/>
      <c r="C314" s="50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9"/>
      <c r="BI314" s="49"/>
      <c r="BJ314" s="57"/>
      <c r="BK314" s="59"/>
      <c r="BL314" s="59"/>
      <c r="BM314" s="57"/>
      <c r="BN314" s="49"/>
      <c r="BO314" s="49"/>
      <c r="BP314" s="57"/>
      <c r="BQ314" s="49"/>
      <c r="BR314" s="49"/>
      <c r="BS314" s="57"/>
      <c r="BT314" s="49"/>
      <c r="BU314" s="49"/>
      <c r="BV314" s="57"/>
      <c r="BW314" s="19"/>
      <c r="BX314" s="59"/>
      <c r="BY314" s="27"/>
      <c r="BZ314" s="59"/>
      <c r="CA314" s="57"/>
      <c r="CB314" s="49"/>
      <c r="CC314" s="49"/>
      <c r="CD314" s="49"/>
      <c r="CE314" s="49"/>
      <c r="CF314" s="49"/>
      <c r="CG314" s="49"/>
      <c r="CH314" s="57"/>
      <c r="CI314" s="49"/>
      <c r="CJ314" s="49"/>
      <c r="CK314" s="57"/>
      <c r="CL314" s="49"/>
      <c r="CM314" s="49"/>
      <c r="CN314" s="49"/>
      <c r="CO314" s="49"/>
      <c r="CP314" s="49"/>
      <c r="CQ314" s="49"/>
      <c r="CR314" s="57"/>
      <c r="CS314" s="49"/>
      <c r="CT314" s="49"/>
      <c r="CU314" s="49"/>
      <c r="CV314" s="49"/>
      <c r="CW314" s="49"/>
      <c r="CX314" s="49"/>
      <c r="CY314" s="57"/>
      <c r="CZ314" s="49"/>
      <c r="DA314" s="49"/>
      <c r="DB314" s="49"/>
      <c r="DC314" s="49"/>
      <c r="DD314" s="49"/>
      <c r="DE314" s="49"/>
      <c r="DF314" s="57"/>
      <c r="DG314" s="49"/>
      <c r="DH314" s="49"/>
      <c r="DI314" s="49"/>
      <c r="DJ314" s="49"/>
      <c r="DK314" s="27"/>
      <c r="DL314" s="49"/>
      <c r="DM314" s="27"/>
      <c r="DN314" s="27"/>
      <c r="DO314" s="27"/>
      <c r="DP314" s="27"/>
      <c r="DQ314" s="27"/>
      <c r="DR314" s="27"/>
      <c r="DS314" s="27"/>
      <c r="DT314" s="27"/>
      <c r="DU314" s="27"/>
      <c r="DV314" s="27"/>
      <c r="DW314" s="27"/>
      <c r="DX314" s="27"/>
      <c r="DY314" s="27"/>
      <c r="DZ314" s="27"/>
      <c r="EA314" s="27"/>
      <c r="EB314" s="59"/>
      <c r="EC314" s="59"/>
      <c r="ED314" s="59"/>
      <c r="EE314" s="14"/>
      <c r="EF314" s="14"/>
      <c r="GN314" s="48"/>
    </row>
    <row r="315" spans="2:196" x14ac:dyDescent="0.25">
      <c r="B315" s="50"/>
      <c r="C315" s="50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9"/>
      <c r="BI315" s="49"/>
      <c r="BJ315" s="57"/>
      <c r="BK315" s="59"/>
      <c r="BL315" s="59"/>
      <c r="BM315" s="57"/>
      <c r="BN315" s="49"/>
      <c r="BO315" s="49"/>
      <c r="BP315" s="57"/>
      <c r="BQ315" s="49"/>
      <c r="BR315" s="49"/>
      <c r="BS315" s="57"/>
      <c r="BT315" s="49"/>
      <c r="BU315" s="49"/>
      <c r="BV315" s="57"/>
      <c r="BW315" s="19"/>
      <c r="BX315" s="59"/>
      <c r="BY315" s="27"/>
      <c r="BZ315" s="59"/>
      <c r="CA315" s="57"/>
      <c r="CB315" s="49"/>
      <c r="CC315" s="49"/>
      <c r="CD315" s="49"/>
      <c r="CE315" s="49"/>
      <c r="CF315" s="49"/>
      <c r="CG315" s="49"/>
      <c r="CH315" s="57"/>
      <c r="CI315" s="49"/>
      <c r="CJ315" s="49"/>
      <c r="CK315" s="57"/>
      <c r="CL315" s="49"/>
      <c r="CM315" s="49"/>
      <c r="CN315" s="49"/>
      <c r="CO315" s="49"/>
      <c r="CP315" s="49"/>
      <c r="CQ315" s="49"/>
      <c r="CR315" s="57"/>
      <c r="CS315" s="49"/>
      <c r="CT315" s="49"/>
      <c r="CU315" s="49"/>
      <c r="CV315" s="49"/>
      <c r="CW315" s="49"/>
      <c r="CX315" s="49"/>
      <c r="CY315" s="57"/>
      <c r="CZ315" s="49"/>
      <c r="DA315" s="49"/>
      <c r="DB315" s="49"/>
      <c r="DC315" s="49"/>
      <c r="DD315" s="49"/>
      <c r="DE315" s="49"/>
      <c r="DF315" s="57"/>
      <c r="DG315" s="49"/>
      <c r="DH315" s="49"/>
      <c r="DI315" s="49"/>
      <c r="DJ315" s="49"/>
      <c r="DK315" s="27"/>
      <c r="DL315" s="49"/>
      <c r="DM315" s="27"/>
      <c r="DN315" s="27"/>
      <c r="DO315" s="27"/>
      <c r="DP315" s="27"/>
      <c r="DQ315" s="27"/>
      <c r="DR315" s="27"/>
      <c r="DS315" s="27"/>
      <c r="DT315" s="27"/>
      <c r="DU315" s="27"/>
      <c r="DV315" s="27"/>
      <c r="DW315" s="27"/>
      <c r="DX315" s="27"/>
      <c r="DY315" s="27"/>
      <c r="DZ315" s="27"/>
      <c r="EA315" s="27"/>
      <c r="EB315" s="59"/>
      <c r="EC315" s="59"/>
      <c r="ED315" s="59"/>
      <c r="EE315" s="14"/>
      <c r="EF315" s="14"/>
      <c r="GN315" s="48"/>
    </row>
    <row r="316" spans="2:196" x14ac:dyDescent="0.25">
      <c r="B316" s="50"/>
      <c r="C316" s="50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9"/>
      <c r="BI316" s="49"/>
      <c r="BJ316" s="57"/>
      <c r="BK316" s="59"/>
      <c r="BL316" s="59"/>
      <c r="BM316" s="57"/>
      <c r="BN316" s="49"/>
      <c r="BO316" s="49"/>
      <c r="BP316" s="57"/>
      <c r="BQ316" s="49"/>
      <c r="BR316" s="49"/>
      <c r="BS316" s="57"/>
      <c r="BT316" s="49"/>
      <c r="BU316" s="49"/>
      <c r="BV316" s="57"/>
      <c r="BW316" s="19"/>
      <c r="BX316" s="59"/>
      <c r="BY316" s="27"/>
      <c r="BZ316" s="59"/>
      <c r="CA316" s="57"/>
      <c r="CB316" s="49"/>
      <c r="CC316" s="49"/>
      <c r="CD316" s="49"/>
      <c r="CE316" s="49"/>
      <c r="CF316" s="49"/>
      <c r="CG316" s="49"/>
      <c r="CH316" s="57"/>
      <c r="CI316" s="49"/>
      <c r="CJ316" s="49"/>
      <c r="CK316" s="57"/>
      <c r="CL316" s="49"/>
      <c r="CM316" s="49"/>
      <c r="CN316" s="49"/>
      <c r="CO316" s="49"/>
      <c r="CP316" s="49"/>
      <c r="CQ316" s="49"/>
      <c r="CR316" s="57"/>
      <c r="CS316" s="49"/>
      <c r="CT316" s="49"/>
      <c r="CU316" s="49"/>
      <c r="CV316" s="49"/>
      <c r="CW316" s="49"/>
      <c r="CX316" s="49"/>
      <c r="CY316" s="57"/>
      <c r="CZ316" s="49"/>
      <c r="DA316" s="49"/>
      <c r="DB316" s="49"/>
      <c r="DC316" s="49"/>
      <c r="DD316" s="49"/>
      <c r="DE316" s="49"/>
      <c r="DF316" s="57"/>
      <c r="DG316" s="49"/>
      <c r="DH316" s="49"/>
      <c r="DI316" s="49"/>
      <c r="DJ316" s="49"/>
      <c r="DK316" s="27"/>
      <c r="DL316" s="49"/>
      <c r="DM316" s="27"/>
      <c r="DN316" s="27"/>
      <c r="DO316" s="27"/>
      <c r="DP316" s="27"/>
      <c r="DQ316" s="27"/>
      <c r="DR316" s="27"/>
      <c r="DS316" s="27"/>
      <c r="DT316" s="27"/>
      <c r="DU316" s="27"/>
      <c r="DV316" s="27"/>
      <c r="DW316" s="27"/>
      <c r="DX316" s="27"/>
      <c r="DY316" s="27"/>
      <c r="DZ316" s="27"/>
      <c r="EA316" s="27"/>
      <c r="EB316" s="59"/>
      <c r="EC316" s="59"/>
      <c r="ED316" s="59"/>
      <c r="EE316" s="14"/>
      <c r="EF316" s="14"/>
      <c r="GN316" s="48"/>
    </row>
    <row r="317" spans="2:196" x14ac:dyDescent="0.25">
      <c r="B317" s="50"/>
      <c r="C317" s="50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9"/>
      <c r="BI317" s="49"/>
      <c r="BJ317" s="57"/>
      <c r="BK317" s="59"/>
      <c r="BL317" s="59"/>
      <c r="BM317" s="57"/>
      <c r="BN317" s="49"/>
      <c r="BO317" s="49"/>
      <c r="BP317" s="57"/>
      <c r="BQ317" s="49"/>
      <c r="BR317" s="49"/>
      <c r="BS317" s="57"/>
      <c r="BT317" s="49"/>
      <c r="BU317" s="49"/>
      <c r="BV317" s="57"/>
      <c r="BW317" s="19"/>
      <c r="BX317" s="59"/>
      <c r="BY317" s="27"/>
      <c r="BZ317" s="59"/>
      <c r="CA317" s="57"/>
      <c r="CB317" s="49"/>
      <c r="CC317" s="49"/>
      <c r="CD317" s="49"/>
      <c r="CE317" s="49"/>
      <c r="CF317" s="49"/>
      <c r="CG317" s="49"/>
      <c r="CH317" s="57"/>
      <c r="CI317" s="49"/>
      <c r="CJ317" s="49"/>
      <c r="CK317" s="57"/>
      <c r="CL317" s="49"/>
      <c r="CM317" s="49"/>
      <c r="CN317" s="49"/>
      <c r="CO317" s="49"/>
      <c r="CP317" s="49"/>
      <c r="CQ317" s="49"/>
      <c r="CR317" s="57"/>
      <c r="CS317" s="49"/>
      <c r="CT317" s="49"/>
      <c r="CU317" s="49"/>
      <c r="CV317" s="49"/>
      <c r="CW317" s="49"/>
      <c r="CX317" s="49"/>
      <c r="CY317" s="57"/>
      <c r="CZ317" s="49"/>
      <c r="DA317" s="49"/>
      <c r="DB317" s="49"/>
      <c r="DC317" s="49"/>
      <c r="DD317" s="49"/>
      <c r="DE317" s="49"/>
      <c r="DF317" s="57"/>
      <c r="DG317" s="49"/>
      <c r="DH317" s="49"/>
      <c r="DI317" s="49"/>
      <c r="DJ317" s="49"/>
      <c r="DK317" s="27"/>
      <c r="DL317" s="49"/>
      <c r="DM317" s="27"/>
      <c r="DN317" s="27"/>
      <c r="DO317" s="27"/>
      <c r="DP317" s="27"/>
      <c r="DQ317" s="27"/>
      <c r="DR317" s="27"/>
      <c r="DS317" s="27"/>
      <c r="DT317" s="27"/>
      <c r="DU317" s="27"/>
      <c r="DV317" s="27"/>
      <c r="DW317" s="27"/>
      <c r="DX317" s="27"/>
      <c r="DY317" s="27"/>
      <c r="DZ317" s="27"/>
      <c r="EA317" s="27"/>
      <c r="EB317" s="59"/>
      <c r="EC317" s="59"/>
      <c r="ED317" s="59"/>
      <c r="EE317" s="14"/>
      <c r="EF317" s="14"/>
      <c r="GN317" s="48"/>
    </row>
    <row r="318" spans="2:196" x14ac:dyDescent="0.25">
      <c r="B318" s="50"/>
      <c r="C318" s="50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9"/>
      <c r="BI318" s="49"/>
      <c r="BJ318" s="57"/>
      <c r="BK318" s="59"/>
      <c r="BL318" s="59"/>
      <c r="BM318" s="57"/>
      <c r="BN318" s="49"/>
      <c r="BO318" s="49"/>
      <c r="BP318" s="57"/>
      <c r="BQ318" s="49"/>
      <c r="BR318" s="49"/>
      <c r="BS318" s="57"/>
      <c r="BT318" s="49"/>
      <c r="BU318" s="49"/>
      <c r="BV318" s="57"/>
      <c r="BW318" s="19"/>
      <c r="BX318" s="59"/>
      <c r="BY318" s="27"/>
      <c r="BZ318" s="59"/>
      <c r="CA318" s="57"/>
      <c r="CB318" s="49"/>
      <c r="CC318" s="49"/>
      <c r="CD318" s="49"/>
      <c r="CE318" s="49"/>
      <c r="CF318" s="49"/>
      <c r="CG318" s="49"/>
      <c r="CH318" s="57"/>
      <c r="CI318" s="49"/>
      <c r="CJ318" s="49"/>
      <c r="CK318" s="57"/>
      <c r="CL318" s="49"/>
      <c r="CM318" s="49"/>
      <c r="CN318" s="49"/>
      <c r="CO318" s="49"/>
      <c r="CP318" s="49"/>
      <c r="CQ318" s="49"/>
      <c r="CR318" s="57"/>
      <c r="CS318" s="49"/>
      <c r="CT318" s="49"/>
      <c r="CU318" s="49"/>
      <c r="CV318" s="49"/>
      <c r="CW318" s="49"/>
      <c r="CX318" s="49"/>
      <c r="CY318" s="57"/>
      <c r="CZ318" s="49"/>
      <c r="DA318" s="49"/>
      <c r="DB318" s="49"/>
      <c r="DC318" s="49"/>
      <c r="DD318" s="49"/>
      <c r="DE318" s="49"/>
      <c r="DF318" s="57"/>
      <c r="DG318" s="49"/>
      <c r="DH318" s="49"/>
      <c r="DI318" s="49"/>
      <c r="DJ318" s="49"/>
      <c r="DK318" s="27"/>
      <c r="DL318" s="49"/>
      <c r="DM318" s="27"/>
      <c r="DN318" s="27"/>
      <c r="DO318" s="27"/>
      <c r="DP318" s="27"/>
      <c r="DQ318" s="27"/>
      <c r="DR318" s="27"/>
      <c r="DS318" s="27"/>
      <c r="DT318" s="27"/>
      <c r="DU318" s="27"/>
      <c r="DV318" s="27"/>
      <c r="DW318" s="27"/>
      <c r="DX318" s="27"/>
      <c r="DY318" s="27"/>
      <c r="DZ318" s="27"/>
      <c r="EA318" s="27"/>
      <c r="EB318" s="59"/>
      <c r="EC318" s="59"/>
      <c r="ED318" s="59"/>
      <c r="EE318" s="14"/>
      <c r="EF318" s="14"/>
      <c r="GN318" s="48"/>
    </row>
    <row r="319" spans="2:196" x14ac:dyDescent="0.25">
      <c r="B319" s="50"/>
      <c r="C319" s="50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9"/>
      <c r="BI319" s="49"/>
      <c r="BJ319" s="57"/>
      <c r="BK319" s="59"/>
      <c r="BL319" s="59"/>
      <c r="BM319" s="57"/>
      <c r="BN319" s="49"/>
      <c r="BO319" s="49"/>
      <c r="BP319" s="57"/>
      <c r="BQ319" s="49"/>
      <c r="BR319" s="49"/>
      <c r="BS319" s="57"/>
      <c r="BT319" s="49"/>
      <c r="BU319" s="49"/>
      <c r="BV319" s="57"/>
      <c r="BW319" s="19"/>
      <c r="BX319" s="59"/>
      <c r="BY319" s="27"/>
      <c r="BZ319" s="59"/>
      <c r="CA319" s="57"/>
      <c r="CB319" s="49"/>
      <c r="CC319" s="49"/>
      <c r="CD319" s="49"/>
      <c r="CE319" s="49"/>
      <c r="CF319" s="49"/>
      <c r="CG319" s="49"/>
      <c r="CH319" s="57"/>
      <c r="CI319" s="49"/>
      <c r="CJ319" s="49"/>
      <c r="CK319" s="57"/>
      <c r="CL319" s="49"/>
      <c r="CM319" s="49"/>
      <c r="CN319" s="49"/>
      <c r="CO319" s="49"/>
      <c r="CP319" s="49"/>
      <c r="CQ319" s="49"/>
      <c r="CR319" s="57"/>
      <c r="CS319" s="49"/>
      <c r="CT319" s="49"/>
      <c r="CU319" s="49"/>
      <c r="CV319" s="49"/>
      <c r="CW319" s="49"/>
      <c r="CX319" s="49"/>
      <c r="CY319" s="57"/>
      <c r="CZ319" s="49"/>
      <c r="DA319" s="49"/>
      <c r="DB319" s="49"/>
      <c r="DC319" s="49"/>
      <c r="DD319" s="49"/>
      <c r="DE319" s="49"/>
      <c r="DF319" s="57"/>
      <c r="DG319" s="49"/>
      <c r="DH319" s="49"/>
      <c r="DI319" s="49"/>
      <c r="DJ319" s="49"/>
      <c r="DK319" s="27"/>
      <c r="DL319" s="49"/>
      <c r="DM319" s="27"/>
      <c r="DN319" s="27"/>
      <c r="DO319" s="27"/>
      <c r="DP319" s="27"/>
      <c r="DQ319" s="27"/>
      <c r="DR319" s="27"/>
      <c r="DS319" s="27"/>
      <c r="DT319" s="27"/>
      <c r="DU319" s="27"/>
      <c r="DV319" s="27"/>
      <c r="DW319" s="27"/>
      <c r="DX319" s="27"/>
      <c r="DY319" s="27"/>
      <c r="DZ319" s="27"/>
      <c r="EA319" s="27"/>
      <c r="EB319" s="59"/>
      <c r="EC319" s="59"/>
      <c r="ED319" s="59"/>
      <c r="EE319" s="14"/>
      <c r="EF319" s="14"/>
      <c r="GN319" s="48"/>
    </row>
    <row r="320" spans="2:196" x14ac:dyDescent="0.25">
      <c r="B320" s="50"/>
      <c r="C320" s="50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9"/>
      <c r="BI320" s="49"/>
      <c r="BJ320" s="57"/>
      <c r="BK320" s="59"/>
      <c r="BL320" s="59"/>
      <c r="BM320" s="57"/>
      <c r="BN320" s="49"/>
      <c r="BO320" s="49"/>
      <c r="BP320" s="57"/>
      <c r="BQ320" s="49"/>
      <c r="BR320" s="49"/>
      <c r="BS320" s="57"/>
      <c r="BT320" s="49"/>
      <c r="BU320" s="49"/>
      <c r="BV320" s="57"/>
      <c r="BW320" s="19"/>
      <c r="BX320" s="59"/>
      <c r="BY320" s="27"/>
      <c r="BZ320" s="59"/>
      <c r="CA320" s="57"/>
      <c r="CB320" s="49"/>
      <c r="CC320" s="49"/>
      <c r="CD320" s="49"/>
      <c r="CE320" s="49"/>
      <c r="CF320" s="49"/>
      <c r="CG320" s="49"/>
      <c r="CH320" s="57"/>
      <c r="CI320" s="49"/>
      <c r="CJ320" s="49"/>
      <c r="CK320" s="57"/>
      <c r="CL320" s="49"/>
      <c r="CM320" s="49"/>
      <c r="CN320" s="49"/>
      <c r="CO320" s="49"/>
      <c r="CP320" s="49"/>
      <c r="CQ320" s="49"/>
      <c r="CR320" s="57"/>
      <c r="CS320" s="49"/>
      <c r="CT320" s="49"/>
      <c r="CU320" s="49"/>
      <c r="CV320" s="49"/>
      <c r="CW320" s="49"/>
      <c r="CX320" s="49"/>
      <c r="CY320" s="57"/>
      <c r="CZ320" s="49"/>
      <c r="DA320" s="49"/>
      <c r="DB320" s="49"/>
      <c r="DC320" s="49"/>
      <c r="DD320" s="49"/>
      <c r="DE320" s="49"/>
      <c r="DF320" s="57"/>
      <c r="DG320" s="49"/>
      <c r="DH320" s="49"/>
      <c r="DI320" s="49"/>
      <c r="DJ320" s="49"/>
      <c r="DK320" s="27"/>
      <c r="DL320" s="49"/>
      <c r="DM320" s="27"/>
      <c r="DN320" s="27"/>
      <c r="DO320" s="27"/>
      <c r="DP320" s="27"/>
      <c r="DQ320" s="27"/>
      <c r="DR320" s="27"/>
      <c r="DS320" s="27"/>
      <c r="DT320" s="27"/>
      <c r="DU320" s="27"/>
      <c r="DV320" s="27"/>
      <c r="DW320" s="27"/>
      <c r="DX320" s="27"/>
      <c r="DY320" s="27"/>
      <c r="DZ320" s="27"/>
      <c r="EA320" s="27"/>
      <c r="EB320" s="59"/>
      <c r="EC320" s="59"/>
      <c r="ED320" s="59"/>
      <c r="EE320" s="14"/>
      <c r="EF320" s="14"/>
      <c r="GN320" s="48"/>
    </row>
    <row r="321" spans="2:196" x14ac:dyDescent="0.25">
      <c r="B321" s="50"/>
      <c r="C321" s="50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9"/>
      <c r="BI321" s="49"/>
      <c r="BJ321" s="57"/>
      <c r="BK321" s="59"/>
      <c r="BL321" s="59"/>
      <c r="BM321" s="57"/>
      <c r="BN321" s="49"/>
      <c r="BO321" s="49"/>
      <c r="BP321" s="57"/>
      <c r="BQ321" s="49"/>
      <c r="BR321" s="49"/>
      <c r="BS321" s="57"/>
      <c r="BT321" s="49"/>
      <c r="BU321" s="49"/>
      <c r="BV321" s="57"/>
      <c r="BW321" s="19"/>
      <c r="BX321" s="59"/>
      <c r="BY321" s="27"/>
      <c r="BZ321" s="59"/>
      <c r="CA321" s="57"/>
      <c r="CB321" s="49"/>
      <c r="CC321" s="49"/>
      <c r="CD321" s="49"/>
      <c r="CE321" s="49"/>
      <c r="CF321" s="49"/>
      <c r="CG321" s="49"/>
      <c r="CH321" s="57"/>
      <c r="CI321" s="49"/>
      <c r="CJ321" s="49"/>
      <c r="CK321" s="57"/>
      <c r="CL321" s="49"/>
      <c r="CM321" s="49"/>
      <c r="CN321" s="49"/>
      <c r="CO321" s="49"/>
      <c r="CP321" s="49"/>
      <c r="CQ321" s="49"/>
      <c r="CR321" s="57"/>
      <c r="CS321" s="49"/>
      <c r="CT321" s="49"/>
      <c r="CU321" s="49"/>
      <c r="CV321" s="49"/>
      <c r="CW321" s="49"/>
      <c r="CX321" s="49"/>
      <c r="CY321" s="57"/>
      <c r="CZ321" s="49"/>
      <c r="DA321" s="49"/>
      <c r="DB321" s="49"/>
      <c r="DC321" s="49"/>
      <c r="DD321" s="49"/>
      <c r="DE321" s="49"/>
      <c r="DF321" s="57"/>
      <c r="DG321" s="49"/>
      <c r="DH321" s="49"/>
      <c r="DI321" s="49"/>
      <c r="DJ321" s="49"/>
      <c r="DK321" s="27"/>
      <c r="DL321" s="49"/>
      <c r="DM321" s="27"/>
      <c r="DN321" s="27"/>
      <c r="DO321" s="27"/>
      <c r="DP321" s="27"/>
      <c r="DQ321" s="27"/>
      <c r="DR321" s="27"/>
      <c r="DS321" s="27"/>
      <c r="DT321" s="27"/>
      <c r="DU321" s="27"/>
      <c r="DV321" s="27"/>
      <c r="DW321" s="27"/>
      <c r="DX321" s="27"/>
      <c r="DY321" s="27"/>
      <c r="DZ321" s="27"/>
      <c r="EA321" s="27"/>
      <c r="EB321" s="59"/>
      <c r="EC321" s="59"/>
      <c r="ED321" s="59"/>
      <c r="EE321" s="14"/>
      <c r="EF321" s="14"/>
      <c r="GN321" s="48"/>
    </row>
    <row r="322" spans="2:196" x14ac:dyDescent="0.25">
      <c r="B322" s="50"/>
      <c r="C322" s="50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9"/>
      <c r="BI322" s="49"/>
      <c r="BJ322" s="57"/>
      <c r="BK322" s="59"/>
      <c r="BL322" s="59"/>
      <c r="BM322" s="57"/>
      <c r="BN322" s="49"/>
      <c r="BO322" s="49"/>
      <c r="BP322" s="57"/>
      <c r="BQ322" s="49"/>
      <c r="BR322" s="49"/>
      <c r="BS322" s="57"/>
      <c r="BT322" s="49"/>
      <c r="BU322" s="49"/>
      <c r="BV322" s="57"/>
      <c r="BW322" s="19"/>
      <c r="BX322" s="59"/>
      <c r="BY322" s="27"/>
      <c r="BZ322" s="59"/>
      <c r="CA322" s="57"/>
      <c r="CB322" s="49"/>
      <c r="CC322" s="49"/>
      <c r="CD322" s="49"/>
      <c r="CE322" s="49"/>
      <c r="CF322" s="49"/>
      <c r="CG322" s="49"/>
      <c r="CH322" s="57"/>
      <c r="CI322" s="49"/>
      <c r="CJ322" s="49"/>
      <c r="CK322" s="57"/>
      <c r="CL322" s="49"/>
      <c r="CM322" s="49"/>
      <c r="CN322" s="49"/>
      <c r="CO322" s="49"/>
      <c r="CP322" s="49"/>
      <c r="CQ322" s="49"/>
      <c r="CR322" s="57"/>
      <c r="CS322" s="49"/>
      <c r="CT322" s="49"/>
      <c r="CU322" s="49"/>
      <c r="CV322" s="49"/>
      <c r="CW322" s="49"/>
      <c r="CX322" s="49"/>
      <c r="CY322" s="57"/>
      <c r="CZ322" s="49"/>
      <c r="DA322" s="49"/>
      <c r="DB322" s="49"/>
      <c r="DC322" s="49"/>
      <c r="DD322" s="49"/>
      <c r="DE322" s="49"/>
      <c r="DF322" s="57"/>
      <c r="DG322" s="49"/>
      <c r="DH322" s="49"/>
      <c r="DI322" s="49"/>
      <c r="DJ322" s="49"/>
      <c r="DK322" s="27"/>
      <c r="DL322" s="49"/>
      <c r="DM322" s="27"/>
      <c r="DN322" s="27"/>
      <c r="DO322" s="27"/>
      <c r="DP322" s="27"/>
      <c r="DQ322" s="27"/>
      <c r="DR322" s="27"/>
      <c r="DS322" s="27"/>
      <c r="DT322" s="27"/>
      <c r="DU322" s="27"/>
      <c r="DV322" s="27"/>
      <c r="DW322" s="27"/>
      <c r="DX322" s="27"/>
      <c r="DY322" s="27"/>
      <c r="DZ322" s="27"/>
      <c r="EA322" s="27"/>
      <c r="EB322" s="59"/>
      <c r="EC322" s="59"/>
      <c r="ED322" s="59"/>
      <c r="EE322" s="14"/>
      <c r="EF322" s="14"/>
      <c r="GN322" s="48"/>
    </row>
    <row r="323" spans="2:196" x14ac:dyDescent="0.25">
      <c r="B323" s="50"/>
      <c r="C323" s="50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9"/>
      <c r="BI323" s="49"/>
      <c r="BJ323" s="57"/>
      <c r="BK323" s="59"/>
      <c r="BL323" s="59"/>
      <c r="BM323" s="57"/>
      <c r="BN323" s="49"/>
      <c r="BO323" s="49"/>
      <c r="BP323" s="57"/>
      <c r="BQ323" s="49"/>
      <c r="BR323" s="49"/>
      <c r="BS323" s="57"/>
      <c r="BT323" s="49"/>
      <c r="BU323" s="49"/>
      <c r="BV323" s="57"/>
      <c r="BW323" s="19"/>
      <c r="BX323" s="59"/>
      <c r="BY323" s="27"/>
      <c r="BZ323" s="59"/>
      <c r="CA323" s="57"/>
      <c r="CB323" s="49"/>
      <c r="CC323" s="49"/>
      <c r="CD323" s="49"/>
      <c r="CE323" s="49"/>
      <c r="CF323" s="49"/>
      <c r="CG323" s="49"/>
      <c r="CH323" s="57"/>
      <c r="CI323" s="49"/>
      <c r="CJ323" s="49"/>
      <c r="CK323" s="57"/>
      <c r="CL323" s="49"/>
      <c r="CM323" s="49"/>
      <c r="CN323" s="49"/>
      <c r="CO323" s="49"/>
      <c r="CP323" s="49"/>
      <c r="CQ323" s="49"/>
      <c r="CR323" s="57"/>
      <c r="CS323" s="49"/>
      <c r="CT323" s="49"/>
      <c r="CU323" s="49"/>
      <c r="CV323" s="49"/>
      <c r="CW323" s="49"/>
      <c r="CX323" s="49"/>
      <c r="CY323" s="57"/>
      <c r="CZ323" s="49"/>
      <c r="DA323" s="49"/>
      <c r="DB323" s="49"/>
      <c r="DC323" s="49"/>
      <c r="DD323" s="49"/>
      <c r="DE323" s="49"/>
      <c r="DF323" s="57"/>
      <c r="DG323" s="49"/>
      <c r="DH323" s="49"/>
      <c r="DI323" s="49"/>
      <c r="DJ323" s="49"/>
      <c r="DK323" s="27"/>
      <c r="DL323" s="49"/>
      <c r="DM323" s="27"/>
      <c r="DN323" s="27"/>
      <c r="DO323" s="27"/>
      <c r="DP323" s="27"/>
      <c r="DQ323" s="27"/>
      <c r="DR323" s="27"/>
      <c r="DS323" s="27"/>
      <c r="DT323" s="27"/>
      <c r="DU323" s="27"/>
      <c r="DV323" s="27"/>
      <c r="DW323" s="27"/>
      <c r="DX323" s="27"/>
      <c r="DY323" s="27"/>
      <c r="DZ323" s="27"/>
      <c r="EA323" s="27"/>
      <c r="EB323" s="59"/>
      <c r="EC323" s="59"/>
      <c r="ED323" s="59"/>
      <c r="EE323" s="14"/>
      <c r="EF323" s="14"/>
      <c r="GN323" s="48"/>
    </row>
    <row r="324" spans="2:196" x14ac:dyDescent="0.25">
      <c r="B324" s="50"/>
      <c r="C324" s="50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9"/>
      <c r="BI324" s="49"/>
      <c r="BJ324" s="57"/>
      <c r="BK324" s="59"/>
      <c r="BL324" s="59"/>
      <c r="BM324" s="57"/>
      <c r="BN324" s="49"/>
      <c r="BO324" s="49"/>
      <c r="BP324" s="57"/>
      <c r="BQ324" s="49"/>
      <c r="BR324" s="49"/>
      <c r="BS324" s="57"/>
      <c r="BT324" s="49"/>
      <c r="BU324" s="49"/>
      <c r="BV324" s="57"/>
      <c r="BW324" s="19"/>
      <c r="BX324" s="59"/>
      <c r="BY324" s="27"/>
      <c r="BZ324" s="59"/>
      <c r="CA324" s="57"/>
      <c r="CB324" s="49"/>
      <c r="CC324" s="49"/>
      <c r="CD324" s="49"/>
      <c r="CE324" s="49"/>
      <c r="CF324" s="49"/>
      <c r="CG324" s="49"/>
      <c r="CH324" s="57"/>
      <c r="CI324" s="49"/>
      <c r="CJ324" s="49"/>
      <c r="CK324" s="57"/>
      <c r="CL324" s="49"/>
      <c r="CM324" s="49"/>
      <c r="CN324" s="49"/>
      <c r="CO324" s="49"/>
      <c r="CP324" s="49"/>
      <c r="CQ324" s="49"/>
      <c r="CR324" s="57"/>
      <c r="CS324" s="49"/>
      <c r="CT324" s="49"/>
      <c r="CU324" s="49"/>
      <c r="CV324" s="49"/>
      <c r="CW324" s="49"/>
      <c r="CX324" s="49"/>
      <c r="CY324" s="57"/>
      <c r="CZ324" s="49"/>
      <c r="DA324" s="49"/>
      <c r="DB324" s="49"/>
      <c r="DC324" s="49"/>
      <c r="DD324" s="49"/>
      <c r="DE324" s="49"/>
      <c r="DF324" s="57"/>
      <c r="DG324" s="49"/>
      <c r="DH324" s="49"/>
      <c r="DI324" s="49"/>
      <c r="DJ324" s="49"/>
      <c r="DK324" s="27"/>
      <c r="DL324" s="49"/>
      <c r="DM324" s="27"/>
      <c r="DN324" s="27"/>
      <c r="DO324" s="27"/>
      <c r="DP324" s="27"/>
      <c r="DQ324" s="27"/>
      <c r="DR324" s="27"/>
      <c r="DS324" s="27"/>
      <c r="DT324" s="27"/>
      <c r="DU324" s="27"/>
      <c r="DV324" s="27"/>
      <c r="DW324" s="27"/>
      <c r="DX324" s="27"/>
      <c r="DY324" s="27"/>
      <c r="DZ324" s="27"/>
      <c r="EA324" s="27"/>
      <c r="EB324" s="59"/>
      <c r="EC324" s="59"/>
      <c r="ED324" s="59"/>
      <c r="EE324" s="14"/>
      <c r="EF324" s="14"/>
      <c r="GN324" s="48"/>
    </row>
    <row r="325" spans="2:196" x14ac:dyDescent="0.25">
      <c r="B325" s="50"/>
      <c r="C325" s="50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9"/>
      <c r="BI325" s="49"/>
      <c r="BJ325" s="57"/>
      <c r="BK325" s="59"/>
      <c r="BL325" s="59"/>
      <c r="BM325" s="57"/>
      <c r="BN325" s="49"/>
      <c r="BO325" s="49"/>
      <c r="BP325" s="57"/>
      <c r="BQ325" s="49"/>
      <c r="BR325" s="49"/>
      <c r="BS325" s="57"/>
      <c r="BT325" s="49"/>
      <c r="BU325" s="49"/>
      <c r="BV325" s="57"/>
      <c r="BW325" s="19"/>
      <c r="BX325" s="59"/>
      <c r="BY325" s="27"/>
      <c r="BZ325" s="59"/>
      <c r="CA325" s="57"/>
      <c r="CB325" s="49"/>
      <c r="CC325" s="49"/>
      <c r="CD325" s="49"/>
      <c r="CE325" s="49"/>
      <c r="CF325" s="49"/>
      <c r="CG325" s="49"/>
      <c r="CH325" s="57"/>
      <c r="CI325" s="49"/>
      <c r="CJ325" s="49"/>
      <c r="CK325" s="57"/>
      <c r="CL325" s="49"/>
      <c r="CM325" s="49"/>
      <c r="CN325" s="49"/>
      <c r="CO325" s="49"/>
      <c r="CP325" s="49"/>
      <c r="CQ325" s="49"/>
      <c r="CR325" s="57"/>
      <c r="CS325" s="49"/>
      <c r="CT325" s="49"/>
      <c r="CU325" s="49"/>
      <c r="CV325" s="49"/>
      <c r="CW325" s="49"/>
      <c r="CX325" s="49"/>
      <c r="CY325" s="57"/>
      <c r="CZ325" s="49"/>
      <c r="DA325" s="49"/>
      <c r="DB325" s="49"/>
      <c r="DC325" s="49"/>
      <c r="DD325" s="49"/>
      <c r="DE325" s="49"/>
      <c r="DF325" s="57"/>
      <c r="DG325" s="49"/>
      <c r="DH325" s="49"/>
      <c r="DI325" s="49"/>
      <c r="DJ325" s="49"/>
      <c r="DK325" s="27"/>
      <c r="DL325" s="49"/>
      <c r="DM325" s="27"/>
      <c r="DN325" s="27"/>
      <c r="DO325" s="27"/>
      <c r="DP325" s="27"/>
      <c r="DQ325" s="27"/>
      <c r="DR325" s="27"/>
      <c r="DS325" s="27"/>
      <c r="DT325" s="27"/>
      <c r="DU325" s="27"/>
      <c r="DV325" s="27"/>
      <c r="DW325" s="27"/>
      <c r="DX325" s="27"/>
      <c r="DY325" s="27"/>
      <c r="DZ325" s="27"/>
      <c r="EA325" s="27"/>
      <c r="EB325" s="59"/>
      <c r="EC325" s="59"/>
      <c r="ED325" s="59"/>
      <c r="EE325" s="14"/>
      <c r="EF325" s="14"/>
      <c r="GN325" s="48"/>
    </row>
    <row r="326" spans="2:196" x14ac:dyDescent="0.25">
      <c r="B326" s="50"/>
      <c r="C326" s="50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9"/>
      <c r="BI326" s="49"/>
      <c r="BJ326" s="57"/>
      <c r="BK326" s="59"/>
      <c r="BL326" s="59"/>
      <c r="BM326" s="57"/>
      <c r="BN326" s="49"/>
      <c r="BO326" s="49"/>
      <c r="BP326" s="57"/>
      <c r="BQ326" s="49"/>
      <c r="BR326" s="49"/>
      <c r="BS326" s="57"/>
      <c r="BT326" s="49"/>
      <c r="BU326" s="49"/>
      <c r="BV326" s="57"/>
      <c r="BW326" s="19"/>
      <c r="BX326" s="59"/>
      <c r="BY326" s="27"/>
      <c r="BZ326" s="59"/>
      <c r="CA326" s="57"/>
      <c r="CB326" s="49"/>
      <c r="CC326" s="49"/>
      <c r="CD326" s="49"/>
      <c r="CE326" s="49"/>
      <c r="CF326" s="49"/>
      <c r="CG326" s="49"/>
      <c r="CH326" s="57"/>
      <c r="CI326" s="49"/>
      <c r="CJ326" s="49"/>
      <c r="CK326" s="57"/>
      <c r="CL326" s="49"/>
      <c r="CM326" s="49"/>
      <c r="CN326" s="49"/>
      <c r="CO326" s="49"/>
      <c r="CP326" s="49"/>
      <c r="CQ326" s="49"/>
      <c r="CR326" s="57"/>
      <c r="CS326" s="49"/>
      <c r="CT326" s="49"/>
      <c r="CU326" s="49"/>
      <c r="CV326" s="49"/>
      <c r="CW326" s="49"/>
      <c r="CX326" s="49"/>
      <c r="CY326" s="57"/>
      <c r="CZ326" s="49"/>
      <c r="DA326" s="49"/>
      <c r="DB326" s="49"/>
      <c r="DC326" s="49"/>
      <c r="DD326" s="49"/>
      <c r="DE326" s="49"/>
      <c r="DF326" s="57"/>
      <c r="DG326" s="49"/>
      <c r="DH326" s="49"/>
      <c r="DI326" s="49"/>
      <c r="DJ326" s="49"/>
      <c r="DK326" s="27"/>
      <c r="DL326" s="49"/>
      <c r="DM326" s="27"/>
      <c r="DN326" s="27"/>
      <c r="DO326" s="27"/>
      <c r="DP326" s="27"/>
      <c r="DQ326" s="27"/>
      <c r="DR326" s="27"/>
      <c r="DS326" s="27"/>
      <c r="DT326" s="27"/>
      <c r="DU326" s="27"/>
      <c r="DV326" s="27"/>
      <c r="DW326" s="27"/>
      <c r="DX326" s="27"/>
      <c r="DY326" s="27"/>
      <c r="DZ326" s="27"/>
      <c r="EA326" s="27"/>
      <c r="EB326" s="59"/>
      <c r="EC326" s="59"/>
      <c r="ED326" s="59"/>
      <c r="EE326" s="14"/>
      <c r="EF326" s="14"/>
      <c r="GN326" s="48"/>
    </row>
    <row r="327" spans="2:196" x14ac:dyDescent="0.25">
      <c r="B327" s="50"/>
      <c r="C327" s="50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9"/>
      <c r="BI327" s="49"/>
      <c r="BJ327" s="57"/>
      <c r="BK327" s="59"/>
      <c r="BL327" s="59"/>
      <c r="BM327" s="57"/>
      <c r="BN327" s="49"/>
      <c r="BO327" s="49"/>
      <c r="BP327" s="57"/>
      <c r="BQ327" s="49"/>
      <c r="BR327" s="49"/>
      <c r="BS327" s="57"/>
      <c r="BT327" s="49"/>
      <c r="BU327" s="49"/>
      <c r="BV327" s="57"/>
      <c r="BW327" s="19"/>
      <c r="BX327" s="59"/>
      <c r="BY327" s="27"/>
      <c r="BZ327" s="59"/>
      <c r="CA327" s="57"/>
      <c r="CB327" s="49"/>
      <c r="CC327" s="49"/>
      <c r="CD327" s="49"/>
      <c r="CE327" s="49"/>
      <c r="CF327" s="49"/>
      <c r="CG327" s="49"/>
      <c r="CH327" s="57"/>
      <c r="CI327" s="49"/>
      <c r="CJ327" s="49"/>
      <c r="CK327" s="57"/>
      <c r="CL327" s="49"/>
      <c r="CM327" s="49"/>
      <c r="CN327" s="49"/>
      <c r="CO327" s="49"/>
      <c r="CP327" s="49"/>
      <c r="CQ327" s="49"/>
      <c r="CR327" s="57"/>
      <c r="CS327" s="49"/>
      <c r="CT327" s="49"/>
      <c r="CU327" s="49"/>
      <c r="CV327" s="49"/>
      <c r="CW327" s="49"/>
      <c r="CX327" s="49"/>
      <c r="CY327" s="57"/>
      <c r="CZ327" s="49"/>
      <c r="DA327" s="49"/>
      <c r="DB327" s="49"/>
      <c r="DC327" s="49"/>
      <c r="DD327" s="49"/>
      <c r="DE327" s="49"/>
      <c r="DF327" s="57"/>
      <c r="DG327" s="49"/>
      <c r="DH327" s="49"/>
      <c r="DI327" s="49"/>
      <c r="DJ327" s="49"/>
      <c r="DK327" s="27"/>
      <c r="DL327" s="49"/>
      <c r="DM327" s="27"/>
      <c r="DN327" s="27"/>
      <c r="DO327" s="27"/>
      <c r="DP327" s="27"/>
      <c r="DQ327" s="27"/>
      <c r="DR327" s="27"/>
      <c r="DS327" s="27"/>
      <c r="DT327" s="27"/>
      <c r="DU327" s="27"/>
      <c r="DV327" s="27"/>
      <c r="DW327" s="27"/>
      <c r="DX327" s="27"/>
      <c r="DY327" s="27"/>
      <c r="DZ327" s="27"/>
      <c r="EA327" s="27"/>
      <c r="EB327" s="59"/>
      <c r="EC327" s="59"/>
      <c r="ED327" s="59"/>
      <c r="EE327" s="14"/>
      <c r="EF327" s="14"/>
      <c r="GN327" s="48"/>
    </row>
    <row r="328" spans="2:196" x14ac:dyDescent="0.25">
      <c r="B328" s="50"/>
      <c r="C328" s="50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9"/>
      <c r="BI328" s="49"/>
      <c r="BJ328" s="57"/>
      <c r="BK328" s="59"/>
      <c r="BL328" s="59"/>
      <c r="BM328" s="57"/>
      <c r="BN328" s="49"/>
      <c r="BO328" s="49"/>
      <c r="BP328" s="57"/>
      <c r="BQ328" s="49"/>
      <c r="BR328" s="49"/>
      <c r="BS328" s="57"/>
      <c r="BT328" s="49"/>
      <c r="BU328" s="49"/>
      <c r="BV328" s="57"/>
      <c r="BW328" s="19"/>
      <c r="BX328" s="59"/>
      <c r="BY328" s="27"/>
      <c r="BZ328" s="59"/>
      <c r="CA328" s="57"/>
      <c r="CB328" s="49"/>
      <c r="CC328" s="49"/>
      <c r="CD328" s="49"/>
      <c r="CE328" s="49"/>
      <c r="CF328" s="49"/>
      <c r="CG328" s="49"/>
      <c r="CH328" s="57"/>
      <c r="CI328" s="49"/>
      <c r="CJ328" s="49"/>
      <c r="CK328" s="57"/>
      <c r="CL328" s="49"/>
      <c r="CM328" s="49"/>
      <c r="CN328" s="49"/>
      <c r="CO328" s="49"/>
      <c r="CP328" s="49"/>
      <c r="CQ328" s="49"/>
      <c r="CR328" s="57"/>
      <c r="CS328" s="49"/>
      <c r="CT328" s="49"/>
      <c r="CU328" s="49"/>
      <c r="CV328" s="49"/>
      <c r="CW328" s="49"/>
      <c r="CX328" s="49"/>
      <c r="CY328" s="57"/>
      <c r="CZ328" s="49"/>
      <c r="DA328" s="49"/>
      <c r="DB328" s="49"/>
      <c r="DC328" s="49"/>
      <c r="DD328" s="49"/>
      <c r="DE328" s="49"/>
      <c r="DF328" s="57"/>
      <c r="DG328" s="49"/>
      <c r="DH328" s="49"/>
      <c r="DI328" s="49"/>
      <c r="DJ328" s="49"/>
      <c r="DK328" s="27"/>
      <c r="DL328" s="49"/>
      <c r="DM328" s="27"/>
      <c r="DN328" s="27"/>
      <c r="DO328" s="27"/>
      <c r="DP328" s="27"/>
      <c r="DQ328" s="27"/>
      <c r="DR328" s="27"/>
      <c r="DS328" s="27"/>
      <c r="DT328" s="27"/>
      <c r="DU328" s="27"/>
      <c r="DV328" s="27"/>
      <c r="DW328" s="27"/>
      <c r="DX328" s="27"/>
      <c r="DY328" s="27"/>
      <c r="DZ328" s="27"/>
      <c r="EA328" s="27"/>
      <c r="EB328" s="59"/>
      <c r="EC328" s="59"/>
      <c r="ED328" s="59"/>
      <c r="EE328" s="14"/>
      <c r="EF328" s="14"/>
      <c r="GN328" s="48"/>
    </row>
    <row r="329" spans="2:196" x14ac:dyDescent="0.25">
      <c r="B329" s="50"/>
      <c r="C329" s="50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9"/>
      <c r="BI329" s="49"/>
      <c r="BJ329" s="57"/>
      <c r="BK329" s="59"/>
      <c r="BL329" s="59"/>
      <c r="BM329" s="57"/>
      <c r="BN329" s="49"/>
      <c r="BO329" s="49"/>
      <c r="BP329" s="57"/>
      <c r="BQ329" s="49"/>
      <c r="BR329" s="49"/>
      <c r="BS329" s="57"/>
      <c r="BT329" s="49"/>
      <c r="BU329" s="49"/>
      <c r="BV329" s="57"/>
      <c r="BW329" s="19"/>
      <c r="BX329" s="59"/>
      <c r="BY329" s="27"/>
      <c r="BZ329" s="59"/>
      <c r="CA329" s="57"/>
      <c r="CB329" s="49"/>
      <c r="CC329" s="49"/>
      <c r="CD329" s="49"/>
      <c r="CE329" s="49"/>
      <c r="CF329" s="49"/>
      <c r="CG329" s="49"/>
      <c r="CH329" s="57"/>
      <c r="CI329" s="49"/>
      <c r="CJ329" s="49"/>
      <c r="CK329" s="57"/>
      <c r="CL329" s="49"/>
      <c r="CM329" s="49"/>
      <c r="CN329" s="49"/>
      <c r="CO329" s="49"/>
      <c r="CP329" s="49"/>
      <c r="CQ329" s="49"/>
      <c r="CR329" s="57"/>
      <c r="CS329" s="49"/>
      <c r="CT329" s="49"/>
      <c r="CU329" s="49"/>
      <c r="CV329" s="49"/>
      <c r="CW329" s="49"/>
      <c r="CX329" s="49"/>
      <c r="CY329" s="57"/>
      <c r="CZ329" s="49"/>
      <c r="DA329" s="49"/>
      <c r="DB329" s="49"/>
      <c r="DC329" s="49"/>
      <c r="DD329" s="49"/>
      <c r="DE329" s="49"/>
      <c r="DF329" s="57"/>
      <c r="DG329" s="49"/>
      <c r="DH329" s="49"/>
      <c r="DI329" s="49"/>
      <c r="DJ329" s="49"/>
      <c r="DK329" s="27"/>
      <c r="DL329" s="49"/>
      <c r="DM329" s="27"/>
      <c r="DN329" s="27"/>
      <c r="DO329" s="27"/>
      <c r="DP329" s="27"/>
      <c r="DQ329" s="27"/>
      <c r="DR329" s="27"/>
      <c r="DS329" s="27"/>
      <c r="DT329" s="27"/>
      <c r="DU329" s="27"/>
      <c r="DV329" s="27"/>
      <c r="DW329" s="27"/>
      <c r="DX329" s="27"/>
      <c r="DY329" s="27"/>
      <c r="DZ329" s="27"/>
      <c r="EA329" s="27"/>
      <c r="EB329" s="59"/>
      <c r="EC329" s="59"/>
      <c r="ED329" s="59"/>
      <c r="EE329" s="14"/>
      <c r="EF329" s="14"/>
      <c r="GN329" s="48"/>
    </row>
    <row r="330" spans="2:196" x14ac:dyDescent="0.25">
      <c r="B330" s="50"/>
      <c r="C330" s="50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9"/>
      <c r="BI330" s="49"/>
      <c r="BJ330" s="57"/>
      <c r="BK330" s="59"/>
      <c r="BL330" s="59"/>
      <c r="BM330" s="57"/>
      <c r="BN330" s="49"/>
      <c r="BO330" s="49"/>
      <c r="BP330" s="57"/>
      <c r="BQ330" s="49"/>
      <c r="BR330" s="49"/>
      <c r="BS330" s="57"/>
      <c r="BT330" s="49"/>
      <c r="BU330" s="49"/>
      <c r="BV330" s="57"/>
      <c r="BW330" s="19"/>
      <c r="BX330" s="59"/>
      <c r="BY330" s="27"/>
      <c r="BZ330" s="59"/>
      <c r="CA330" s="57"/>
      <c r="CB330" s="49"/>
      <c r="CC330" s="49"/>
      <c r="CD330" s="49"/>
      <c r="CE330" s="49"/>
      <c r="CF330" s="49"/>
      <c r="CG330" s="49"/>
      <c r="CH330" s="57"/>
      <c r="CI330" s="49"/>
      <c r="CJ330" s="49"/>
      <c r="CK330" s="57"/>
      <c r="CL330" s="49"/>
      <c r="CM330" s="49"/>
      <c r="CN330" s="49"/>
      <c r="CO330" s="49"/>
      <c r="CP330" s="49"/>
      <c r="CQ330" s="49"/>
      <c r="CR330" s="57"/>
      <c r="CS330" s="49"/>
      <c r="CT330" s="49"/>
      <c r="CU330" s="49"/>
      <c r="CV330" s="49"/>
      <c r="CW330" s="49"/>
      <c r="CX330" s="49"/>
      <c r="CY330" s="57"/>
      <c r="CZ330" s="49"/>
      <c r="DA330" s="49"/>
      <c r="DB330" s="49"/>
      <c r="DC330" s="49"/>
      <c r="DD330" s="49"/>
      <c r="DE330" s="49"/>
      <c r="DF330" s="57"/>
      <c r="DG330" s="49"/>
      <c r="DH330" s="49"/>
      <c r="DI330" s="49"/>
      <c r="DJ330" s="49"/>
      <c r="DK330" s="27"/>
      <c r="DL330" s="49"/>
      <c r="DM330" s="27"/>
      <c r="DN330" s="27"/>
      <c r="DO330" s="27"/>
      <c r="DP330" s="27"/>
      <c r="DQ330" s="27"/>
      <c r="DR330" s="27"/>
      <c r="DS330" s="27"/>
      <c r="DT330" s="27"/>
      <c r="DU330" s="27"/>
      <c r="DV330" s="27"/>
      <c r="DW330" s="27"/>
      <c r="DX330" s="27"/>
      <c r="DY330" s="27"/>
      <c r="DZ330" s="27"/>
      <c r="EA330" s="27"/>
      <c r="EB330" s="59"/>
      <c r="EC330" s="59"/>
      <c r="ED330" s="59"/>
      <c r="EE330" s="14"/>
      <c r="EF330" s="14"/>
      <c r="GN330" s="48"/>
    </row>
    <row r="331" spans="2:196" x14ac:dyDescent="0.25">
      <c r="B331" s="50"/>
      <c r="C331" s="50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9"/>
      <c r="BI331" s="49"/>
      <c r="BJ331" s="57"/>
      <c r="BK331" s="59"/>
      <c r="BL331" s="59"/>
      <c r="BM331" s="57"/>
      <c r="BN331" s="49"/>
      <c r="BO331" s="49"/>
      <c r="BP331" s="57"/>
      <c r="BQ331" s="49"/>
      <c r="BR331" s="49"/>
      <c r="BS331" s="57"/>
      <c r="BT331" s="49"/>
      <c r="BU331" s="49"/>
      <c r="BV331" s="57"/>
      <c r="BW331" s="19"/>
      <c r="BX331" s="59"/>
      <c r="BY331" s="27"/>
      <c r="BZ331" s="59"/>
      <c r="CA331" s="57"/>
      <c r="CB331" s="49"/>
      <c r="CC331" s="49"/>
      <c r="CD331" s="49"/>
      <c r="CE331" s="49"/>
      <c r="CF331" s="49"/>
      <c r="CG331" s="49"/>
      <c r="CH331" s="57"/>
      <c r="CI331" s="49"/>
      <c r="CJ331" s="49"/>
      <c r="CK331" s="57"/>
      <c r="CL331" s="49"/>
      <c r="CM331" s="49"/>
      <c r="CN331" s="49"/>
      <c r="CO331" s="49"/>
      <c r="CP331" s="49"/>
      <c r="CQ331" s="49"/>
      <c r="CR331" s="57"/>
      <c r="CS331" s="49"/>
      <c r="CT331" s="49"/>
      <c r="CU331" s="49"/>
      <c r="CV331" s="49"/>
      <c r="CW331" s="49"/>
      <c r="CX331" s="49"/>
      <c r="CY331" s="57"/>
      <c r="CZ331" s="49"/>
      <c r="DA331" s="49"/>
      <c r="DB331" s="49"/>
      <c r="DC331" s="49"/>
      <c r="DD331" s="49"/>
      <c r="DE331" s="49"/>
      <c r="DF331" s="57"/>
      <c r="DG331" s="49"/>
      <c r="DH331" s="49"/>
      <c r="DI331" s="49"/>
      <c r="DJ331" s="49"/>
      <c r="DK331" s="27"/>
      <c r="DL331" s="49"/>
      <c r="DM331" s="27"/>
      <c r="DN331" s="27"/>
      <c r="DO331" s="27"/>
      <c r="DP331" s="27"/>
      <c r="DQ331" s="27"/>
      <c r="DR331" s="27"/>
      <c r="DS331" s="27"/>
      <c r="DT331" s="27"/>
      <c r="DU331" s="27"/>
      <c r="DV331" s="27"/>
      <c r="DW331" s="27"/>
      <c r="DX331" s="27"/>
      <c r="DY331" s="27"/>
      <c r="DZ331" s="27"/>
      <c r="EA331" s="27"/>
      <c r="EB331" s="59"/>
      <c r="EC331" s="59"/>
      <c r="ED331" s="59"/>
      <c r="EE331" s="14"/>
      <c r="EF331" s="14"/>
      <c r="GN331" s="48"/>
    </row>
    <row r="332" spans="2:196" x14ac:dyDescent="0.25">
      <c r="B332" s="50"/>
      <c r="C332" s="50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9"/>
      <c r="BI332" s="49"/>
      <c r="BJ332" s="57"/>
      <c r="BK332" s="59"/>
      <c r="BL332" s="59"/>
      <c r="BM332" s="57"/>
      <c r="BN332" s="49"/>
      <c r="BO332" s="49"/>
      <c r="BP332" s="57"/>
      <c r="BQ332" s="49"/>
      <c r="BR332" s="49"/>
      <c r="BS332" s="57"/>
      <c r="BT332" s="49"/>
      <c r="BU332" s="49"/>
      <c r="BV332" s="57"/>
      <c r="BW332" s="19"/>
      <c r="BX332" s="59"/>
      <c r="BY332" s="27"/>
      <c r="BZ332" s="59"/>
      <c r="CA332" s="57"/>
      <c r="CB332" s="49"/>
      <c r="CC332" s="49"/>
      <c r="CD332" s="49"/>
      <c r="CE332" s="49"/>
      <c r="CF332" s="49"/>
      <c r="CG332" s="49"/>
      <c r="CH332" s="57"/>
      <c r="CI332" s="49"/>
      <c r="CJ332" s="49"/>
      <c r="CK332" s="57"/>
      <c r="CL332" s="49"/>
      <c r="CM332" s="49"/>
      <c r="CN332" s="49"/>
      <c r="CO332" s="49"/>
      <c r="CP332" s="49"/>
      <c r="CQ332" s="49"/>
      <c r="CR332" s="57"/>
      <c r="CS332" s="49"/>
      <c r="CT332" s="49"/>
      <c r="CU332" s="49"/>
      <c r="CV332" s="49"/>
      <c r="CW332" s="49"/>
      <c r="CX332" s="49"/>
      <c r="CY332" s="57"/>
      <c r="CZ332" s="49"/>
      <c r="DA332" s="49"/>
      <c r="DB332" s="49"/>
      <c r="DC332" s="49"/>
      <c r="DD332" s="49"/>
      <c r="DE332" s="49"/>
      <c r="DF332" s="57"/>
      <c r="DG332" s="49"/>
      <c r="DH332" s="49"/>
      <c r="DI332" s="49"/>
      <c r="DJ332" s="49"/>
      <c r="DK332" s="27"/>
      <c r="DL332" s="49"/>
      <c r="DM332" s="27"/>
      <c r="DN332" s="27"/>
      <c r="DO332" s="27"/>
      <c r="DP332" s="27"/>
      <c r="DQ332" s="27"/>
      <c r="DR332" s="27"/>
      <c r="DS332" s="27"/>
      <c r="DT332" s="27"/>
      <c r="DU332" s="27"/>
      <c r="DV332" s="27"/>
      <c r="DW332" s="27"/>
      <c r="DX332" s="27"/>
      <c r="DY332" s="27"/>
      <c r="DZ332" s="27"/>
      <c r="EA332" s="27"/>
      <c r="EB332" s="59"/>
      <c r="EC332" s="59"/>
      <c r="ED332" s="59"/>
      <c r="EE332" s="14"/>
      <c r="EF332" s="14"/>
      <c r="GN332" s="48"/>
    </row>
    <row r="333" spans="2:196" x14ac:dyDescent="0.25">
      <c r="B333" s="50"/>
      <c r="C333" s="50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9"/>
      <c r="BI333" s="49"/>
      <c r="BJ333" s="57"/>
      <c r="BK333" s="59"/>
      <c r="BL333" s="59"/>
      <c r="BM333" s="57"/>
      <c r="BN333" s="49"/>
      <c r="BO333" s="49"/>
      <c r="BP333" s="57"/>
      <c r="BQ333" s="49"/>
      <c r="BR333" s="49"/>
      <c r="BS333" s="57"/>
      <c r="BT333" s="49"/>
      <c r="BU333" s="49"/>
      <c r="BV333" s="57"/>
      <c r="BW333" s="19"/>
      <c r="BX333" s="59"/>
      <c r="BY333" s="27"/>
      <c r="BZ333" s="59"/>
      <c r="CA333" s="57"/>
      <c r="CB333" s="49"/>
      <c r="CC333" s="49"/>
      <c r="CD333" s="49"/>
      <c r="CE333" s="49"/>
      <c r="CF333" s="49"/>
      <c r="CG333" s="49"/>
      <c r="CH333" s="57"/>
      <c r="CI333" s="49"/>
      <c r="CJ333" s="49"/>
      <c r="CK333" s="57"/>
      <c r="CL333" s="49"/>
      <c r="CM333" s="49"/>
      <c r="CN333" s="49"/>
      <c r="CO333" s="49"/>
      <c r="CP333" s="49"/>
      <c r="CQ333" s="49"/>
      <c r="CR333" s="57"/>
      <c r="CS333" s="49"/>
      <c r="CT333" s="49"/>
      <c r="CU333" s="49"/>
      <c r="CV333" s="49"/>
      <c r="CW333" s="49"/>
      <c r="CX333" s="49"/>
      <c r="CY333" s="57"/>
      <c r="CZ333" s="49"/>
      <c r="DA333" s="49"/>
      <c r="DB333" s="49"/>
      <c r="DC333" s="49"/>
      <c r="DD333" s="49"/>
      <c r="DE333" s="49"/>
      <c r="DF333" s="57"/>
      <c r="DG333" s="49"/>
      <c r="DH333" s="49"/>
      <c r="DI333" s="49"/>
      <c r="DJ333" s="49"/>
      <c r="DK333" s="27"/>
      <c r="DL333" s="49"/>
      <c r="DM333" s="27"/>
      <c r="DN333" s="27"/>
      <c r="DO333" s="27"/>
      <c r="DP333" s="27"/>
      <c r="DQ333" s="27"/>
      <c r="DR333" s="27"/>
      <c r="DS333" s="27"/>
      <c r="DT333" s="27"/>
      <c r="DU333" s="27"/>
      <c r="DV333" s="27"/>
      <c r="DW333" s="27"/>
      <c r="DX333" s="27"/>
      <c r="DY333" s="27"/>
      <c r="DZ333" s="27"/>
      <c r="EA333" s="27"/>
      <c r="EB333" s="59"/>
      <c r="EC333" s="59"/>
      <c r="ED333" s="59"/>
      <c r="EE333" s="14"/>
      <c r="EF333" s="14"/>
      <c r="GN333" s="48"/>
    </row>
    <row r="334" spans="2:196" x14ac:dyDescent="0.25">
      <c r="B334" s="50"/>
      <c r="C334" s="50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9"/>
      <c r="BI334" s="49"/>
      <c r="BJ334" s="57"/>
      <c r="BK334" s="59"/>
      <c r="BL334" s="59"/>
      <c r="BM334" s="57"/>
      <c r="BN334" s="49"/>
      <c r="BO334" s="49"/>
      <c r="BP334" s="57"/>
      <c r="BQ334" s="49"/>
      <c r="BR334" s="49"/>
      <c r="BS334" s="57"/>
      <c r="BT334" s="49"/>
      <c r="BU334" s="49"/>
      <c r="BV334" s="57"/>
      <c r="BW334" s="19"/>
      <c r="BX334" s="59"/>
      <c r="BY334" s="27"/>
      <c r="BZ334" s="59"/>
      <c r="CA334" s="57"/>
      <c r="CB334" s="49"/>
      <c r="CC334" s="49"/>
      <c r="CD334" s="49"/>
      <c r="CE334" s="49"/>
      <c r="CF334" s="49"/>
      <c r="CG334" s="49"/>
      <c r="CH334" s="57"/>
      <c r="CI334" s="49"/>
      <c r="CJ334" s="49"/>
      <c r="CK334" s="57"/>
      <c r="CL334" s="49"/>
      <c r="CM334" s="49"/>
      <c r="CN334" s="49"/>
      <c r="CO334" s="49"/>
      <c r="CP334" s="49"/>
      <c r="CQ334" s="49"/>
      <c r="CR334" s="57"/>
      <c r="CS334" s="49"/>
      <c r="CT334" s="49"/>
      <c r="CU334" s="49"/>
      <c r="CV334" s="49"/>
      <c r="CW334" s="49"/>
      <c r="CX334" s="49"/>
      <c r="CY334" s="57"/>
      <c r="CZ334" s="49"/>
      <c r="DA334" s="49"/>
      <c r="DB334" s="49"/>
      <c r="DC334" s="49"/>
      <c r="DD334" s="49"/>
      <c r="DE334" s="49"/>
      <c r="DF334" s="57"/>
      <c r="DG334" s="49"/>
      <c r="DH334" s="49"/>
      <c r="DI334" s="49"/>
      <c r="DJ334" s="49"/>
      <c r="DK334" s="27"/>
      <c r="DL334" s="49"/>
      <c r="DM334" s="27"/>
      <c r="DN334" s="27"/>
      <c r="DO334" s="27"/>
      <c r="DP334" s="27"/>
      <c r="DQ334" s="27"/>
      <c r="DR334" s="27"/>
      <c r="DS334" s="27"/>
      <c r="DT334" s="27"/>
      <c r="DU334" s="27"/>
      <c r="DV334" s="27"/>
      <c r="DW334" s="27"/>
      <c r="DX334" s="27"/>
      <c r="DY334" s="27"/>
      <c r="DZ334" s="27"/>
      <c r="EA334" s="27"/>
      <c r="EB334" s="59"/>
      <c r="EC334" s="59"/>
      <c r="ED334" s="59"/>
      <c r="EE334" s="14"/>
      <c r="EF334" s="14"/>
      <c r="GN334" s="48"/>
    </row>
    <row r="335" spans="2:196" x14ac:dyDescent="0.25">
      <c r="B335" s="50"/>
      <c r="C335" s="50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9"/>
      <c r="BI335" s="49"/>
      <c r="BJ335" s="57"/>
      <c r="BK335" s="59"/>
      <c r="BL335" s="59"/>
      <c r="BM335" s="57"/>
      <c r="BN335" s="49"/>
      <c r="BO335" s="49"/>
      <c r="BP335" s="57"/>
      <c r="BQ335" s="49"/>
      <c r="BR335" s="49"/>
      <c r="BS335" s="57"/>
      <c r="BT335" s="49"/>
      <c r="BU335" s="49"/>
      <c r="BV335" s="57"/>
      <c r="BW335" s="19"/>
      <c r="BX335" s="59"/>
      <c r="BY335" s="27"/>
      <c r="BZ335" s="59"/>
      <c r="CA335" s="57"/>
      <c r="CB335" s="49"/>
      <c r="CC335" s="49"/>
      <c r="CD335" s="49"/>
      <c r="CE335" s="49"/>
      <c r="CF335" s="49"/>
      <c r="CG335" s="49"/>
      <c r="CH335" s="57"/>
      <c r="CI335" s="49"/>
      <c r="CJ335" s="49"/>
      <c r="CK335" s="57"/>
      <c r="CL335" s="49"/>
      <c r="CM335" s="49"/>
      <c r="CN335" s="49"/>
      <c r="CO335" s="49"/>
      <c r="CP335" s="49"/>
      <c r="CQ335" s="49"/>
      <c r="CR335" s="57"/>
      <c r="CS335" s="49"/>
      <c r="CT335" s="49"/>
      <c r="CU335" s="49"/>
      <c r="CV335" s="49"/>
      <c r="CW335" s="49"/>
      <c r="CX335" s="49"/>
      <c r="CY335" s="57"/>
      <c r="CZ335" s="49"/>
      <c r="DA335" s="49"/>
      <c r="DB335" s="49"/>
      <c r="DC335" s="49"/>
      <c r="DD335" s="49"/>
      <c r="DE335" s="49"/>
      <c r="DF335" s="57"/>
      <c r="DG335" s="49"/>
      <c r="DH335" s="49"/>
      <c r="DI335" s="49"/>
      <c r="DJ335" s="49"/>
      <c r="DK335" s="27"/>
      <c r="DL335" s="49"/>
      <c r="DM335" s="27"/>
      <c r="DN335" s="27"/>
      <c r="DO335" s="27"/>
      <c r="DP335" s="27"/>
      <c r="DQ335" s="27"/>
      <c r="DR335" s="27"/>
      <c r="DS335" s="27"/>
      <c r="DT335" s="27"/>
      <c r="DU335" s="27"/>
      <c r="DV335" s="27"/>
      <c r="DW335" s="27"/>
      <c r="DX335" s="27"/>
      <c r="DY335" s="27"/>
      <c r="DZ335" s="27"/>
      <c r="EA335" s="27"/>
      <c r="EB335" s="59"/>
      <c r="EC335" s="59"/>
      <c r="ED335" s="59"/>
      <c r="EE335" s="14"/>
      <c r="EF335" s="14"/>
      <c r="GN335" s="48"/>
    </row>
    <row r="336" spans="2:196" x14ac:dyDescent="0.25">
      <c r="B336" s="50"/>
      <c r="C336" s="50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9"/>
      <c r="BI336" s="49"/>
      <c r="BJ336" s="57"/>
      <c r="BK336" s="59"/>
      <c r="BL336" s="59"/>
      <c r="BM336" s="57"/>
      <c r="BN336" s="49"/>
      <c r="BO336" s="49"/>
      <c r="BP336" s="57"/>
      <c r="BQ336" s="49"/>
      <c r="BR336" s="49"/>
      <c r="BS336" s="57"/>
      <c r="BT336" s="49"/>
      <c r="BU336" s="49"/>
      <c r="BV336" s="57"/>
      <c r="BW336" s="19"/>
      <c r="BX336" s="59"/>
      <c r="BY336" s="27"/>
      <c r="BZ336" s="59"/>
      <c r="CA336" s="57"/>
      <c r="CB336" s="49"/>
      <c r="CC336" s="49"/>
      <c r="CD336" s="49"/>
      <c r="CE336" s="49"/>
      <c r="CF336" s="49"/>
      <c r="CG336" s="49"/>
      <c r="CH336" s="57"/>
      <c r="CI336" s="49"/>
      <c r="CJ336" s="49"/>
      <c r="CK336" s="57"/>
      <c r="CL336" s="49"/>
      <c r="CM336" s="49"/>
      <c r="CN336" s="49"/>
      <c r="CO336" s="49"/>
      <c r="CP336" s="49"/>
      <c r="CQ336" s="49"/>
      <c r="CR336" s="57"/>
      <c r="CS336" s="49"/>
      <c r="CT336" s="49"/>
      <c r="CU336" s="49"/>
      <c r="CV336" s="49"/>
      <c r="CW336" s="49"/>
      <c r="CX336" s="49"/>
      <c r="CY336" s="57"/>
      <c r="CZ336" s="49"/>
      <c r="DA336" s="49"/>
      <c r="DB336" s="49"/>
      <c r="DC336" s="49"/>
      <c r="DD336" s="49"/>
      <c r="DE336" s="49"/>
      <c r="DF336" s="57"/>
      <c r="DG336" s="49"/>
      <c r="DH336" s="49"/>
      <c r="DI336" s="49"/>
      <c r="DJ336" s="49"/>
      <c r="DK336" s="27"/>
      <c r="DL336" s="49"/>
      <c r="DM336" s="27"/>
      <c r="DN336" s="27"/>
      <c r="DO336" s="27"/>
      <c r="DP336" s="27"/>
      <c r="DQ336" s="27"/>
      <c r="DR336" s="27"/>
      <c r="DS336" s="27"/>
      <c r="DT336" s="27"/>
      <c r="DU336" s="27"/>
      <c r="DV336" s="27"/>
      <c r="DW336" s="27"/>
      <c r="DX336" s="27"/>
      <c r="DY336" s="27"/>
      <c r="DZ336" s="27"/>
      <c r="EA336" s="27"/>
      <c r="EB336" s="59"/>
      <c r="EC336" s="59"/>
      <c r="ED336" s="59"/>
      <c r="EE336" s="14"/>
      <c r="EF336" s="14"/>
      <c r="GN336" s="48"/>
    </row>
    <row r="337" spans="2:196" x14ac:dyDescent="0.25">
      <c r="B337" s="50"/>
      <c r="C337" s="50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9"/>
      <c r="BI337" s="49"/>
      <c r="BJ337" s="57"/>
      <c r="BK337" s="59"/>
      <c r="BL337" s="59"/>
      <c r="BM337" s="57"/>
      <c r="BN337" s="49"/>
      <c r="BO337" s="49"/>
      <c r="BP337" s="57"/>
      <c r="BQ337" s="49"/>
      <c r="BR337" s="49"/>
      <c r="BS337" s="57"/>
      <c r="BT337" s="49"/>
      <c r="BU337" s="49"/>
      <c r="BV337" s="57"/>
      <c r="BW337" s="19"/>
      <c r="BX337" s="59"/>
      <c r="BY337" s="27"/>
      <c r="BZ337" s="59"/>
      <c r="CA337" s="57"/>
      <c r="CB337" s="49"/>
      <c r="CC337" s="49"/>
      <c r="CD337" s="49"/>
      <c r="CE337" s="49"/>
      <c r="CF337" s="49"/>
      <c r="CG337" s="49"/>
      <c r="CH337" s="57"/>
      <c r="CI337" s="49"/>
      <c r="CJ337" s="49"/>
      <c r="CK337" s="57"/>
      <c r="CL337" s="49"/>
      <c r="CM337" s="49"/>
      <c r="CN337" s="49"/>
      <c r="CO337" s="49"/>
      <c r="CP337" s="49"/>
      <c r="CQ337" s="49"/>
      <c r="CR337" s="57"/>
      <c r="CS337" s="49"/>
      <c r="CT337" s="49"/>
      <c r="CU337" s="49"/>
      <c r="CV337" s="49"/>
      <c r="CW337" s="49"/>
      <c r="CX337" s="49"/>
      <c r="CY337" s="57"/>
      <c r="CZ337" s="49"/>
      <c r="DA337" s="49"/>
      <c r="DB337" s="49"/>
      <c r="DC337" s="49"/>
      <c r="DD337" s="49"/>
      <c r="DE337" s="49"/>
      <c r="DF337" s="57"/>
      <c r="DG337" s="49"/>
      <c r="DH337" s="49"/>
      <c r="DI337" s="49"/>
      <c r="DJ337" s="49"/>
      <c r="DK337" s="27"/>
      <c r="DL337" s="49"/>
      <c r="DM337" s="27"/>
      <c r="DN337" s="27"/>
      <c r="DO337" s="27"/>
      <c r="DP337" s="27"/>
      <c r="DQ337" s="27"/>
      <c r="DR337" s="27"/>
      <c r="DS337" s="27"/>
      <c r="DT337" s="27"/>
      <c r="DU337" s="27"/>
      <c r="DV337" s="27"/>
      <c r="DW337" s="27"/>
      <c r="DX337" s="27"/>
      <c r="DY337" s="27"/>
      <c r="DZ337" s="27"/>
      <c r="EA337" s="27"/>
      <c r="EB337" s="59"/>
      <c r="EC337" s="59"/>
      <c r="ED337" s="59"/>
      <c r="EE337" s="14"/>
      <c r="EF337" s="14"/>
      <c r="GN337" s="48"/>
    </row>
    <row r="338" spans="2:196" x14ac:dyDescent="0.25">
      <c r="B338" s="50"/>
      <c r="C338" s="50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9"/>
      <c r="BI338" s="49"/>
      <c r="BJ338" s="57"/>
      <c r="BK338" s="59"/>
      <c r="BL338" s="59"/>
      <c r="BM338" s="57"/>
      <c r="BN338" s="49"/>
      <c r="BO338" s="49"/>
      <c r="BP338" s="57"/>
      <c r="BQ338" s="49"/>
      <c r="BR338" s="49"/>
      <c r="BS338" s="57"/>
      <c r="BT338" s="49"/>
      <c r="BU338" s="49"/>
      <c r="BV338" s="57"/>
      <c r="BW338" s="19"/>
      <c r="BX338" s="59"/>
      <c r="BY338" s="27"/>
      <c r="BZ338" s="59"/>
      <c r="CA338" s="57"/>
      <c r="CB338" s="49"/>
      <c r="CC338" s="49"/>
      <c r="CD338" s="49"/>
      <c r="CE338" s="49"/>
      <c r="CF338" s="49"/>
      <c r="CG338" s="49"/>
      <c r="CH338" s="57"/>
      <c r="CI338" s="49"/>
      <c r="CJ338" s="49"/>
      <c r="CK338" s="57"/>
      <c r="CL338" s="49"/>
      <c r="CM338" s="49"/>
      <c r="CN338" s="49"/>
      <c r="CO338" s="49"/>
      <c r="CP338" s="49"/>
      <c r="CQ338" s="49"/>
      <c r="CR338" s="57"/>
      <c r="CS338" s="49"/>
      <c r="CT338" s="49"/>
      <c r="CU338" s="49"/>
      <c r="CV338" s="49"/>
      <c r="CW338" s="49"/>
      <c r="CX338" s="49"/>
      <c r="CY338" s="57"/>
      <c r="CZ338" s="49"/>
      <c r="DA338" s="49"/>
      <c r="DB338" s="49"/>
      <c r="DC338" s="49"/>
      <c r="DD338" s="49"/>
      <c r="DE338" s="49"/>
      <c r="DF338" s="57"/>
      <c r="DG338" s="49"/>
      <c r="DH338" s="49"/>
      <c r="DI338" s="49"/>
      <c r="DJ338" s="49"/>
      <c r="DK338" s="27"/>
      <c r="DL338" s="49"/>
      <c r="DM338" s="27"/>
      <c r="DN338" s="27"/>
      <c r="DO338" s="27"/>
      <c r="DP338" s="27"/>
      <c r="DQ338" s="27"/>
      <c r="DR338" s="27"/>
      <c r="DS338" s="27"/>
      <c r="DT338" s="27"/>
      <c r="DU338" s="27"/>
      <c r="DV338" s="27"/>
      <c r="DW338" s="27"/>
      <c r="DX338" s="27"/>
      <c r="DY338" s="27"/>
      <c r="DZ338" s="27"/>
      <c r="EA338" s="27"/>
      <c r="EB338" s="59"/>
      <c r="EC338" s="59"/>
      <c r="ED338" s="59"/>
      <c r="EE338" s="14"/>
      <c r="EF338" s="14"/>
      <c r="GN338" s="48"/>
    </row>
    <row r="339" spans="2:196" x14ac:dyDescent="0.25">
      <c r="B339" s="50"/>
      <c r="C339" s="50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9"/>
      <c r="BI339" s="49"/>
      <c r="BJ339" s="57"/>
      <c r="BK339" s="59"/>
      <c r="BL339" s="59"/>
      <c r="BM339" s="57"/>
      <c r="BN339" s="49"/>
      <c r="BO339" s="49"/>
      <c r="BP339" s="57"/>
      <c r="BQ339" s="49"/>
      <c r="BR339" s="49"/>
      <c r="BS339" s="57"/>
      <c r="BT339" s="49"/>
      <c r="BU339" s="49"/>
      <c r="BV339" s="57"/>
      <c r="BW339" s="19"/>
      <c r="BX339" s="59"/>
      <c r="BY339" s="27"/>
      <c r="BZ339" s="59"/>
      <c r="CA339" s="57"/>
      <c r="CB339" s="49"/>
      <c r="CC339" s="49"/>
      <c r="CD339" s="49"/>
      <c r="CE339" s="49"/>
      <c r="CF339" s="49"/>
      <c r="CG339" s="49"/>
      <c r="CH339" s="57"/>
      <c r="CI339" s="49"/>
      <c r="CJ339" s="49"/>
      <c r="CK339" s="57"/>
      <c r="CL339" s="49"/>
      <c r="CM339" s="49"/>
      <c r="CN339" s="49"/>
      <c r="CO339" s="49"/>
      <c r="CP339" s="49"/>
      <c r="CQ339" s="49"/>
      <c r="CR339" s="57"/>
      <c r="CS339" s="49"/>
      <c r="CT339" s="49"/>
      <c r="CU339" s="49"/>
      <c r="CV339" s="49"/>
      <c r="CW339" s="49"/>
      <c r="CX339" s="49"/>
      <c r="CY339" s="57"/>
      <c r="CZ339" s="49"/>
      <c r="DA339" s="49"/>
      <c r="DB339" s="49"/>
      <c r="DC339" s="49"/>
      <c r="DD339" s="49"/>
      <c r="DE339" s="49"/>
      <c r="DF339" s="57"/>
      <c r="DG339" s="49"/>
      <c r="DH339" s="49"/>
      <c r="DI339" s="49"/>
      <c r="DJ339" s="49"/>
      <c r="DK339" s="27"/>
      <c r="DL339" s="49"/>
      <c r="DM339" s="27"/>
      <c r="DN339" s="27"/>
      <c r="DO339" s="27"/>
      <c r="DP339" s="27"/>
      <c r="DQ339" s="27"/>
      <c r="DR339" s="27"/>
      <c r="DS339" s="27"/>
      <c r="DT339" s="27"/>
      <c r="DU339" s="27"/>
      <c r="DV339" s="27"/>
      <c r="DW339" s="27"/>
      <c r="DX339" s="27"/>
      <c r="DY339" s="27"/>
      <c r="DZ339" s="27"/>
      <c r="EA339" s="27"/>
      <c r="EB339" s="59"/>
      <c r="EC339" s="59"/>
      <c r="ED339" s="59"/>
      <c r="EE339" s="14"/>
      <c r="EF339" s="14"/>
      <c r="GN339" s="48"/>
    </row>
    <row r="340" spans="2:196" x14ac:dyDescent="0.25">
      <c r="B340" s="50"/>
      <c r="C340" s="50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9"/>
      <c r="BI340" s="49"/>
      <c r="BJ340" s="57"/>
      <c r="BK340" s="59"/>
      <c r="BL340" s="59"/>
      <c r="BM340" s="57"/>
      <c r="BN340" s="49"/>
      <c r="BO340" s="49"/>
      <c r="BP340" s="57"/>
      <c r="BQ340" s="49"/>
      <c r="BR340" s="49"/>
      <c r="BS340" s="57"/>
      <c r="BT340" s="49"/>
      <c r="BU340" s="49"/>
      <c r="BV340" s="57"/>
      <c r="BW340" s="19"/>
      <c r="BX340" s="59"/>
      <c r="BY340" s="27"/>
      <c r="BZ340" s="59"/>
      <c r="CA340" s="57"/>
      <c r="CB340" s="49"/>
      <c r="CC340" s="49"/>
      <c r="CD340" s="49"/>
      <c r="CE340" s="49"/>
      <c r="CF340" s="49"/>
      <c r="CG340" s="49"/>
      <c r="CH340" s="57"/>
      <c r="CI340" s="49"/>
      <c r="CJ340" s="49"/>
      <c r="CK340" s="57"/>
      <c r="CL340" s="49"/>
      <c r="CM340" s="49"/>
      <c r="CN340" s="49"/>
      <c r="CO340" s="49"/>
      <c r="CP340" s="49"/>
      <c r="CQ340" s="49"/>
      <c r="CR340" s="57"/>
      <c r="CS340" s="49"/>
      <c r="CT340" s="49"/>
      <c r="CU340" s="49"/>
      <c r="CV340" s="49"/>
      <c r="CW340" s="49"/>
      <c r="CX340" s="49"/>
      <c r="CY340" s="57"/>
      <c r="CZ340" s="49"/>
      <c r="DA340" s="49"/>
      <c r="DB340" s="49"/>
      <c r="DC340" s="49"/>
      <c r="DD340" s="49"/>
      <c r="DE340" s="49"/>
      <c r="DF340" s="57"/>
      <c r="DG340" s="49"/>
      <c r="DH340" s="49"/>
      <c r="DI340" s="49"/>
      <c r="DJ340" s="49"/>
      <c r="DK340" s="27"/>
      <c r="DL340" s="49"/>
      <c r="DM340" s="27"/>
      <c r="DN340" s="27"/>
      <c r="DO340" s="27"/>
      <c r="DP340" s="27"/>
      <c r="DQ340" s="27"/>
      <c r="DR340" s="27"/>
      <c r="DS340" s="27"/>
      <c r="DT340" s="27"/>
      <c r="DU340" s="27"/>
      <c r="DV340" s="27"/>
      <c r="DW340" s="27"/>
      <c r="DX340" s="27"/>
      <c r="DY340" s="27"/>
      <c r="DZ340" s="27"/>
      <c r="EA340" s="27"/>
      <c r="EB340" s="59"/>
      <c r="EC340" s="59"/>
      <c r="ED340" s="59"/>
      <c r="EE340" s="14"/>
      <c r="EF340" s="14"/>
      <c r="GN340" s="48"/>
    </row>
    <row r="341" spans="2:196" x14ac:dyDescent="0.25">
      <c r="B341" s="50"/>
      <c r="C341" s="50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9"/>
      <c r="BI341" s="49"/>
      <c r="BJ341" s="57"/>
      <c r="BK341" s="59"/>
      <c r="BL341" s="59"/>
      <c r="BM341" s="57"/>
      <c r="BN341" s="49"/>
      <c r="BO341" s="49"/>
      <c r="BP341" s="57"/>
      <c r="BQ341" s="49"/>
      <c r="BR341" s="49"/>
      <c r="BS341" s="57"/>
      <c r="BT341" s="49"/>
      <c r="BU341" s="49"/>
      <c r="BV341" s="57"/>
      <c r="BW341" s="19"/>
      <c r="BX341" s="59"/>
      <c r="BY341" s="27"/>
      <c r="BZ341" s="59"/>
      <c r="CA341" s="57"/>
      <c r="CB341" s="49"/>
      <c r="CC341" s="49"/>
      <c r="CD341" s="49"/>
      <c r="CE341" s="49"/>
      <c r="CF341" s="49"/>
      <c r="CG341" s="49"/>
      <c r="CH341" s="57"/>
      <c r="CI341" s="49"/>
      <c r="CJ341" s="49"/>
      <c r="CK341" s="57"/>
      <c r="CL341" s="49"/>
      <c r="CM341" s="49"/>
      <c r="CN341" s="49"/>
      <c r="CO341" s="49"/>
      <c r="CP341" s="49"/>
      <c r="CQ341" s="49"/>
      <c r="CR341" s="57"/>
      <c r="CS341" s="49"/>
      <c r="CT341" s="49"/>
      <c r="CU341" s="49"/>
      <c r="CV341" s="49"/>
      <c r="CW341" s="49"/>
      <c r="CX341" s="49"/>
      <c r="CY341" s="57"/>
      <c r="CZ341" s="49"/>
      <c r="DA341" s="49"/>
      <c r="DB341" s="49"/>
      <c r="DC341" s="49"/>
      <c r="DD341" s="49"/>
      <c r="DE341" s="49"/>
      <c r="DF341" s="57"/>
      <c r="DG341" s="49"/>
      <c r="DH341" s="49"/>
      <c r="DI341" s="49"/>
      <c r="DJ341" s="49"/>
      <c r="DK341" s="27"/>
      <c r="DL341" s="49"/>
      <c r="DM341" s="27"/>
      <c r="DN341" s="27"/>
      <c r="DO341" s="27"/>
      <c r="DP341" s="27"/>
      <c r="DQ341" s="27"/>
      <c r="DR341" s="27"/>
      <c r="DS341" s="27"/>
      <c r="DT341" s="27"/>
      <c r="DU341" s="27"/>
      <c r="DV341" s="27"/>
      <c r="DW341" s="27"/>
      <c r="DX341" s="27"/>
      <c r="DY341" s="27"/>
      <c r="DZ341" s="27"/>
      <c r="EA341" s="27"/>
      <c r="EB341" s="59"/>
      <c r="EC341" s="59"/>
      <c r="ED341" s="59"/>
      <c r="EE341" s="14"/>
      <c r="EF341" s="14"/>
      <c r="GN341" s="48"/>
    </row>
    <row r="342" spans="2:196" x14ac:dyDescent="0.25">
      <c r="B342" s="50"/>
      <c r="C342" s="50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9"/>
      <c r="BI342" s="49"/>
      <c r="BJ342" s="57"/>
      <c r="BK342" s="59"/>
      <c r="BL342" s="59"/>
      <c r="BM342" s="57"/>
      <c r="BN342" s="49"/>
      <c r="BO342" s="49"/>
      <c r="BP342" s="57"/>
      <c r="BQ342" s="49"/>
      <c r="BR342" s="49"/>
      <c r="BS342" s="57"/>
      <c r="BT342" s="49"/>
      <c r="BU342" s="49"/>
      <c r="BV342" s="57"/>
      <c r="BW342" s="19"/>
      <c r="BX342" s="59"/>
      <c r="BY342" s="27"/>
      <c r="BZ342" s="59"/>
      <c r="CA342" s="57"/>
      <c r="CB342" s="49"/>
      <c r="CC342" s="49"/>
      <c r="CD342" s="49"/>
      <c r="CE342" s="49"/>
      <c r="CF342" s="49"/>
      <c r="CG342" s="49"/>
      <c r="CH342" s="57"/>
      <c r="CI342" s="49"/>
      <c r="CJ342" s="49"/>
      <c r="CK342" s="57"/>
      <c r="CL342" s="49"/>
      <c r="CM342" s="49"/>
      <c r="CN342" s="49"/>
      <c r="CO342" s="49"/>
      <c r="CP342" s="49"/>
      <c r="CQ342" s="49"/>
      <c r="CR342" s="57"/>
      <c r="CS342" s="49"/>
      <c r="CT342" s="49"/>
      <c r="CU342" s="49"/>
      <c r="CV342" s="49"/>
      <c r="CW342" s="49"/>
      <c r="CX342" s="49"/>
      <c r="CY342" s="57"/>
      <c r="CZ342" s="49"/>
      <c r="DA342" s="49"/>
      <c r="DB342" s="49"/>
      <c r="DC342" s="49"/>
      <c r="DD342" s="49"/>
      <c r="DE342" s="49"/>
      <c r="DF342" s="57"/>
      <c r="DG342" s="49"/>
      <c r="DH342" s="49"/>
      <c r="DI342" s="49"/>
      <c r="DJ342" s="49"/>
      <c r="DK342" s="27"/>
      <c r="DL342" s="49"/>
      <c r="DM342" s="27"/>
      <c r="DN342" s="27"/>
      <c r="DO342" s="27"/>
      <c r="DP342" s="27"/>
      <c r="DQ342" s="27"/>
      <c r="DR342" s="27"/>
      <c r="DS342" s="27"/>
      <c r="DT342" s="27"/>
      <c r="DU342" s="27"/>
      <c r="DV342" s="27"/>
      <c r="DW342" s="27"/>
      <c r="DX342" s="27"/>
      <c r="DY342" s="27"/>
      <c r="DZ342" s="27"/>
      <c r="EA342" s="27"/>
      <c r="EB342" s="59"/>
      <c r="EC342" s="59"/>
      <c r="ED342" s="59"/>
      <c r="EE342" s="14"/>
      <c r="EF342" s="14"/>
      <c r="GN342" s="48"/>
    </row>
    <row r="343" spans="2:196" x14ac:dyDescent="0.25">
      <c r="B343" s="50"/>
      <c r="C343" s="50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9"/>
      <c r="BI343" s="49"/>
      <c r="BJ343" s="57"/>
      <c r="BK343" s="59"/>
      <c r="BL343" s="59"/>
      <c r="BM343" s="57"/>
      <c r="BN343" s="49"/>
      <c r="BO343" s="49"/>
      <c r="BP343" s="57"/>
      <c r="BQ343" s="49"/>
      <c r="BR343" s="49"/>
      <c r="BS343" s="57"/>
      <c r="BT343" s="49"/>
      <c r="BU343" s="49"/>
      <c r="BV343" s="57"/>
      <c r="BW343" s="19"/>
      <c r="BX343" s="59"/>
      <c r="BY343" s="27"/>
      <c r="BZ343" s="59"/>
      <c r="CA343" s="57"/>
      <c r="CB343" s="49"/>
      <c r="CC343" s="49"/>
      <c r="CD343" s="49"/>
      <c r="CE343" s="49"/>
      <c r="CF343" s="49"/>
      <c r="CG343" s="49"/>
      <c r="CH343" s="57"/>
      <c r="CI343" s="49"/>
      <c r="CJ343" s="49"/>
      <c r="CK343" s="57"/>
      <c r="CL343" s="49"/>
      <c r="CM343" s="49"/>
      <c r="CN343" s="49"/>
      <c r="CO343" s="49"/>
      <c r="CP343" s="49"/>
      <c r="CQ343" s="49"/>
      <c r="CR343" s="57"/>
      <c r="CS343" s="49"/>
      <c r="CT343" s="49"/>
      <c r="CU343" s="49"/>
      <c r="CV343" s="49"/>
      <c r="CW343" s="49"/>
      <c r="CX343" s="49"/>
      <c r="CY343" s="57"/>
      <c r="CZ343" s="49"/>
      <c r="DA343" s="49"/>
      <c r="DB343" s="49"/>
      <c r="DC343" s="49"/>
      <c r="DD343" s="49"/>
      <c r="DE343" s="49"/>
      <c r="DF343" s="57"/>
      <c r="DG343" s="49"/>
      <c r="DH343" s="49"/>
      <c r="DI343" s="49"/>
      <c r="DJ343" s="49"/>
      <c r="DK343" s="27"/>
      <c r="DL343" s="49"/>
      <c r="DM343" s="27"/>
      <c r="DN343" s="27"/>
      <c r="DO343" s="27"/>
      <c r="DP343" s="27"/>
      <c r="DQ343" s="27"/>
      <c r="DR343" s="27"/>
      <c r="DS343" s="27"/>
      <c r="DT343" s="27"/>
      <c r="DU343" s="27"/>
      <c r="DV343" s="27"/>
      <c r="DW343" s="27"/>
      <c r="DX343" s="27"/>
      <c r="DY343" s="27"/>
      <c r="DZ343" s="27"/>
      <c r="EA343" s="27"/>
      <c r="EB343" s="59"/>
      <c r="EC343" s="59"/>
      <c r="ED343" s="59"/>
      <c r="EE343" s="14"/>
      <c r="EF343" s="14"/>
      <c r="GN343" s="48"/>
    </row>
    <row r="344" spans="2:196" x14ac:dyDescent="0.25">
      <c r="B344" s="50"/>
      <c r="C344" s="50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9"/>
      <c r="BI344" s="49"/>
      <c r="BJ344" s="57"/>
      <c r="BK344" s="59"/>
      <c r="BL344" s="59"/>
      <c r="BM344" s="57"/>
      <c r="BN344" s="49"/>
      <c r="BO344" s="49"/>
      <c r="BP344" s="57"/>
      <c r="BQ344" s="49"/>
      <c r="BR344" s="49"/>
      <c r="BS344" s="57"/>
      <c r="BT344" s="49"/>
      <c r="BU344" s="49"/>
      <c r="BV344" s="57"/>
      <c r="BW344" s="19"/>
      <c r="BX344" s="59"/>
      <c r="BY344" s="27"/>
      <c r="BZ344" s="59"/>
      <c r="CA344" s="57"/>
      <c r="CB344" s="49"/>
      <c r="CC344" s="49"/>
      <c r="CD344" s="49"/>
      <c r="CE344" s="49"/>
      <c r="CF344" s="49"/>
      <c r="CG344" s="49"/>
      <c r="CH344" s="57"/>
      <c r="CI344" s="49"/>
      <c r="CJ344" s="49"/>
      <c r="CK344" s="57"/>
      <c r="CL344" s="49"/>
      <c r="CM344" s="49"/>
      <c r="CN344" s="49"/>
      <c r="CO344" s="49"/>
      <c r="CP344" s="49"/>
      <c r="CQ344" s="49"/>
      <c r="CR344" s="57"/>
      <c r="CS344" s="49"/>
      <c r="CT344" s="49"/>
      <c r="CU344" s="49"/>
      <c r="CV344" s="49"/>
      <c r="CW344" s="49"/>
      <c r="CX344" s="49"/>
      <c r="CY344" s="57"/>
      <c r="CZ344" s="49"/>
      <c r="DA344" s="49"/>
      <c r="DB344" s="49"/>
      <c r="DC344" s="49"/>
      <c r="DD344" s="49"/>
      <c r="DE344" s="49"/>
      <c r="DF344" s="57"/>
      <c r="DG344" s="49"/>
      <c r="DH344" s="49"/>
      <c r="DI344" s="49"/>
      <c r="DJ344" s="49"/>
      <c r="DK344" s="27"/>
      <c r="DL344" s="49"/>
      <c r="DM344" s="27"/>
      <c r="DN344" s="27"/>
      <c r="DO344" s="27"/>
      <c r="DP344" s="27"/>
      <c r="DQ344" s="27"/>
      <c r="DR344" s="27"/>
      <c r="DS344" s="27"/>
      <c r="DT344" s="27"/>
      <c r="DU344" s="27"/>
      <c r="DV344" s="27"/>
      <c r="DW344" s="27"/>
      <c r="DX344" s="27"/>
      <c r="DY344" s="27"/>
      <c r="DZ344" s="27"/>
      <c r="EA344" s="27"/>
      <c r="EB344" s="59"/>
      <c r="EC344" s="59"/>
      <c r="ED344" s="59"/>
      <c r="EE344" s="14"/>
      <c r="EF344" s="14"/>
      <c r="GN344" s="48"/>
    </row>
    <row r="345" spans="2:196" x14ac:dyDescent="0.25">
      <c r="B345" s="50"/>
      <c r="C345" s="50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9"/>
      <c r="BI345" s="49"/>
      <c r="BJ345" s="57"/>
      <c r="BK345" s="59"/>
      <c r="BL345" s="59"/>
      <c r="BM345" s="57"/>
      <c r="BN345" s="49"/>
      <c r="BO345" s="49"/>
      <c r="BP345" s="57"/>
      <c r="BQ345" s="49"/>
      <c r="BR345" s="49"/>
      <c r="BS345" s="57"/>
      <c r="BT345" s="49"/>
      <c r="BU345" s="49"/>
      <c r="BV345" s="57"/>
      <c r="BW345" s="19"/>
      <c r="BX345" s="59"/>
      <c r="BY345" s="27"/>
      <c r="BZ345" s="59"/>
      <c r="CA345" s="57"/>
      <c r="CB345" s="49"/>
      <c r="CC345" s="49"/>
      <c r="CD345" s="49"/>
      <c r="CE345" s="49"/>
      <c r="CF345" s="49"/>
      <c r="CG345" s="49"/>
      <c r="CH345" s="57"/>
      <c r="CI345" s="49"/>
      <c r="CJ345" s="49"/>
      <c r="CK345" s="57"/>
      <c r="CL345" s="49"/>
      <c r="CM345" s="49"/>
      <c r="CN345" s="49"/>
      <c r="CO345" s="49"/>
      <c r="CP345" s="49"/>
      <c r="CQ345" s="49"/>
      <c r="CR345" s="57"/>
      <c r="CS345" s="49"/>
      <c r="CT345" s="49"/>
      <c r="CU345" s="49"/>
      <c r="CV345" s="49"/>
      <c r="CW345" s="49"/>
      <c r="CX345" s="49"/>
      <c r="CY345" s="57"/>
      <c r="CZ345" s="49"/>
      <c r="DA345" s="49"/>
      <c r="DB345" s="49"/>
      <c r="DC345" s="49"/>
      <c r="DD345" s="49"/>
      <c r="DE345" s="49"/>
      <c r="DF345" s="57"/>
      <c r="DG345" s="49"/>
      <c r="DH345" s="49"/>
      <c r="DI345" s="49"/>
      <c r="DJ345" s="49"/>
      <c r="DK345" s="27"/>
      <c r="DL345" s="49"/>
      <c r="DM345" s="27"/>
      <c r="DN345" s="27"/>
      <c r="DO345" s="27"/>
      <c r="DP345" s="27"/>
      <c r="DQ345" s="27"/>
      <c r="DR345" s="27"/>
      <c r="DS345" s="27"/>
      <c r="DT345" s="27"/>
      <c r="DU345" s="27"/>
      <c r="DV345" s="27"/>
      <c r="DW345" s="27"/>
      <c r="DX345" s="27"/>
      <c r="DY345" s="27"/>
      <c r="DZ345" s="27"/>
      <c r="EA345" s="27"/>
      <c r="EB345" s="59"/>
      <c r="EC345" s="59"/>
      <c r="ED345" s="59"/>
      <c r="EE345" s="14"/>
      <c r="EF345" s="14"/>
      <c r="GN345" s="48"/>
    </row>
    <row r="346" spans="2:196" x14ac:dyDescent="0.25">
      <c r="B346" s="50"/>
      <c r="C346" s="50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9"/>
      <c r="BI346" s="49"/>
      <c r="BJ346" s="57"/>
      <c r="BK346" s="59"/>
      <c r="BL346" s="59"/>
      <c r="BM346" s="57"/>
      <c r="BN346" s="49"/>
      <c r="BO346" s="49"/>
      <c r="BP346" s="57"/>
      <c r="BQ346" s="49"/>
      <c r="BR346" s="49"/>
      <c r="BS346" s="57"/>
      <c r="BT346" s="49"/>
      <c r="BU346" s="49"/>
      <c r="BV346" s="57"/>
      <c r="BW346" s="19"/>
      <c r="BX346" s="59"/>
      <c r="BY346" s="27"/>
      <c r="BZ346" s="59"/>
      <c r="CA346" s="57"/>
      <c r="CB346" s="49"/>
      <c r="CC346" s="49"/>
      <c r="CD346" s="49"/>
      <c r="CE346" s="49"/>
      <c r="CF346" s="49"/>
      <c r="CG346" s="49"/>
      <c r="CH346" s="57"/>
      <c r="CI346" s="49"/>
      <c r="CJ346" s="49"/>
      <c r="CK346" s="57"/>
      <c r="CL346" s="49"/>
      <c r="CM346" s="49"/>
      <c r="CN346" s="49"/>
      <c r="CO346" s="49"/>
      <c r="CP346" s="49"/>
      <c r="CQ346" s="49"/>
      <c r="CR346" s="57"/>
      <c r="CS346" s="49"/>
      <c r="CT346" s="49"/>
      <c r="CU346" s="49"/>
      <c r="CV346" s="49"/>
      <c r="CW346" s="49"/>
      <c r="CX346" s="49"/>
      <c r="CY346" s="57"/>
      <c r="CZ346" s="49"/>
      <c r="DA346" s="49"/>
      <c r="DB346" s="49"/>
      <c r="DC346" s="49"/>
      <c r="DD346" s="49"/>
      <c r="DE346" s="49"/>
      <c r="DF346" s="57"/>
      <c r="DG346" s="49"/>
      <c r="DH346" s="49"/>
      <c r="DI346" s="49"/>
      <c r="DJ346" s="49"/>
      <c r="DK346" s="27"/>
      <c r="DL346" s="49"/>
      <c r="DM346" s="27"/>
      <c r="DN346" s="27"/>
      <c r="DO346" s="27"/>
      <c r="DP346" s="27"/>
      <c r="DQ346" s="27"/>
      <c r="DR346" s="27"/>
      <c r="DS346" s="27"/>
      <c r="DT346" s="27"/>
      <c r="DU346" s="27"/>
      <c r="DV346" s="27"/>
      <c r="DW346" s="27"/>
      <c r="DX346" s="27"/>
      <c r="DY346" s="27"/>
      <c r="DZ346" s="27"/>
      <c r="EA346" s="27"/>
      <c r="EB346" s="59"/>
      <c r="EC346" s="59"/>
      <c r="ED346" s="59"/>
      <c r="EE346" s="14"/>
      <c r="EF346" s="14"/>
      <c r="GN346" s="48"/>
    </row>
    <row r="347" spans="2:196" x14ac:dyDescent="0.25">
      <c r="B347" s="50"/>
      <c r="C347" s="50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9"/>
      <c r="BI347" s="49"/>
      <c r="BJ347" s="57"/>
      <c r="BK347" s="59"/>
      <c r="BL347" s="59"/>
      <c r="BM347" s="57"/>
      <c r="BN347" s="49"/>
      <c r="BO347" s="49"/>
      <c r="BP347" s="57"/>
      <c r="BQ347" s="49"/>
      <c r="BR347" s="49"/>
      <c r="BS347" s="57"/>
      <c r="BT347" s="49"/>
      <c r="BU347" s="49"/>
      <c r="BV347" s="57"/>
      <c r="BW347" s="19"/>
      <c r="BX347" s="59"/>
      <c r="BY347" s="27"/>
      <c r="BZ347" s="59"/>
      <c r="CA347" s="57"/>
      <c r="CB347" s="49"/>
      <c r="CC347" s="49"/>
      <c r="CD347" s="49"/>
      <c r="CE347" s="49"/>
      <c r="CF347" s="49"/>
      <c r="CG347" s="49"/>
      <c r="CH347" s="57"/>
      <c r="CI347" s="49"/>
      <c r="CJ347" s="49"/>
      <c r="CK347" s="57"/>
      <c r="CL347" s="49"/>
      <c r="CM347" s="49"/>
      <c r="CN347" s="49"/>
      <c r="CO347" s="49"/>
      <c r="CP347" s="49"/>
      <c r="CQ347" s="49"/>
      <c r="CR347" s="57"/>
      <c r="CS347" s="49"/>
      <c r="CT347" s="49"/>
      <c r="CU347" s="49"/>
      <c r="CV347" s="49"/>
      <c r="CW347" s="49"/>
      <c r="CX347" s="49"/>
      <c r="CY347" s="57"/>
      <c r="CZ347" s="49"/>
      <c r="DA347" s="49"/>
      <c r="DB347" s="49"/>
      <c r="DC347" s="49"/>
      <c r="DD347" s="49"/>
      <c r="DE347" s="49"/>
      <c r="DF347" s="57"/>
      <c r="DG347" s="49"/>
      <c r="DH347" s="49"/>
      <c r="DI347" s="49"/>
      <c r="DJ347" s="49"/>
      <c r="DK347" s="27"/>
      <c r="DL347" s="49"/>
      <c r="DM347" s="27"/>
      <c r="DN347" s="27"/>
      <c r="DO347" s="27"/>
      <c r="DP347" s="27"/>
      <c r="DQ347" s="27"/>
      <c r="DR347" s="27"/>
      <c r="DS347" s="27"/>
      <c r="DT347" s="27"/>
      <c r="DU347" s="27"/>
      <c r="DV347" s="27"/>
      <c r="DW347" s="27"/>
      <c r="DX347" s="27"/>
      <c r="DY347" s="27"/>
      <c r="DZ347" s="27"/>
      <c r="EA347" s="27"/>
      <c r="EB347" s="59"/>
      <c r="EC347" s="59"/>
      <c r="ED347" s="59"/>
      <c r="EE347" s="14"/>
      <c r="EF347" s="14"/>
      <c r="GN347" s="48"/>
    </row>
    <row r="348" spans="2:196" x14ac:dyDescent="0.25">
      <c r="B348" s="50"/>
      <c r="C348" s="50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9"/>
      <c r="BI348" s="49"/>
      <c r="BJ348" s="57"/>
      <c r="BK348" s="59"/>
      <c r="BL348" s="59"/>
      <c r="BM348" s="57"/>
      <c r="BN348" s="49"/>
      <c r="BO348" s="49"/>
      <c r="BP348" s="57"/>
      <c r="BQ348" s="49"/>
      <c r="BR348" s="49"/>
      <c r="BS348" s="57"/>
      <c r="BT348" s="49"/>
      <c r="BU348" s="49"/>
      <c r="BV348" s="57"/>
      <c r="BW348" s="19"/>
      <c r="BX348" s="59"/>
      <c r="BY348" s="27"/>
      <c r="BZ348" s="59"/>
      <c r="CA348" s="57"/>
      <c r="CB348" s="49"/>
      <c r="CC348" s="49"/>
      <c r="CD348" s="49"/>
      <c r="CE348" s="49"/>
      <c r="CF348" s="49"/>
      <c r="CG348" s="49"/>
      <c r="CH348" s="57"/>
      <c r="CI348" s="49"/>
      <c r="CJ348" s="49"/>
      <c r="CK348" s="57"/>
      <c r="CL348" s="49"/>
      <c r="CM348" s="49"/>
      <c r="CN348" s="49"/>
      <c r="CO348" s="49"/>
      <c r="CP348" s="49"/>
      <c r="CQ348" s="49"/>
      <c r="CR348" s="57"/>
      <c r="CS348" s="49"/>
      <c r="CT348" s="49"/>
      <c r="CU348" s="49"/>
      <c r="CV348" s="49"/>
      <c r="CW348" s="49"/>
      <c r="CX348" s="49"/>
      <c r="CY348" s="57"/>
      <c r="CZ348" s="49"/>
      <c r="DA348" s="49"/>
      <c r="DB348" s="49"/>
      <c r="DC348" s="49"/>
      <c r="DD348" s="49"/>
      <c r="DE348" s="49"/>
      <c r="DF348" s="57"/>
      <c r="DG348" s="49"/>
      <c r="DH348" s="49"/>
      <c r="DI348" s="49"/>
      <c r="DJ348" s="49"/>
      <c r="DK348" s="27"/>
      <c r="DL348" s="49"/>
      <c r="DM348" s="27"/>
      <c r="DN348" s="27"/>
      <c r="DO348" s="27"/>
      <c r="DP348" s="27"/>
      <c r="DQ348" s="27"/>
      <c r="DR348" s="27"/>
      <c r="DS348" s="27"/>
      <c r="DT348" s="27"/>
      <c r="DU348" s="27"/>
      <c r="DV348" s="27"/>
      <c r="DW348" s="27"/>
      <c r="DX348" s="27"/>
      <c r="DY348" s="27"/>
      <c r="DZ348" s="27"/>
      <c r="EA348" s="27"/>
      <c r="EB348" s="59"/>
      <c r="EC348" s="59"/>
      <c r="ED348" s="59"/>
      <c r="EE348" s="14"/>
      <c r="EF348" s="14"/>
      <c r="GN348" s="48"/>
    </row>
    <row r="349" spans="2:196" x14ac:dyDescent="0.25">
      <c r="B349" s="50"/>
      <c r="C349" s="50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9"/>
      <c r="BI349" s="49"/>
      <c r="BJ349" s="57"/>
      <c r="BK349" s="59"/>
      <c r="BL349" s="59"/>
      <c r="BM349" s="57"/>
      <c r="BN349" s="49"/>
      <c r="BO349" s="49"/>
      <c r="BP349" s="57"/>
      <c r="BQ349" s="49"/>
      <c r="BR349" s="49"/>
      <c r="BS349" s="57"/>
      <c r="BT349" s="49"/>
      <c r="BU349" s="49"/>
      <c r="BV349" s="57"/>
      <c r="BW349" s="19"/>
      <c r="BX349" s="59"/>
      <c r="BY349" s="27"/>
      <c r="BZ349" s="59"/>
      <c r="CA349" s="57"/>
      <c r="CB349" s="49"/>
      <c r="CC349" s="49"/>
      <c r="CD349" s="49"/>
      <c r="CE349" s="49"/>
      <c r="CF349" s="49"/>
      <c r="CG349" s="49"/>
      <c r="CH349" s="57"/>
      <c r="CI349" s="49"/>
      <c r="CJ349" s="49"/>
      <c r="CK349" s="57"/>
      <c r="CL349" s="49"/>
      <c r="CM349" s="49"/>
      <c r="CN349" s="49"/>
      <c r="CO349" s="49"/>
      <c r="CP349" s="49"/>
      <c r="CQ349" s="49"/>
      <c r="CR349" s="57"/>
      <c r="CS349" s="49"/>
      <c r="CT349" s="49"/>
      <c r="CU349" s="49"/>
      <c r="CV349" s="49"/>
      <c r="CW349" s="49"/>
      <c r="CX349" s="49"/>
      <c r="CY349" s="57"/>
      <c r="CZ349" s="49"/>
      <c r="DA349" s="49"/>
      <c r="DB349" s="49"/>
      <c r="DC349" s="49"/>
      <c r="DD349" s="49"/>
      <c r="DE349" s="49"/>
      <c r="DF349" s="57"/>
      <c r="DG349" s="49"/>
      <c r="DH349" s="49"/>
      <c r="DI349" s="49"/>
      <c r="DJ349" s="49"/>
      <c r="DK349" s="27"/>
      <c r="DL349" s="49"/>
      <c r="DM349" s="27"/>
      <c r="DN349" s="27"/>
      <c r="DO349" s="27"/>
      <c r="DP349" s="27"/>
      <c r="DQ349" s="27"/>
      <c r="DR349" s="27"/>
      <c r="DS349" s="27"/>
      <c r="DT349" s="27"/>
      <c r="DU349" s="27"/>
      <c r="DV349" s="27"/>
      <c r="DW349" s="27"/>
      <c r="DX349" s="27"/>
      <c r="DY349" s="27"/>
      <c r="DZ349" s="27"/>
      <c r="EA349" s="27"/>
      <c r="EB349" s="59"/>
      <c r="EC349" s="59"/>
      <c r="ED349" s="59"/>
      <c r="EE349" s="14"/>
      <c r="EF349" s="14"/>
      <c r="GN349" s="48"/>
    </row>
    <row r="350" spans="2:196" x14ac:dyDescent="0.25">
      <c r="B350" s="50"/>
      <c r="C350" s="50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9"/>
      <c r="BI350" s="49"/>
      <c r="BJ350" s="57"/>
      <c r="BK350" s="59"/>
      <c r="BL350" s="59"/>
      <c r="BM350" s="57"/>
      <c r="BN350" s="49"/>
      <c r="BO350" s="49"/>
      <c r="BP350" s="57"/>
      <c r="BQ350" s="49"/>
      <c r="BR350" s="49"/>
      <c r="BS350" s="57"/>
      <c r="BT350" s="49"/>
      <c r="BU350" s="49"/>
      <c r="BV350" s="57"/>
      <c r="BW350" s="19"/>
      <c r="BX350" s="59"/>
      <c r="BY350" s="27"/>
      <c r="BZ350" s="59"/>
      <c r="CA350" s="57"/>
      <c r="CB350" s="49"/>
      <c r="CC350" s="49"/>
      <c r="CD350" s="49"/>
      <c r="CE350" s="49"/>
      <c r="CF350" s="49"/>
      <c r="CG350" s="49"/>
      <c r="CH350" s="57"/>
      <c r="CI350" s="49"/>
      <c r="CJ350" s="49"/>
      <c r="CK350" s="57"/>
      <c r="CL350" s="49"/>
      <c r="CM350" s="49"/>
      <c r="CN350" s="49"/>
      <c r="CO350" s="49"/>
      <c r="CP350" s="49"/>
      <c r="CQ350" s="49"/>
      <c r="CR350" s="57"/>
      <c r="CS350" s="49"/>
      <c r="CT350" s="49"/>
      <c r="CU350" s="49"/>
      <c r="CV350" s="49"/>
      <c r="CW350" s="49"/>
      <c r="CX350" s="49"/>
      <c r="CY350" s="57"/>
      <c r="CZ350" s="49"/>
      <c r="DA350" s="49"/>
      <c r="DB350" s="49"/>
      <c r="DC350" s="49"/>
      <c r="DD350" s="49"/>
      <c r="DE350" s="49"/>
      <c r="DF350" s="57"/>
      <c r="DG350" s="49"/>
      <c r="DH350" s="49"/>
      <c r="DI350" s="49"/>
      <c r="DJ350" s="49"/>
      <c r="DK350" s="27"/>
      <c r="DL350" s="49"/>
      <c r="DM350" s="27"/>
      <c r="DN350" s="27"/>
      <c r="DO350" s="27"/>
      <c r="DP350" s="27"/>
      <c r="DQ350" s="27"/>
      <c r="DR350" s="27"/>
      <c r="DS350" s="27"/>
      <c r="DT350" s="27"/>
      <c r="DU350" s="27"/>
      <c r="DV350" s="27"/>
      <c r="DW350" s="27"/>
      <c r="DX350" s="27"/>
      <c r="DY350" s="27"/>
      <c r="DZ350" s="27"/>
      <c r="EA350" s="27"/>
      <c r="EB350" s="59"/>
      <c r="EC350" s="59"/>
      <c r="ED350" s="59"/>
      <c r="EE350" s="14"/>
      <c r="EF350" s="14"/>
      <c r="GN350" s="48"/>
    </row>
    <row r="351" spans="2:196" x14ac:dyDescent="0.25">
      <c r="B351" s="50"/>
      <c r="C351" s="50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9"/>
      <c r="BI351" s="49"/>
      <c r="BJ351" s="57"/>
      <c r="BK351" s="59"/>
      <c r="BL351" s="59"/>
      <c r="BM351" s="57"/>
      <c r="BN351" s="49"/>
      <c r="BO351" s="49"/>
      <c r="BP351" s="57"/>
      <c r="BQ351" s="49"/>
      <c r="BR351" s="49"/>
      <c r="BS351" s="57"/>
      <c r="BT351" s="49"/>
      <c r="BU351" s="49"/>
      <c r="BV351" s="57"/>
      <c r="BW351" s="19"/>
      <c r="BX351" s="59"/>
      <c r="BY351" s="27"/>
      <c r="BZ351" s="59"/>
      <c r="CA351" s="57"/>
      <c r="CB351" s="49"/>
      <c r="CC351" s="49"/>
      <c r="CD351" s="49"/>
      <c r="CE351" s="49"/>
      <c r="CF351" s="49"/>
      <c r="CG351" s="49"/>
      <c r="CH351" s="57"/>
      <c r="CI351" s="49"/>
      <c r="CJ351" s="49"/>
      <c r="CK351" s="57"/>
      <c r="CL351" s="49"/>
      <c r="CM351" s="49"/>
      <c r="CN351" s="49"/>
      <c r="CO351" s="49"/>
      <c r="CP351" s="49"/>
      <c r="CQ351" s="49"/>
      <c r="CR351" s="57"/>
      <c r="CS351" s="49"/>
      <c r="CT351" s="49"/>
      <c r="CU351" s="49"/>
      <c r="CV351" s="49"/>
      <c r="CW351" s="49"/>
      <c r="CX351" s="49"/>
      <c r="CY351" s="57"/>
      <c r="CZ351" s="49"/>
      <c r="DA351" s="49"/>
      <c r="DB351" s="49"/>
      <c r="DC351" s="49"/>
      <c r="DD351" s="49"/>
      <c r="DE351" s="49"/>
      <c r="DF351" s="57"/>
      <c r="DG351" s="49"/>
      <c r="DH351" s="49"/>
      <c r="DI351" s="49"/>
      <c r="DJ351" s="49"/>
      <c r="DK351" s="27"/>
      <c r="DL351" s="49"/>
      <c r="DM351" s="27"/>
      <c r="DN351" s="27"/>
      <c r="DO351" s="27"/>
      <c r="DP351" s="27"/>
      <c r="DQ351" s="27"/>
      <c r="DR351" s="27"/>
      <c r="DS351" s="27"/>
      <c r="DT351" s="27"/>
      <c r="DU351" s="27"/>
      <c r="DV351" s="27"/>
      <c r="DW351" s="27"/>
      <c r="DX351" s="27"/>
      <c r="DY351" s="27"/>
      <c r="DZ351" s="27"/>
      <c r="EA351" s="27"/>
      <c r="EB351" s="59"/>
      <c r="EC351" s="59"/>
      <c r="ED351" s="59"/>
      <c r="EE351" s="14"/>
      <c r="EF351" s="14"/>
      <c r="GN351" s="48"/>
    </row>
    <row r="352" spans="2:196" x14ac:dyDescent="0.25">
      <c r="B352" s="50"/>
      <c r="C352" s="50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9"/>
      <c r="BI352" s="49"/>
      <c r="BJ352" s="57"/>
      <c r="BK352" s="59"/>
      <c r="BL352" s="59"/>
      <c r="BM352" s="57"/>
      <c r="BN352" s="49"/>
      <c r="BO352" s="49"/>
      <c r="BP352" s="57"/>
      <c r="BQ352" s="49"/>
      <c r="BR352" s="49"/>
      <c r="BS352" s="57"/>
      <c r="BT352" s="49"/>
      <c r="BU352" s="49"/>
      <c r="BV352" s="57"/>
      <c r="BW352" s="19"/>
      <c r="BX352" s="59"/>
      <c r="BY352" s="27"/>
      <c r="BZ352" s="59"/>
      <c r="CA352" s="57"/>
      <c r="CB352" s="49"/>
      <c r="CC352" s="49"/>
      <c r="CD352" s="49"/>
      <c r="CE352" s="49"/>
      <c r="CF352" s="49"/>
      <c r="CG352" s="49"/>
      <c r="CH352" s="57"/>
      <c r="CI352" s="49"/>
      <c r="CJ352" s="49"/>
      <c r="CK352" s="57"/>
      <c r="CL352" s="49"/>
      <c r="CM352" s="49"/>
      <c r="CN352" s="49"/>
      <c r="CO352" s="49"/>
      <c r="CP352" s="49"/>
      <c r="CQ352" s="49"/>
      <c r="CR352" s="57"/>
      <c r="CS352" s="49"/>
      <c r="CT352" s="49"/>
      <c r="CU352" s="49"/>
      <c r="CV352" s="49"/>
      <c r="CW352" s="49"/>
      <c r="CX352" s="49"/>
      <c r="CY352" s="57"/>
      <c r="CZ352" s="49"/>
      <c r="DA352" s="49"/>
      <c r="DB352" s="49"/>
      <c r="DC352" s="49"/>
      <c r="DD352" s="49"/>
      <c r="DE352" s="49"/>
      <c r="DF352" s="57"/>
      <c r="DG352" s="49"/>
      <c r="DH352" s="49"/>
      <c r="DI352" s="49"/>
      <c r="DJ352" s="49"/>
      <c r="DK352" s="27"/>
      <c r="DL352" s="49"/>
      <c r="DM352" s="27"/>
      <c r="DN352" s="27"/>
      <c r="DO352" s="27"/>
      <c r="DP352" s="27"/>
      <c r="DQ352" s="27"/>
      <c r="DR352" s="27"/>
      <c r="DS352" s="27"/>
      <c r="DT352" s="27"/>
      <c r="DU352" s="27"/>
      <c r="DV352" s="27"/>
      <c r="DW352" s="27"/>
      <c r="DX352" s="27"/>
      <c r="DY352" s="27"/>
      <c r="DZ352" s="27"/>
      <c r="EA352" s="27"/>
      <c r="EB352" s="59"/>
      <c r="EC352" s="59"/>
      <c r="ED352" s="59"/>
      <c r="EE352" s="14"/>
      <c r="EF352" s="14"/>
      <c r="GN352" s="48"/>
    </row>
    <row r="353" spans="2:196" x14ac:dyDescent="0.25">
      <c r="B353" s="50"/>
      <c r="C353" s="50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9"/>
      <c r="BI353" s="49"/>
      <c r="BJ353" s="57"/>
      <c r="BK353" s="59"/>
      <c r="BL353" s="59"/>
      <c r="BM353" s="57"/>
      <c r="BN353" s="49"/>
      <c r="BO353" s="49"/>
      <c r="BP353" s="57"/>
      <c r="BQ353" s="49"/>
      <c r="BR353" s="49"/>
      <c r="BS353" s="57"/>
      <c r="BT353" s="49"/>
      <c r="BU353" s="49"/>
      <c r="BV353" s="57"/>
      <c r="BW353" s="19"/>
      <c r="BX353" s="59"/>
      <c r="BY353" s="27"/>
      <c r="BZ353" s="59"/>
      <c r="CA353" s="57"/>
      <c r="CB353" s="49"/>
      <c r="CC353" s="49"/>
      <c r="CD353" s="49"/>
      <c r="CE353" s="49"/>
      <c r="CF353" s="49"/>
      <c r="CG353" s="49"/>
      <c r="CH353" s="57"/>
      <c r="CI353" s="49"/>
      <c r="CJ353" s="49"/>
      <c r="CK353" s="57"/>
      <c r="CL353" s="49"/>
      <c r="CM353" s="49"/>
      <c r="CN353" s="49"/>
      <c r="CO353" s="49"/>
      <c r="CP353" s="49"/>
      <c r="CQ353" s="49"/>
      <c r="CR353" s="57"/>
      <c r="CS353" s="49"/>
      <c r="CT353" s="49"/>
      <c r="CU353" s="49"/>
      <c r="CV353" s="49"/>
      <c r="CW353" s="49"/>
      <c r="CX353" s="49"/>
      <c r="CY353" s="57"/>
      <c r="CZ353" s="49"/>
      <c r="DA353" s="49"/>
      <c r="DB353" s="49"/>
      <c r="DC353" s="49"/>
      <c r="DD353" s="49"/>
      <c r="DE353" s="49"/>
      <c r="DF353" s="57"/>
      <c r="DG353" s="49"/>
      <c r="DH353" s="49"/>
      <c r="DI353" s="49"/>
      <c r="DJ353" s="49"/>
      <c r="DK353" s="27"/>
      <c r="DL353" s="49"/>
      <c r="DM353" s="27"/>
      <c r="DN353" s="27"/>
      <c r="DO353" s="27"/>
      <c r="DP353" s="27"/>
      <c r="DQ353" s="27"/>
      <c r="DR353" s="27"/>
      <c r="DS353" s="27"/>
      <c r="DT353" s="27"/>
      <c r="DU353" s="27"/>
      <c r="DV353" s="27"/>
      <c r="DW353" s="27"/>
      <c r="DX353" s="27"/>
      <c r="DY353" s="27"/>
      <c r="DZ353" s="27"/>
      <c r="EA353" s="27"/>
      <c r="EB353" s="59"/>
      <c r="EC353" s="59"/>
      <c r="ED353" s="59"/>
      <c r="EE353" s="14"/>
      <c r="EF353" s="14"/>
      <c r="GN353" s="48"/>
    </row>
    <row r="354" spans="2:196" x14ac:dyDescent="0.25">
      <c r="B354" s="50"/>
      <c r="C354" s="50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9"/>
      <c r="BI354" s="49"/>
      <c r="BJ354" s="57"/>
      <c r="BK354" s="59"/>
      <c r="BL354" s="59"/>
      <c r="BM354" s="57"/>
      <c r="BN354" s="49"/>
      <c r="BO354" s="49"/>
      <c r="BP354" s="57"/>
      <c r="BQ354" s="49"/>
      <c r="BR354" s="49"/>
      <c r="BS354" s="57"/>
      <c r="BT354" s="49"/>
      <c r="BU354" s="49"/>
      <c r="BV354" s="57"/>
      <c r="BW354" s="19"/>
      <c r="BX354" s="59"/>
      <c r="BY354" s="27"/>
      <c r="BZ354" s="59"/>
      <c r="CA354" s="57"/>
      <c r="CB354" s="49"/>
      <c r="CC354" s="49"/>
      <c r="CD354" s="49"/>
      <c r="CE354" s="49"/>
      <c r="CF354" s="49"/>
      <c r="CG354" s="49"/>
      <c r="CH354" s="57"/>
      <c r="CI354" s="49"/>
      <c r="CJ354" s="49"/>
      <c r="CK354" s="57"/>
      <c r="CL354" s="49"/>
      <c r="CM354" s="49"/>
      <c r="CN354" s="49"/>
      <c r="CO354" s="49"/>
      <c r="CP354" s="49"/>
      <c r="CQ354" s="49"/>
      <c r="CR354" s="57"/>
      <c r="CS354" s="49"/>
      <c r="CT354" s="49"/>
      <c r="CU354" s="49"/>
      <c r="CV354" s="49"/>
      <c r="CW354" s="49"/>
      <c r="CX354" s="49"/>
      <c r="CY354" s="57"/>
      <c r="CZ354" s="49"/>
      <c r="DA354" s="49"/>
      <c r="DB354" s="49"/>
      <c r="DC354" s="49"/>
      <c r="DD354" s="49"/>
      <c r="DE354" s="49"/>
      <c r="DF354" s="57"/>
      <c r="DG354" s="49"/>
      <c r="DH354" s="49"/>
      <c r="DI354" s="49"/>
      <c r="DJ354" s="49"/>
      <c r="DK354" s="27"/>
      <c r="DL354" s="49"/>
      <c r="DM354" s="27"/>
      <c r="DN354" s="27"/>
      <c r="DO354" s="27"/>
      <c r="DP354" s="27"/>
      <c r="DQ354" s="27"/>
      <c r="DR354" s="27"/>
      <c r="DS354" s="27"/>
      <c r="DT354" s="27"/>
      <c r="DU354" s="27"/>
      <c r="DV354" s="27"/>
      <c r="DW354" s="27"/>
      <c r="DX354" s="27"/>
      <c r="DY354" s="27"/>
      <c r="DZ354" s="27"/>
      <c r="EA354" s="27"/>
      <c r="EB354" s="59"/>
      <c r="EC354" s="59"/>
      <c r="ED354" s="59"/>
      <c r="EE354" s="14"/>
      <c r="EF354" s="14"/>
      <c r="GN354" s="48"/>
    </row>
    <row r="355" spans="2:196" x14ac:dyDescent="0.25">
      <c r="B355" s="50"/>
      <c r="C355" s="50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9"/>
      <c r="BI355" s="49"/>
      <c r="BJ355" s="57"/>
      <c r="BK355" s="59"/>
      <c r="BL355" s="59"/>
      <c r="BM355" s="57"/>
      <c r="BN355" s="49"/>
      <c r="BO355" s="49"/>
      <c r="BP355" s="57"/>
      <c r="BQ355" s="49"/>
      <c r="BR355" s="49"/>
      <c r="BS355" s="57"/>
      <c r="BT355" s="49"/>
      <c r="BU355" s="49"/>
      <c r="BV355" s="57"/>
      <c r="BW355" s="19"/>
      <c r="BX355" s="59"/>
      <c r="BY355" s="27"/>
      <c r="BZ355" s="59"/>
      <c r="CA355" s="57"/>
      <c r="CB355" s="49"/>
      <c r="CC355" s="49"/>
      <c r="CD355" s="49"/>
      <c r="CE355" s="49"/>
      <c r="CF355" s="49"/>
      <c r="CG355" s="49"/>
      <c r="CH355" s="57"/>
      <c r="CI355" s="49"/>
      <c r="CJ355" s="49"/>
      <c r="CK355" s="57"/>
      <c r="CL355" s="49"/>
      <c r="CM355" s="49"/>
      <c r="CN355" s="49"/>
      <c r="CO355" s="49"/>
      <c r="CP355" s="49"/>
      <c r="CQ355" s="49"/>
      <c r="CR355" s="57"/>
      <c r="CS355" s="49"/>
      <c r="CT355" s="49"/>
      <c r="CU355" s="49"/>
      <c r="CV355" s="49"/>
      <c r="CW355" s="49"/>
      <c r="CX355" s="49"/>
      <c r="CY355" s="57"/>
      <c r="CZ355" s="49"/>
      <c r="DA355" s="49"/>
      <c r="DB355" s="49"/>
      <c r="DC355" s="49"/>
      <c r="DD355" s="49"/>
      <c r="DE355" s="49"/>
      <c r="DF355" s="57"/>
      <c r="DG355" s="49"/>
      <c r="DH355" s="49"/>
      <c r="DI355" s="49"/>
      <c r="DJ355" s="49"/>
      <c r="DK355" s="27"/>
      <c r="DL355" s="49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  <c r="DY355" s="27"/>
      <c r="DZ355" s="27"/>
      <c r="EA355" s="27"/>
      <c r="EB355" s="59"/>
      <c r="EC355" s="59"/>
      <c r="ED355" s="59"/>
      <c r="EE355" s="14"/>
      <c r="EF355" s="14"/>
      <c r="GN355" s="48"/>
    </row>
    <row r="356" spans="2:196" x14ac:dyDescent="0.25">
      <c r="B356" s="50"/>
      <c r="C356" s="50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9"/>
      <c r="BI356" s="49"/>
      <c r="BJ356" s="57"/>
      <c r="BK356" s="59"/>
      <c r="BL356" s="59"/>
      <c r="BM356" s="57"/>
      <c r="BN356" s="49"/>
      <c r="BO356" s="49"/>
      <c r="BP356" s="57"/>
      <c r="BQ356" s="49"/>
      <c r="BR356" s="49"/>
      <c r="BS356" s="57"/>
      <c r="BT356" s="49"/>
      <c r="BU356" s="49"/>
      <c r="BV356" s="57"/>
      <c r="BW356" s="19"/>
      <c r="BX356" s="59"/>
      <c r="BY356" s="27"/>
      <c r="BZ356" s="59"/>
      <c r="CA356" s="57"/>
      <c r="CB356" s="49"/>
      <c r="CC356" s="49"/>
      <c r="CD356" s="49"/>
      <c r="CE356" s="49"/>
      <c r="CF356" s="49"/>
      <c r="CG356" s="49"/>
      <c r="CH356" s="57"/>
      <c r="CI356" s="49"/>
      <c r="CJ356" s="49"/>
      <c r="CK356" s="57"/>
      <c r="CL356" s="49"/>
      <c r="CM356" s="49"/>
      <c r="CN356" s="49"/>
      <c r="CO356" s="49"/>
      <c r="CP356" s="49"/>
      <c r="CQ356" s="49"/>
      <c r="CR356" s="57"/>
      <c r="CS356" s="49"/>
      <c r="CT356" s="49"/>
      <c r="CU356" s="49"/>
      <c r="CV356" s="49"/>
      <c r="CW356" s="49"/>
      <c r="CX356" s="49"/>
      <c r="CY356" s="57"/>
      <c r="CZ356" s="49"/>
      <c r="DA356" s="49"/>
      <c r="DB356" s="49"/>
      <c r="DC356" s="49"/>
      <c r="DD356" s="49"/>
      <c r="DE356" s="49"/>
      <c r="DF356" s="57"/>
      <c r="DG356" s="49"/>
      <c r="DH356" s="49"/>
      <c r="DI356" s="49"/>
      <c r="DJ356" s="49"/>
      <c r="DK356" s="27"/>
      <c r="DL356" s="49"/>
      <c r="DM356" s="27"/>
      <c r="DN356" s="27"/>
      <c r="DO356" s="27"/>
      <c r="DP356" s="27"/>
      <c r="DQ356" s="27"/>
      <c r="DR356" s="27"/>
      <c r="DS356" s="27"/>
      <c r="DT356" s="27"/>
      <c r="DU356" s="27"/>
      <c r="DV356" s="27"/>
      <c r="DW356" s="27"/>
      <c r="DX356" s="27"/>
      <c r="DY356" s="27"/>
      <c r="DZ356" s="27"/>
      <c r="EA356" s="27"/>
      <c r="EB356" s="59"/>
      <c r="EC356" s="59"/>
      <c r="ED356" s="59"/>
      <c r="EE356" s="14"/>
      <c r="EF356" s="14"/>
      <c r="GN356" s="48"/>
    </row>
    <row r="357" spans="2:196" x14ac:dyDescent="0.25">
      <c r="B357" s="50"/>
      <c r="C357" s="50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9"/>
      <c r="BI357" s="49"/>
      <c r="BJ357" s="57"/>
      <c r="BK357" s="59"/>
      <c r="BL357" s="59"/>
      <c r="BM357" s="57"/>
      <c r="BN357" s="49"/>
      <c r="BO357" s="49"/>
      <c r="BP357" s="57"/>
      <c r="BQ357" s="49"/>
      <c r="BR357" s="49"/>
      <c r="BS357" s="57"/>
      <c r="BT357" s="49"/>
      <c r="BU357" s="49"/>
      <c r="BV357" s="57"/>
      <c r="BW357" s="19"/>
      <c r="BX357" s="59"/>
      <c r="BY357" s="27"/>
      <c r="BZ357" s="59"/>
      <c r="CA357" s="57"/>
      <c r="CB357" s="49"/>
      <c r="CC357" s="49"/>
      <c r="CD357" s="49"/>
      <c r="CE357" s="49"/>
      <c r="CF357" s="49"/>
      <c r="CG357" s="49"/>
      <c r="CH357" s="57"/>
      <c r="CI357" s="49"/>
      <c r="CJ357" s="49"/>
      <c r="CK357" s="57"/>
      <c r="CL357" s="49"/>
      <c r="CM357" s="49"/>
      <c r="CN357" s="49"/>
      <c r="CO357" s="49"/>
      <c r="CP357" s="49"/>
      <c r="CQ357" s="49"/>
      <c r="CR357" s="57"/>
      <c r="CS357" s="49"/>
      <c r="CT357" s="49"/>
      <c r="CU357" s="49"/>
      <c r="CV357" s="49"/>
      <c r="CW357" s="49"/>
      <c r="CX357" s="49"/>
      <c r="CY357" s="57"/>
      <c r="CZ357" s="49"/>
      <c r="DA357" s="49"/>
      <c r="DB357" s="49"/>
      <c r="DC357" s="49"/>
      <c r="DD357" s="49"/>
      <c r="DE357" s="49"/>
      <c r="DF357" s="57"/>
      <c r="DG357" s="49"/>
      <c r="DH357" s="49"/>
      <c r="DI357" s="49"/>
      <c r="DJ357" s="49"/>
      <c r="DK357" s="27"/>
      <c r="DL357" s="49"/>
      <c r="DM357" s="27"/>
      <c r="DN357" s="27"/>
      <c r="DO357" s="27"/>
      <c r="DP357" s="27"/>
      <c r="DQ357" s="27"/>
      <c r="DR357" s="27"/>
      <c r="DS357" s="27"/>
      <c r="DT357" s="27"/>
      <c r="DU357" s="27"/>
      <c r="DV357" s="27"/>
      <c r="DW357" s="27"/>
      <c r="DX357" s="27"/>
      <c r="DY357" s="27"/>
      <c r="DZ357" s="27"/>
      <c r="EA357" s="27"/>
      <c r="EB357" s="59"/>
      <c r="EC357" s="59"/>
      <c r="ED357" s="59"/>
      <c r="EE357" s="14"/>
      <c r="EF357" s="14"/>
      <c r="GN357" s="48"/>
    </row>
    <row r="358" spans="2:196" x14ac:dyDescent="0.25">
      <c r="B358" s="50"/>
      <c r="C358" s="50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9"/>
      <c r="BI358" s="49"/>
      <c r="BJ358" s="57"/>
      <c r="BK358" s="59"/>
      <c r="BL358" s="59"/>
      <c r="BM358" s="57"/>
      <c r="BN358" s="49"/>
      <c r="BO358" s="49"/>
      <c r="BP358" s="57"/>
      <c r="BQ358" s="49"/>
      <c r="BR358" s="49"/>
      <c r="BS358" s="57"/>
      <c r="BT358" s="49"/>
      <c r="BU358" s="49"/>
      <c r="BV358" s="57"/>
      <c r="BW358" s="19"/>
      <c r="BX358" s="59"/>
      <c r="BY358" s="27"/>
      <c r="BZ358" s="59"/>
      <c r="CA358" s="57"/>
      <c r="CB358" s="49"/>
      <c r="CC358" s="49"/>
      <c r="CD358" s="49"/>
      <c r="CE358" s="49"/>
      <c r="CF358" s="49"/>
      <c r="CG358" s="49"/>
      <c r="CH358" s="57"/>
      <c r="CI358" s="49"/>
      <c r="CJ358" s="49"/>
      <c r="CK358" s="57"/>
      <c r="CL358" s="49"/>
      <c r="CM358" s="49"/>
      <c r="CN358" s="49"/>
      <c r="CO358" s="49"/>
      <c r="CP358" s="49"/>
      <c r="CQ358" s="49"/>
      <c r="CR358" s="57"/>
      <c r="CS358" s="49"/>
      <c r="CT358" s="49"/>
      <c r="CU358" s="49"/>
      <c r="CV358" s="49"/>
      <c r="CW358" s="49"/>
      <c r="CX358" s="49"/>
      <c r="CY358" s="57"/>
      <c r="CZ358" s="49"/>
      <c r="DA358" s="49"/>
      <c r="DB358" s="49"/>
      <c r="DC358" s="49"/>
      <c r="DD358" s="49"/>
      <c r="DE358" s="49"/>
      <c r="DF358" s="57"/>
      <c r="DG358" s="49"/>
      <c r="DH358" s="49"/>
      <c r="DI358" s="49"/>
      <c r="DJ358" s="49"/>
      <c r="DK358" s="27"/>
      <c r="DL358" s="49"/>
      <c r="DM358" s="27"/>
      <c r="DN358" s="27"/>
      <c r="DO358" s="27"/>
      <c r="DP358" s="27"/>
      <c r="DQ358" s="27"/>
      <c r="DR358" s="27"/>
      <c r="DS358" s="27"/>
      <c r="DT358" s="27"/>
      <c r="DU358" s="27"/>
      <c r="DV358" s="27"/>
      <c r="DW358" s="27"/>
      <c r="DX358" s="27"/>
      <c r="DY358" s="27"/>
      <c r="DZ358" s="27"/>
      <c r="EA358" s="27"/>
      <c r="EB358" s="59"/>
      <c r="EC358" s="59"/>
      <c r="ED358" s="59"/>
      <c r="EE358" s="14"/>
      <c r="EF358" s="14"/>
      <c r="GN358" s="48"/>
    </row>
    <row r="359" spans="2:196" x14ac:dyDescent="0.25">
      <c r="B359" s="50"/>
      <c r="C359" s="50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9"/>
      <c r="BI359" s="49"/>
      <c r="BJ359" s="57"/>
      <c r="BK359" s="59"/>
      <c r="BL359" s="59"/>
      <c r="BM359" s="57"/>
      <c r="BN359" s="49"/>
      <c r="BO359" s="49"/>
      <c r="BP359" s="57"/>
      <c r="BQ359" s="49"/>
      <c r="BR359" s="49"/>
      <c r="BS359" s="57"/>
      <c r="BT359" s="49"/>
      <c r="BU359" s="49"/>
      <c r="BV359" s="57"/>
      <c r="BW359" s="19"/>
      <c r="BX359" s="59"/>
      <c r="BY359" s="27"/>
      <c r="BZ359" s="59"/>
      <c r="CA359" s="57"/>
      <c r="CB359" s="49"/>
      <c r="CC359" s="49"/>
      <c r="CD359" s="49"/>
      <c r="CE359" s="49"/>
      <c r="CF359" s="49"/>
      <c r="CG359" s="49"/>
      <c r="CH359" s="57"/>
      <c r="CI359" s="49"/>
      <c r="CJ359" s="49"/>
      <c r="CK359" s="57"/>
      <c r="CL359" s="49"/>
      <c r="CM359" s="49"/>
      <c r="CN359" s="49"/>
      <c r="CO359" s="49"/>
      <c r="CP359" s="49"/>
      <c r="CQ359" s="49"/>
      <c r="CR359" s="57"/>
      <c r="CS359" s="49"/>
      <c r="CT359" s="49"/>
      <c r="CU359" s="49"/>
      <c r="CV359" s="49"/>
      <c r="CW359" s="49"/>
      <c r="CX359" s="49"/>
      <c r="CY359" s="57"/>
      <c r="CZ359" s="49"/>
      <c r="DA359" s="49"/>
      <c r="DB359" s="49"/>
      <c r="DC359" s="49"/>
      <c r="DD359" s="49"/>
      <c r="DE359" s="49"/>
      <c r="DF359" s="57"/>
      <c r="DG359" s="49"/>
      <c r="DH359" s="49"/>
      <c r="DI359" s="49"/>
      <c r="DJ359" s="49"/>
      <c r="DK359" s="27"/>
      <c r="DL359" s="49"/>
      <c r="DM359" s="27"/>
      <c r="DN359" s="27"/>
      <c r="DO359" s="27"/>
      <c r="DP359" s="27"/>
      <c r="DQ359" s="27"/>
      <c r="DR359" s="27"/>
      <c r="DS359" s="27"/>
      <c r="DT359" s="27"/>
      <c r="DU359" s="27"/>
      <c r="DV359" s="27"/>
      <c r="DW359" s="27"/>
      <c r="DX359" s="27"/>
      <c r="DY359" s="27"/>
      <c r="DZ359" s="27"/>
      <c r="EA359" s="27"/>
      <c r="EB359" s="59"/>
      <c r="EC359" s="59"/>
      <c r="ED359" s="59"/>
      <c r="EE359" s="14"/>
      <c r="EF359" s="14"/>
      <c r="GN359" s="48"/>
    </row>
    <row r="360" spans="2:196" x14ac:dyDescent="0.25">
      <c r="B360" s="50"/>
      <c r="C360" s="50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9"/>
      <c r="BI360" s="49"/>
      <c r="BJ360" s="57"/>
      <c r="BK360" s="59"/>
      <c r="BL360" s="59"/>
      <c r="BM360" s="57"/>
      <c r="BN360" s="49"/>
      <c r="BO360" s="49"/>
      <c r="BP360" s="57"/>
      <c r="BQ360" s="49"/>
      <c r="BR360" s="49"/>
      <c r="BS360" s="57"/>
      <c r="BT360" s="49"/>
      <c r="BU360" s="49"/>
      <c r="BV360" s="57"/>
      <c r="BW360" s="19"/>
      <c r="BX360" s="59"/>
      <c r="BY360" s="27"/>
      <c r="BZ360" s="59"/>
      <c r="CA360" s="57"/>
      <c r="CB360" s="49"/>
      <c r="CC360" s="49"/>
      <c r="CD360" s="49"/>
      <c r="CE360" s="49"/>
      <c r="CF360" s="49"/>
      <c r="CG360" s="49"/>
      <c r="CH360" s="57"/>
      <c r="CI360" s="49"/>
      <c r="CJ360" s="49"/>
      <c r="CK360" s="57"/>
      <c r="CL360" s="49"/>
      <c r="CM360" s="49"/>
      <c r="CN360" s="49"/>
      <c r="CO360" s="49"/>
      <c r="CP360" s="49"/>
      <c r="CQ360" s="49"/>
      <c r="CR360" s="57"/>
      <c r="CS360" s="49"/>
      <c r="CT360" s="49"/>
      <c r="CU360" s="49"/>
      <c r="CV360" s="49"/>
      <c r="CW360" s="49"/>
      <c r="CX360" s="49"/>
      <c r="CY360" s="57"/>
      <c r="CZ360" s="49"/>
      <c r="DA360" s="49"/>
      <c r="DB360" s="49"/>
      <c r="DC360" s="49"/>
      <c r="DD360" s="49"/>
      <c r="DE360" s="49"/>
      <c r="DF360" s="57"/>
      <c r="DG360" s="49"/>
      <c r="DH360" s="49"/>
      <c r="DI360" s="49"/>
      <c r="DJ360" s="49"/>
      <c r="DK360" s="27"/>
      <c r="DL360" s="49"/>
      <c r="DM360" s="27"/>
      <c r="DN360" s="27"/>
      <c r="DO360" s="27"/>
      <c r="DP360" s="27"/>
      <c r="DQ360" s="27"/>
      <c r="DR360" s="27"/>
      <c r="DS360" s="27"/>
      <c r="DT360" s="27"/>
      <c r="DU360" s="27"/>
      <c r="DV360" s="27"/>
      <c r="DW360" s="27"/>
      <c r="DX360" s="27"/>
      <c r="DY360" s="27"/>
      <c r="DZ360" s="27"/>
      <c r="EA360" s="27"/>
      <c r="EB360" s="59"/>
      <c r="EC360" s="59"/>
      <c r="ED360" s="59"/>
      <c r="EE360" s="14"/>
      <c r="EF360" s="14"/>
      <c r="GN360" s="48"/>
    </row>
    <row r="361" spans="2:196" x14ac:dyDescent="0.25">
      <c r="B361" s="50"/>
      <c r="C361" s="50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9"/>
      <c r="BI361" s="49"/>
      <c r="BJ361" s="57"/>
      <c r="BK361" s="59"/>
      <c r="BL361" s="59"/>
      <c r="BM361" s="57"/>
      <c r="BN361" s="49"/>
      <c r="BO361" s="49"/>
      <c r="BP361" s="57"/>
      <c r="BQ361" s="49"/>
      <c r="BR361" s="49"/>
      <c r="BS361" s="57"/>
      <c r="BT361" s="49"/>
      <c r="BU361" s="49"/>
      <c r="BV361" s="57"/>
      <c r="BW361" s="19"/>
      <c r="BX361" s="59"/>
      <c r="BY361" s="27"/>
      <c r="BZ361" s="59"/>
      <c r="CA361" s="57"/>
      <c r="CB361" s="49"/>
      <c r="CC361" s="49"/>
      <c r="CD361" s="49"/>
      <c r="CE361" s="49"/>
      <c r="CF361" s="49"/>
      <c r="CG361" s="49"/>
      <c r="CH361" s="57"/>
      <c r="CI361" s="49"/>
      <c r="CJ361" s="49"/>
      <c r="CK361" s="57"/>
      <c r="CL361" s="49"/>
      <c r="CM361" s="49"/>
      <c r="CN361" s="49"/>
      <c r="CO361" s="49"/>
      <c r="CP361" s="49"/>
      <c r="CQ361" s="49"/>
      <c r="CR361" s="57"/>
      <c r="CS361" s="49"/>
      <c r="CT361" s="49"/>
      <c r="CU361" s="49"/>
      <c r="CV361" s="49"/>
      <c r="CW361" s="49"/>
      <c r="CX361" s="49"/>
      <c r="CY361" s="57"/>
      <c r="CZ361" s="49"/>
      <c r="DA361" s="49"/>
      <c r="DB361" s="49"/>
      <c r="DC361" s="49"/>
      <c r="DD361" s="49"/>
      <c r="DE361" s="49"/>
      <c r="DF361" s="57"/>
      <c r="DG361" s="49"/>
      <c r="DH361" s="49"/>
      <c r="DI361" s="49"/>
      <c r="DJ361" s="49"/>
      <c r="DK361" s="27"/>
      <c r="DL361" s="49"/>
      <c r="DM361" s="27"/>
      <c r="DN361" s="27"/>
      <c r="DO361" s="27"/>
      <c r="DP361" s="27"/>
      <c r="DQ361" s="27"/>
      <c r="DR361" s="27"/>
      <c r="DS361" s="27"/>
      <c r="DT361" s="27"/>
      <c r="DU361" s="27"/>
      <c r="DV361" s="27"/>
      <c r="DW361" s="27"/>
      <c r="DX361" s="27"/>
      <c r="DY361" s="27"/>
      <c r="DZ361" s="27"/>
      <c r="EA361" s="27"/>
      <c r="EB361" s="59"/>
      <c r="EC361" s="59"/>
      <c r="ED361" s="59"/>
      <c r="EE361" s="14"/>
      <c r="EF361" s="14"/>
      <c r="GN361" s="48"/>
    </row>
    <row r="362" spans="2:196" x14ac:dyDescent="0.25">
      <c r="B362" s="50"/>
      <c r="C362" s="50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9"/>
      <c r="BI362" s="49"/>
      <c r="BJ362" s="57"/>
      <c r="BK362" s="59"/>
      <c r="BL362" s="59"/>
      <c r="BM362" s="57"/>
      <c r="BN362" s="49"/>
      <c r="BO362" s="49"/>
      <c r="BP362" s="57"/>
      <c r="BQ362" s="49"/>
      <c r="BR362" s="49"/>
      <c r="BS362" s="57"/>
      <c r="BT362" s="49"/>
      <c r="BU362" s="49"/>
      <c r="BV362" s="57"/>
      <c r="BW362" s="19"/>
      <c r="BX362" s="59"/>
      <c r="BY362" s="27"/>
      <c r="BZ362" s="59"/>
      <c r="CA362" s="57"/>
      <c r="CB362" s="49"/>
      <c r="CC362" s="49"/>
      <c r="CD362" s="49"/>
      <c r="CE362" s="49"/>
      <c r="CF362" s="49"/>
      <c r="CG362" s="49"/>
      <c r="CH362" s="57"/>
      <c r="CI362" s="49"/>
      <c r="CJ362" s="49"/>
      <c r="CK362" s="57"/>
      <c r="CL362" s="49"/>
      <c r="CM362" s="49"/>
      <c r="CN362" s="49"/>
      <c r="CO362" s="49"/>
      <c r="CP362" s="49"/>
      <c r="CQ362" s="49"/>
      <c r="CR362" s="57"/>
      <c r="CS362" s="49"/>
      <c r="CT362" s="49"/>
      <c r="CU362" s="49"/>
      <c r="CV362" s="49"/>
      <c r="CW362" s="49"/>
      <c r="CX362" s="49"/>
      <c r="CY362" s="57"/>
      <c r="CZ362" s="49"/>
      <c r="DA362" s="49"/>
      <c r="DB362" s="49"/>
      <c r="DC362" s="49"/>
      <c r="DD362" s="49"/>
      <c r="DE362" s="49"/>
      <c r="DF362" s="57"/>
      <c r="DG362" s="49"/>
      <c r="DH362" s="49"/>
      <c r="DI362" s="49"/>
      <c r="DJ362" s="49"/>
      <c r="DK362" s="27"/>
      <c r="DL362" s="49"/>
      <c r="DM362" s="27"/>
      <c r="DN362" s="27"/>
      <c r="DO362" s="27"/>
      <c r="DP362" s="27"/>
      <c r="DQ362" s="27"/>
      <c r="DR362" s="27"/>
      <c r="DS362" s="27"/>
      <c r="DT362" s="27"/>
      <c r="DU362" s="27"/>
      <c r="DV362" s="27"/>
      <c r="DW362" s="27"/>
      <c r="DX362" s="27"/>
      <c r="DY362" s="27"/>
      <c r="DZ362" s="27"/>
      <c r="EA362" s="27"/>
      <c r="EB362" s="59"/>
      <c r="EC362" s="59"/>
      <c r="ED362" s="59"/>
      <c r="EE362" s="14"/>
      <c r="EF362" s="14"/>
      <c r="GN362" s="48"/>
    </row>
    <row r="363" spans="2:196" x14ac:dyDescent="0.25">
      <c r="B363" s="50"/>
      <c r="C363" s="50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9"/>
      <c r="BI363" s="49"/>
      <c r="BJ363" s="57"/>
      <c r="BK363" s="59"/>
      <c r="BL363" s="59"/>
      <c r="BM363" s="57"/>
      <c r="BN363" s="49"/>
      <c r="BO363" s="49"/>
      <c r="BP363" s="57"/>
      <c r="BQ363" s="49"/>
      <c r="BR363" s="49"/>
      <c r="BS363" s="57"/>
      <c r="BT363" s="49"/>
      <c r="BU363" s="49"/>
      <c r="BV363" s="57"/>
      <c r="BW363" s="19"/>
      <c r="BX363" s="59"/>
      <c r="BY363" s="27"/>
      <c r="BZ363" s="59"/>
      <c r="CA363" s="57"/>
      <c r="CB363" s="49"/>
      <c r="CC363" s="49"/>
      <c r="CD363" s="49"/>
      <c r="CE363" s="49"/>
      <c r="CF363" s="49"/>
      <c r="CG363" s="49"/>
      <c r="CH363" s="57"/>
      <c r="CI363" s="49"/>
      <c r="CJ363" s="49"/>
      <c r="CK363" s="57"/>
      <c r="CL363" s="49"/>
      <c r="CM363" s="49"/>
      <c r="CN363" s="49"/>
      <c r="CO363" s="49"/>
      <c r="CP363" s="49"/>
      <c r="CQ363" s="49"/>
      <c r="CR363" s="57"/>
      <c r="CS363" s="49"/>
      <c r="CT363" s="49"/>
      <c r="CU363" s="49"/>
      <c r="CV363" s="49"/>
      <c r="CW363" s="49"/>
      <c r="CX363" s="49"/>
      <c r="CY363" s="57"/>
      <c r="CZ363" s="49"/>
      <c r="DA363" s="49"/>
      <c r="DB363" s="49"/>
      <c r="DC363" s="49"/>
      <c r="DD363" s="49"/>
      <c r="DE363" s="49"/>
      <c r="DF363" s="57"/>
      <c r="DG363" s="49"/>
      <c r="DH363" s="49"/>
      <c r="DI363" s="49"/>
      <c r="DJ363" s="49"/>
      <c r="DK363" s="27"/>
      <c r="DL363" s="49"/>
      <c r="DM363" s="27"/>
      <c r="DN363" s="27"/>
      <c r="DO363" s="27"/>
      <c r="DP363" s="27"/>
      <c r="DQ363" s="27"/>
      <c r="DR363" s="27"/>
      <c r="DS363" s="27"/>
      <c r="DT363" s="27"/>
      <c r="DU363" s="27"/>
      <c r="DV363" s="27"/>
      <c r="DW363" s="27"/>
      <c r="DX363" s="27"/>
      <c r="DY363" s="27"/>
      <c r="DZ363" s="27"/>
      <c r="EA363" s="27"/>
      <c r="EB363" s="59"/>
      <c r="EC363" s="59"/>
      <c r="ED363" s="59"/>
      <c r="EE363" s="14"/>
      <c r="EF363" s="14"/>
      <c r="GN363" s="48"/>
    </row>
    <row r="364" spans="2:196" x14ac:dyDescent="0.25">
      <c r="B364" s="50"/>
      <c r="C364" s="50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9"/>
      <c r="BI364" s="49"/>
      <c r="BJ364" s="57"/>
      <c r="BK364" s="59"/>
      <c r="BL364" s="59"/>
      <c r="BM364" s="57"/>
      <c r="BN364" s="49"/>
      <c r="BO364" s="49"/>
      <c r="BP364" s="57"/>
      <c r="BQ364" s="49"/>
      <c r="BR364" s="49"/>
      <c r="BS364" s="57"/>
      <c r="BT364" s="49"/>
      <c r="BU364" s="49"/>
      <c r="BV364" s="57"/>
      <c r="BW364" s="19"/>
      <c r="BX364" s="59"/>
      <c r="BY364" s="27"/>
      <c r="BZ364" s="59"/>
      <c r="CA364" s="57"/>
      <c r="CB364" s="49"/>
      <c r="CC364" s="49"/>
      <c r="CD364" s="49"/>
      <c r="CE364" s="49"/>
      <c r="CF364" s="49"/>
      <c r="CG364" s="49"/>
      <c r="CH364" s="57"/>
      <c r="CI364" s="49"/>
      <c r="CJ364" s="49"/>
      <c r="CK364" s="57"/>
      <c r="CL364" s="49"/>
      <c r="CM364" s="49"/>
      <c r="CN364" s="49"/>
      <c r="CO364" s="49"/>
      <c r="CP364" s="49"/>
      <c r="CQ364" s="49"/>
      <c r="CR364" s="57"/>
      <c r="CS364" s="49"/>
      <c r="CT364" s="49"/>
      <c r="CU364" s="49"/>
      <c r="CV364" s="49"/>
      <c r="CW364" s="49"/>
      <c r="CX364" s="49"/>
      <c r="CY364" s="57"/>
      <c r="CZ364" s="49"/>
      <c r="DA364" s="49"/>
      <c r="DB364" s="49"/>
      <c r="DC364" s="49"/>
      <c r="DD364" s="49"/>
      <c r="DE364" s="49"/>
      <c r="DF364" s="57"/>
      <c r="DG364" s="49"/>
      <c r="DH364" s="49"/>
      <c r="DI364" s="49"/>
      <c r="DJ364" s="49"/>
      <c r="DK364" s="27"/>
      <c r="DL364" s="49"/>
      <c r="DM364" s="27"/>
      <c r="DN364" s="27"/>
      <c r="DO364" s="27"/>
      <c r="DP364" s="27"/>
      <c r="DQ364" s="27"/>
      <c r="DR364" s="27"/>
      <c r="DS364" s="27"/>
      <c r="DT364" s="27"/>
      <c r="DU364" s="27"/>
      <c r="DV364" s="27"/>
      <c r="DW364" s="27"/>
      <c r="DX364" s="27"/>
      <c r="DY364" s="27"/>
      <c r="DZ364" s="27"/>
      <c r="EA364" s="27"/>
      <c r="EB364" s="59"/>
      <c r="EC364" s="59"/>
      <c r="ED364" s="59"/>
      <c r="EE364" s="14"/>
      <c r="EF364" s="14"/>
      <c r="GN364" s="48"/>
    </row>
    <row r="365" spans="2:196" x14ac:dyDescent="0.25">
      <c r="B365" s="50"/>
      <c r="C365" s="50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9"/>
      <c r="BI365" s="49"/>
      <c r="BJ365" s="57"/>
      <c r="BK365" s="59"/>
      <c r="BL365" s="59"/>
      <c r="BM365" s="57"/>
      <c r="BN365" s="49"/>
      <c r="BO365" s="49"/>
      <c r="BP365" s="57"/>
      <c r="BQ365" s="49"/>
      <c r="BR365" s="49"/>
      <c r="BS365" s="57"/>
      <c r="BT365" s="49"/>
      <c r="BU365" s="49"/>
      <c r="BV365" s="57"/>
      <c r="BW365" s="19"/>
      <c r="BX365" s="59"/>
      <c r="BY365" s="27"/>
      <c r="BZ365" s="59"/>
      <c r="CA365" s="57"/>
      <c r="CB365" s="49"/>
      <c r="CC365" s="49"/>
      <c r="CD365" s="49"/>
      <c r="CE365" s="49"/>
      <c r="CF365" s="49"/>
      <c r="CG365" s="49"/>
      <c r="CH365" s="57"/>
      <c r="CI365" s="49"/>
      <c r="CJ365" s="49"/>
      <c r="CK365" s="57"/>
      <c r="CL365" s="49"/>
      <c r="CM365" s="49"/>
      <c r="CN365" s="49"/>
      <c r="CO365" s="49"/>
      <c r="CP365" s="49"/>
      <c r="CQ365" s="49"/>
      <c r="CR365" s="57"/>
      <c r="CS365" s="49"/>
      <c r="CT365" s="49"/>
      <c r="CU365" s="49"/>
      <c r="CV365" s="49"/>
      <c r="CW365" s="49"/>
      <c r="CX365" s="49"/>
      <c r="CY365" s="57"/>
      <c r="CZ365" s="49"/>
      <c r="DA365" s="49"/>
      <c r="DB365" s="49"/>
      <c r="DC365" s="49"/>
      <c r="DD365" s="49"/>
      <c r="DE365" s="49"/>
      <c r="DF365" s="57"/>
      <c r="DG365" s="49"/>
      <c r="DH365" s="49"/>
      <c r="DI365" s="49"/>
      <c r="DJ365" s="49"/>
      <c r="DK365" s="27"/>
      <c r="DL365" s="49"/>
      <c r="DM365" s="27"/>
      <c r="DN365" s="27"/>
      <c r="DO365" s="27"/>
      <c r="DP365" s="27"/>
      <c r="DQ365" s="27"/>
      <c r="DR365" s="27"/>
      <c r="DS365" s="27"/>
      <c r="DT365" s="27"/>
      <c r="DU365" s="27"/>
      <c r="DV365" s="27"/>
      <c r="DW365" s="27"/>
      <c r="DX365" s="27"/>
      <c r="DY365" s="27"/>
      <c r="DZ365" s="27"/>
      <c r="EA365" s="27"/>
      <c r="EB365" s="59"/>
      <c r="EC365" s="59"/>
      <c r="ED365" s="59"/>
      <c r="EE365" s="14"/>
      <c r="EF365" s="14"/>
      <c r="GN365" s="48"/>
    </row>
    <row r="366" spans="2:196" x14ac:dyDescent="0.25">
      <c r="B366" s="50"/>
      <c r="C366" s="50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9"/>
      <c r="BI366" s="49"/>
      <c r="BJ366" s="57"/>
      <c r="BK366" s="59"/>
      <c r="BL366" s="59"/>
      <c r="BM366" s="57"/>
      <c r="BN366" s="49"/>
      <c r="BO366" s="49"/>
      <c r="BP366" s="57"/>
      <c r="BQ366" s="49"/>
      <c r="BR366" s="49"/>
      <c r="BS366" s="57"/>
      <c r="BT366" s="49"/>
      <c r="BU366" s="49"/>
      <c r="BV366" s="57"/>
      <c r="BW366" s="19"/>
      <c r="BX366" s="59"/>
      <c r="BY366" s="27"/>
      <c r="BZ366" s="59"/>
      <c r="CA366" s="57"/>
      <c r="CB366" s="49"/>
      <c r="CC366" s="49"/>
      <c r="CD366" s="49"/>
      <c r="CE366" s="49"/>
      <c r="CF366" s="49"/>
      <c r="CG366" s="49"/>
      <c r="CH366" s="57"/>
      <c r="CI366" s="49"/>
      <c r="CJ366" s="49"/>
      <c r="CK366" s="57"/>
      <c r="CL366" s="49"/>
      <c r="CM366" s="49"/>
      <c r="CN366" s="49"/>
      <c r="CO366" s="49"/>
      <c r="CP366" s="49"/>
      <c r="CQ366" s="49"/>
      <c r="CR366" s="57"/>
      <c r="CS366" s="49"/>
      <c r="CT366" s="49"/>
      <c r="CU366" s="49"/>
      <c r="CV366" s="49"/>
      <c r="CW366" s="49"/>
      <c r="CX366" s="49"/>
      <c r="CY366" s="57"/>
      <c r="CZ366" s="49"/>
      <c r="DA366" s="49"/>
      <c r="DB366" s="49"/>
      <c r="DC366" s="49"/>
      <c r="DD366" s="49"/>
      <c r="DE366" s="49"/>
      <c r="DF366" s="57"/>
      <c r="DG366" s="49"/>
      <c r="DH366" s="49"/>
      <c r="DI366" s="49"/>
      <c r="DJ366" s="49"/>
      <c r="DK366" s="27"/>
      <c r="DL366" s="49"/>
      <c r="DM366" s="27"/>
      <c r="DN366" s="27"/>
      <c r="DO366" s="27"/>
      <c r="DP366" s="27"/>
      <c r="DQ366" s="27"/>
      <c r="DR366" s="27"/>
      <c r="DS366" s="27"/>
      <c r="DT366" s="27"/>
      <c r="DU366" s="27"/>
      <c r="DV366" s="27"/>
      <c r="DW366" s="27"/>
      <c r="DX366" s="27"/>
      <c r="DY366" s="27"/>
      <c r="DZ366" s="27"/>
      <c r="EA366" s="27"/>
      <c r="EB366" s="59"/>
      <c r="EC366" s="59"/>
      <c r="ED366" s="59"/>
      <c r="EE366" s="14"/>
      <c r="EF366" s="14"/>
      <c r="GN366" s="48"/>
    </row>
    <row r="367" spans="2:196" x14ac:dyDescent="0.25">
      <c r="B367" s="50"/>
      <c r="C367" s="50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9"/>
      <c r="BI367" s="49"/>
      <c r="BJ367" s="57"/>
      <c r="BK367" s="59"/>
      <c r="BL367" s="59"/>
      <c r="BM367" s="57"/>
      <c r="BN367" s="49"/>
      <c r="BO367" s="49"/>
      <c r="BP367" s="57"/>
      <c r="BQ367" s="49"/>
      <c r="BR367" s="49"/>
      <c r="BS367" s="57"/>
      <c r="BT367" s="49"/>
      <c r="BU367" s="49"/>
      <c r="BV367" s="57"/>
      <c r="BW367" s="19"/>
      <c r="BX367" s="59"/>
      <c r="BY367" s="27"/>
      <c r="BZ367" s="59"/>
      <c r="CA367" s="57"/>
      <c r="CB367" s="49"/>
      <c r="CC367" s="49"/>
      <c r="CD367" s="49"/>
      <c r="CE367" s="49"/>
      <c r="CF367" s="49"/>
      <c r="CG367" s="49"/>
      <c r="CH367" s="57"/>
      <c r="CI367" s="49"/>
      <c r="CJ367" s="49"/>
      <c r="CK367" s="57"/>
      <c r="CL367" s="49"/>
      <c r="CM367" s="49"/>
      <c r="CN367" s="49"/>
      <c r="CO367" s="49"/>
      <c r="CP367" s="49"/>
      <c r="CQ367" s="49"/>
      <c r="CR367" s="57"/>
      <c r="CS367" s="49"/>
      <c r="CT367" s="49"/>
      <c r="CU367" s="49"/>
      <c r="CV367" s="49"/>
      <c r="CW367" s="49"/>
      <c r="CX367" s="49"/>
      <c r="CY367" s="57"/>
      <c r="CZ367" s="49"/>
      <c r="DA367" s="49"/>
      <c r="DB367" s="49"/>
      <c r="DC367" s="49"/>
      <c r="DD367" s="49"/>
      <c r="DE367" s="49"/>
      <c r="DF367" s="57"/>
      <c r="DG367" s="49"/>
      <c r="DH367" s="49"/>
      <c r="DI367" s="49"/>
      <c r="DJ367" s="49"/>
      <c r="DK367" s="27"/>
      <c r="DL367" s="49"/>
      <c r="DM367" s="27"/>
      <c r="DN367" s="27"/>
      <c r="DO367" s="27"/>
      <c r="DP367" s="27"/>
      <c r="DQ367" s="27"/>
      <c r="DR367" s="27"/>
      <c r="DS367" s="27"/>
      <c r="DT367" s="27"/>
      <c r="DU367" s="27"/>
      <c r="DV367" s="27"/>
      <c r="DW367" s="27"/>
      <c r="DX367" s="27"/>
      <c r="DY367" s="27"/>
      <c r="DZ367" s="27"/>
      <c r="EA367" s="27"/>
      <c r="EB367" s="59"/>
      <c r="EC367" s="59"/>
      <c r="ED367" s="59"/>
      <c r="EE367" s="14"/>
      <c r="EF367" s="14"/>
      <c r="GN367" s="48"/>
    </row>
    <row r="368" spans="2:196" x14ac:dyDescent="0.25">
      <c r="B368" s="50"/>
      <c r="C368" s="50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9"/>
      <c r="BI368" s="49"/>
      <c r="BJ368" s="57"/>
      <c r="BK368" s="59"/>
      <c r="BL368" s="59"/>
      <c r="BM368" s="57"/>
      <c r="BN368" s="49"/>
      <c r="BO368" s="49"/>
      <c r="BP368" s="57"/>
      <c r="BQ368" s="49"/>
      <c r="BR368" s="49"/>
      <c r="BS368" s="57"/>
      <c r="BT368" s="49"/>
      <c r="BU368" s="49"/>
      <c r="BV368" s="57"/>
      <c r="BW368" s="19"/>
      <c r="BX368" s="59"/>
      <c r="BY368" s="27"/>
      <c r="BZ368" s="59"/>
      <c r="CA368" s="57"/>
      <c r="CB368" s="49"/>
      <c r="CC368" s="49"/>
      <c r="CD368" s="49"/>
      <c r="CE368" s="49"/>
      <c r="CF368" s="49"/>
      <c r="CG368" s="49"/>
      <c r="CH368" s="57"/>
      <c r="CI368" s="49"/>
      <c r="CJ368" s="49"/>
      <c r="CK368" s="57"/>
      <c r="CL368" s="49"/>
      <c r="CM368" s="49"/>
      <c r="CN368" s="49"/>
      <c r="CO368" s="49"/>
      <c r="CP368" s="49"/>
      <c r="CQ368" s="49"/>
      <c r="CR368" s="57"/>
      <c r="CS368" s="49"/>
      <c r="CT368" s="49"/>
      <c r="CU368" s="49"/>
      <c r="CV368" s="49"/>
      <c r="CW368" s="49"/>
      <c r="CX368" s="49"/>
      <c r="CY368" s="57"/>
      <c r="CZ368" s="49"/>
      <c r="DA368" s="49"/>
      <c r="DB368" s="49"/>
      <c r="DC368" s="49"/>
      <c r="DD368" s="49"/>
      <c r="DE368" s="49"/>
      <c r="DF368" s="57"/>
      <c r="DG368" s="49"/>
      <c r="DH368" s="49"/>
      <c r="DI368" s="49"/>
      <c r="DJ368" s="49"/>
      <c r="DK368" s="27"/>
      <c r="DL368" s="49"/>
      <c r="DM368" s="27"/>
      <c r="DN368" s="27"/>
      <c r="DO368" s="27"/>
      <c r="DP368" s="27"/>
      <c r="DQ368" s="27"/>
      <c r="DR368" s="27"/>
      <c r="DS368" s="27"/>
      <c r="DT368" s="27"/>
      <c r="DU368" s="27"/>
      <c r="DV368" s="27"/>
      <c r="DW368" s="27"/>
      <c r="DX368" s="27"/>
      <c r="DY368" s="27"/>
      <c r="DZ368" s="27"/>
      <c r="EA368" s="27"/>
      <c r="EB368" s="59"/>
      <c r="EC368" s="59"/>
      <c r="ED368" s="59"/>
      <c r="EE368" s="14"/>
      <c r="EF368" s="14"/>
      <c r="GN368" s="48"/>
    </row>
    <row r="369" spans="2:196" x14ac:dyDescent="0.25">
      <c r="B369" s="50"/>
      <c r="C369" s="50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9"/>
      <c r="BI369" s="49"/>
      <c r="BJ369" s="57"/>
      <c r="BK369" s="59"/>
      <c r="BL369" s="59"/>
      <c r="BM369" s="57"/>
      <c r="BN369" s="49"/>
      <c r="BO369" s="49"/>
      <c r="BP369" s="57"/>
      <c r="BQ369" s="49"/>
      <c r="BR369" s="49"/>
      <c r="BS369" s="57"/>
      <c r="BT369" s="49"/>
      <c r="BU369" s="49"/>
      <c r="BV369" s="57"/>
      <c r="BW369" s="19"/>
      <c r="BX369" s="59"/>
      <c r="BY369" s="27"/>
      <c r="BZ369" s="59"/>
      <c r="CA369" s="57"/>
      <c r="CB369" s="49"/>
      <c r="CC369" s="49"/>
      <c r="CD369" s="49"/>
      <c r="CE369" s="49"/>
      <c r="CF369" s="49"/>
      <c r="CG369" s="49"/>
      <c r="CH369" s="57"/>
      <c r="CI369" s="49"/>
      <c r="CJ369" s="49"/>
      <c r="CK369" s="57"/>
      <c r="CL369" s="49"/>
      <c r="CM369" s="49"/>
      <c r="CN369" s="49"/>
      <c r="CO369" s="49"/>
      <c r="CP369" s="49"/>
      <c r="CQ369" s="49"/>
      <c r="CR369" s="57"/>
      <c r="CS369" s="49"/>
      <c r="CT369" s="49"/>
      <c r="CU369" s="49"/>
      <c r="CV369" s="49"/>
      <c r="CW369" s="49"/>
      <c r="CX369" s="49"/>
      <c r="CY369" s="57"/>
      <c r="CZ369" s="49"/>
      <c r="DA369" s="49"/>
      <c r="DB369" s="49"/>
      <c r="DC369" s="49"/>
      <c r="DD369" s="49"/>
      <c r="DE369" s="49"/>
      <c r="DF369" s="57"/>
      <c r="DG369" s="49"/>
      <c r="DH369" s="49"/>
      <c r="DI369" s="49"/>
      <c r="DJ369" s="49"/>
      <c r="DK369" s="27"/>
      <c r="DL369" s="49"/>
      <c r="DM369" s="27"/>
      <c r="DN369" s="27"/>
      <c r="DO369" s="27"/>
      <c r="DP369" s="27"/>
      <c r="DQ369" s="27"/>
      <c r="DR369" s="27"/>
      <c r="DS369" s="27"/>
      <c r="DT369" s="27"/>
      <c r="DU369" s="27"/>
      <c r="DV369" s="27"/>
      <c r="DW369" s="27"/>
      <c r="DX369" s="27"/>
      <c r="DY369" s="27"/>
      <c r="DZ369" s="27"/>
      <c r="EA369" s="27"/>
      <c r="EB369" s="59"/>
      <c r="EC369" s="59"/>
      <c r="ED369" s="59"/>
      <c r="EE369" s="14"/>
      <c r="EF369" s="14"/>
      <c r="GN369" s="48"/>
    </row>
    <row r="370" spans="2:196" x14ac:dyDescent="0.25">
      <c r="B370" s="50"/>
      <c r="C370" s="50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9"/>
      <c r="BI370" s="49"/>
      <c r="BJ370" s="57"/>
      <c r="BK370" s="59"/>
      <c r="BL370" s="59"/>
      <c r="BM370" s="57"/>
      <c r="BN370" s="49"/>
      <c r="BO370" s="49"/>
      <c r="BP370" s="57"/>
      <c r="BQ370" s="49"/>
      <c r="BR370" s="49"/>
      <c r="BS370" s="57"/>
      <c r="BT370" s="49"/>
      <c r="BU370" s="49"/>
      <c r="BV370" s="57"/>
      <c r="BW370" s="19"/>
      <c r="BX370" s="59"/>
      <c r="BY370" s="27"/>
      <c r="BZ370" s="59"/>
      <c r="CA370" s="57"/>
      <c r="CB370" s="49"/>
      <c r="CC370" s="49"/>
      <c r="CD370" s="49"/>
      <c r="CE370" s="49"/>
      <c r="CF370" s="49"/>
      <c r="CG370" s="49"/>
      <c r="CH370" s="57"/>
      <c r="CI370" s="49"/>
      <c r="CJ370" s="49"/>
      <c r="CK370" s="57"/>
      <c r="CL370" s="49"/>
      <c r="CM370" s="49"/>
      <c r="CN370" s="49"/>
      <c r="CO370" s="49"/>
      <c r="CP370" s="49"/>
      <c r="CQ370" s="49"/>
      <c r="CR370" s="57"/>
      <c r="CS370" s="49"/>
      <c r="CT370" s="49"/>
      <c r="CU370" s="49"/>
      <c r="CV370" s="49"/>
      <c r="CW370" s="49"/>
      <c r="CX370" s="49"/>
      <c r="CY370" s="57"/>
      <c r="CZ370" s="49"/>
      <c r="DA370" s="49"/>
      <c r="DB370" s="49"/>
      <c r="DC370" s="49"/>
      <c r="DD370" s="49"/>
      <c r="DE370" s="49"/>
      <c r="DF370" s="57"/>
      <c r="DG370" s="49"/>
      <c r="DH370" s="49"/>
      <c r="DI370" s="49"/>
      <c r="DJ370" s="49"/>
      <c r="DK370" s="27"/>
      <c r="DL370" s="49"/>
      <c r="DM370" s="27"/>
      <c r="DN370" s="27"/>
      <c r="DO370" s="27"/>
      <c r="DP370" s="27"/>
      <c r="DQ370" s="27"/>
      <c r="DR370" s="27"/>
      <c r="DS370" s="27"/>
      <c r="DT370" s="27"/>
      <c r="DU370" s="27"/>
      <c r="DV370" s="27"/>
      <c r="DW370" s="27"/>
      <c r="DX370" s="27"/>
      <c r="DY370" s="27"/>
      <c r="DZ370" s="27"/>
      <c r="EA370" s="27"/>
      <c r="EB370" s="59"/>
      <c r="EC370" s="59"/>
      <c r="ED370" s="59"/>
      <c r="EE370" s="14"/>
      <c r="EF370" s="14"/>
      <c r="GN370" s="48"/>
    </row>
    <row r="371" spans="2:196" x14ac:dyDescent="0.25">
      <c r="B371" s="50"/>
      <c r="C371" s="50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9"/>
      <c r="BI371" s="49"/>
      <c r="BJ371" s="57"/>
      <c r="BK371" s="59"/>
      <c r="BL371" s="59"/>
      <c r="BM371" s="57"/>
      <c r="BN371" s="49"/>
      <c r="BO371" s="49"/>
      <c r="BP371" s="57"/>
      <c r="BQ371" s="49"/>
      <c r="BR371" s="49"/>
      <c r="BS371" s="57"/>
      <c r="BT371" s="49"/>
      <c r="BU371" s="49"/>
      <c r="BV371" s="57"/>
      <c r="BW371" s="19"/>
      <c r="BX371" s="59"/>
      <c r="BY371" s="27"/>
      <c r="BZ371" s="59"/>
      <c r="CA371" s="57"/>
      <c r="CB371" s="49"/>
      <c r="CC371" s="49"/>
      <c r="CD371" s="49"/>
      <c r="CE371" s="49"/>
      <c r="CF371" s="49"/>
      <c r="CG371" s="49"/>
      <c r="CH371" s="57"/>
      <c r="CI371" s="49"/>
      <c r="CJ371" s="49"/>
      <c r="CK371" s="57"/>
      <c r="CL371" s="49"/>
      <c r="CM371" s="49"/>
      <c r="CN371" s="49"/>
      <c r="CO371" s="49"/>
      <c r="CP371" s="49"/>
      <c r="CQ371" s="49"/>
      <c r="CR371" s="57"/>
      <c r="CS371" s="49"/>
      <c r="CT371" s="49"/>
      <c r="CU371" s="49"/>
      <c r="CV371" s="49"/>
      <c r="CW371" s="49"/>
      <c r="CX371" s="49"/>
      <c r="CY371" s="57"/>
      <c r="CZ371" s="49"/>
      <c r="DA371" s="49"/>
      <c r="DB371" s="49"/>
      <c r="DC371" s="49"/>
      <c r="DD371" s="49"/>
      <c r="DE371" s="49"/>
      <c r="DF371" s="57"/>
      <c r="DG371" s="49"/>
      <c r="DH371" s="49"/>
      <c r="DI371" s="49"/>
      <c r="DJ371" s="49"/>
      <c r="DK371" s="27"/>
      <c r="DL371" s="49"/>
      <c r="DM371" s="27"/>
      <c r="DN371" s="27"/>
      <c r="DO371" s="27"/>
      <c r="DP371" s="27"/>
      <c r="DQ371" s="27"/>
      <c r="DR371" s="27"/>
      <c r="DS371" s="27"/>
      <c r="DT371" s="27"/>
      <c r="DU371" s="27"/>
      <c r="DV371" s="27"/>
      <c r="DW371" s="27"/>
      <c r="DX371" s="27"/>
      <c r="DY371" s="27"/>
      <c r="DZ371" s="27"/>
      <c r="EA371" s="27"/>
      <c r="EB371" s="59"/>
      <c r="EC371" s="59"/>
      <c r="ED371" s="59"/>
      <c r="EE371" s="14"/>
      <c r="EF371" s="14"/>
      <c r="GN371" s="48"/>
    </row>
    <row r="372" spans="2:196" x14ac:dyDescent="0.25">
      <c r="BP372" s="19"/>
      <c r="CA372" s="18"/>
      <c r="CK372" s="16"/>
      <c r="CR372" s="56">
        <f t="shared" ref="CR372" si="92">CQ372+273</f>
        <v>273</v>
      </c>
      <c r="CS372" s="16"/>
      <c r="CT372" s="16"/>
      <c r="CU372" s="16"/>
      <c r="CV372" s="16"/>
      <c r="CY372" s="56">
        <f t="shared" ref="CY372" si="93">CX372+273</f>
        <v>273</v>
      </c>
      <c r="CZ372" s="16"/>
      <c r="DA372" s="16"/>
      <c r="DB372" s="16"/>
      <c r="DC372" s="16"/>
      <c r="DF372" s="56">
        <f t="shared" ref="DF372" si="94">DE372+273</f>
        <v>273</v>
      </c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EA372" s="14"/>
      <c r="EB372" s="14"/>
      <c r="EC372" s="14"/>
      <c r="ED372" s="14"/>
      <c r="EE372" s="14"/>
      <c r="EF372" s="14"/>
    </row>
    <row r="373" spans="2:196" x14ac:dyDescent="0.25">
      <c r="CS373" s="16"/>
      <c r="CT373" s="16"/>
      <c r="CU373" s="16"/>
      <c r="CV373" s="16"/>
    </row>
  </sheetData>
  <mergeCells count="6">
    <mergeCell ref="V2:V3"/>
    <mergeCell ref="W2:W3"/>
    <mergeCell ref="B1:U1"/>
    <mergeCell ref="V1:AN1"/>
    <mergeCell ref="FL1:FO1"/>
    <mergeCell ref="FG1:FK1"/>
  </mergeCells>
  <pageMargins left="0.7" right="0.7" top="0.75" bottom="0.75" header="0.3" footer="0.3"/>
  <pageSetup paperSize="9" orientation="portrait" r:id="rId1"/>
  <ignoredErrors>
    <ignoredError sqref="AZ4:AZ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F21" sqref="F21"/>
    </sheetView>
  </sheetViews>
  <sheetFormatPr defaultRowHeight="12.75" x14ac:dyDescent="0.2"/>
  <cols>
    <col min="1" max="1" width="2.375" style="30" customWidth="1"/>
    <col min="2" max="2" width="8.25" style="30" customWidth="1"/>
    <col min="3" max="3" width="10.625" style="30" customWidth="1"/>
    <col min="4" max="4" width="9" style="30"/>
    <col min="5" max="5" width="6.75" style="30" customWidth="1"/>
    <col min="6" max="6" width="12.625" style="30" customWidth="1"/>
    <col min="7" max="8" width="1.625" style="30" customWidth="1"/>
    <col min="9" max="256" width="9" style="30"/>
    <col min="257" max="257" width="2.375" style="30" customWidth="1"/>
    <col min="258" max="258" width="8.25" style="30" customWidth="1"/>
    <col min="259" max="259" width="10.625" style="30" customWidth="1"/>
    <col min="260" max="260" width="9" style="30"/>
    <col min="261" max="261" width="6.75" style="30" customWidth="1"/>
    <col min="262" max="262" width="12.625" style="30" customWidth="1"/>
    <col min="263" max="264" width="1.625" style="30" customWidth="1"/>
    <col min="265" max="512" width="9" style="30"/>
    <col min="513" max="513" width="2.375" style="30" customWidth="1"/>
    <col min="514" max="514" width="8.25" style="30" customWidth="1"/>
    <col min="515" max="515" width="10.625" style="30" customWidth="1"/>
    <col min="516" max="516" width="9" style="30"/>
    <col min="517" max="517" width="6.75" style="30" customWidth="1"/>
    <col min="518" max="518" width="12.625" style="30" customWidth="1"/>
    <col min="519" max="520" width="1.625" style="30" customWidth="1"/>
    <col min="521" max="768" width="9" style="30"/>
    <col min="769" max="769" width="2.375" style="30" customWidth="1"/>
    <col min="770" max="770" width="8.25" style="30" customWidth="1"/>
    <col min="771" max="771" width="10.625" style="30" customWidth="1"/>
    <col min="772" max="772" width="9" style="30"/>
    <col min="773" max="773" width="6.75" style="30" customWidth="1"/>
    <col min="774" max="774" width="12.625" style="30" customWidth="1"/>
    <col min="775" max="776" width="1.625" style="30" customWidth="1"/>
    <col min="777" max="1024" width="9" style="30"/>
    <col min="1025" max="1025" width="2.375" style="30" customWidth="1"/>
    <col min="1026" max="1026" width="8.25" style="30" customWidth="1"/>
    <col min="1027" max="1027" width="10.625" style="30" customWidth="1"/>
    <col min="1028" max="1028" width="9" style="30"/>
    <col min="1029" max="1029" width="6.75" style="30" customWidth="1"/>
    <col min="1030" max="1030" width="12.625" style="30" customWidth="1"/>
    <col min="1031" max="1032" width="1.625" style="30" customWidth="1"/>
    <col min="1033" max="1280" width="9" style="30"/>
    <col min="1281" max="1281" width="2.375" style="30" customWidth="1"/>
    <col min="1282" max="1282" width="8.25" style="30" customWidth="1"/>
    <col min="1283" max="1283" width="10.625" style="30" customWidth="1"/>
    <col min="1284" max="1284" width="9" style="30"/>
    <col min="1285" max="1285" width="6.75" style="30" customWidth="1"/>
    <col min="1286" max="1286" width="12.625" style="30" customWidth="1"/>
    <col min="1287" max="1288" width="1.625" style="30" customWidth="1"/>
    <col min="1289" max="1536" width="9" style="30"/>
    <col min="1537" max="1537" width="2.375" style="30" customWidth="1"/>
    <col min="1538" max="1538" width="8.25" style="30" customWidth="1"/>
    <col min="1539" max="1539" width="10.625" style="30" customWidth="1"/>
    <col min="1540" max="1540" width="9" style="30"/>
    <col min="1541" max="1541" width="6.75" style="30" customWidth="1"/>
    <col min="1542" max="1542" width="12.625" style="30" customWidth="1"/>
    <col min="1543" max="1544" width="1.625" style="30" customWidth="1"/>
    <col min="1545" max="1792" width="9" style="30"/>
    <col min="1793" max="1793" width="2.375" style="30" customWidth="1"/>
    <col min="1794" max="1794" width="8.25" style="30" customWidth="1"/>
    <col min="1795" max="1795" width="10.625" style="30" customWidth="1"/>
    <col min="1796" max="1796" width="9" style="30"/>
    <col min="1797" max="1797" width="6.75" style="30" customWidth="1"/>
    <col min="1798" max="1798" width="12.625" style="30" customWidth="1"/>
    <col min="1799" max="1800" width="1.625" style="30" customWidth="1"/>
    <col min="1801" max="2048" width="9" style="30"/>
    <col min="2049" max="2049" width="2.375" style="30" customWidth="1"/>
    <col min="2050" max="2050" width="8.25" style="30" customWidth="1"/>
    <col min="2051" max="2051" width="10.625" style="30" customWidth="1"/>
    <col min="2052" max="2052" width="9" style="30"/>
    <col min="2053" max="2053" width="6.75" style="30" customWidth="1"/>
    <col min="2054" max="2054" width="12.625" style="30" customWidth="1"/>
    <col min="2055" max="2056" width="1.625" style="30" customWidth="1"/>
    <col min="2057" max="2304" width="9" style="30"/>
    <col min="2305" max="2305" width="2.375" style="30" customWidth="1"/>
    <col min="2306" max="2306" width="8.25" style="30" customWidth="1"/>
    <col min="2307" max="2307" width="10.625" style="30" customWidth="1"/>
    <col min="2308" max="2308" width="9" style="30"/>
    <col min="2309" max="2309" width="6.75" style="30" customWidth="1"/>
    <col min="2310" max="2310" width="12.625" style="30" customWidth="1"/>
    <col min="2311" max="2312" width="1.625" style="30" customWidth="1"/>
    <col min="2313" max="2560" width="9" style="30"/>
    <col min="2561" max="2561" width="2.375" style="30" customWidth="1"/>
    <col min="2562" max="2562" width="8.25" style="30" customWidth="1"/>
    <col min="2563" max="2563" width="10.625" style="30" customWidth="1"/>
    <col min="2564" max="2564" width="9" style="30"/>
    <col min="2565" max="2565" width="6.75" style="30" customWidth="1"/>
    <col min="2566" max="2566" width="12.625" style="30" customWidth="1"/>
    <col min="2567" max="2568" width="1.625" style="30" customWidth="1"/>
    <col min="2569" max="2816" width="9" style="30"/>
    <col min="2817" max="2817" width="2.375" style="30" customWidth="1"/>
    <col min="2818" max="2818" width="8.25" style="30" customWidth="1"/>
    <col min="2819" max="2819" width="10.625" style="30" customWidth="1"/>
    <col min="2820" max="2820" width="9" style="30"/>
    <col min="2821" max="2821" width="6.75" style="30" customWidth="1"/>
    <col min="2822" max="2822" width="12.625" style="30" customWidth="1"/>
    <col min="2823" max="2824" width="1.625" style="30" customWidth="1"/>
    <col min="2825" max="3072" width="9" style="30"/>
    <col min="3073" max="3073" width="2.375" style="30" customWidth="1"/>
    <col min="3074" max="3074" width="8.25" style="30" customWidth="1"/>
    <col min="3075" max="3075" width="10.625" style="30" customWidth="1"/>
    <col min="3076" max="3076" width="9" style="30"/>
    <col min="3077" max="3077" width="6.75" style="30" customWidth="1"/>
    <col min="3078" max="3078" width="12.625" style="30" customWidth="1"/>
    <col min="3079" max="3080" width="1.625" style="30" customWidth="1"/>
    <col min="3081" max="3328" width="9" style="30"/>
    <col min="3329" max="3329" width="2.375" style="30" customWidth="1"/>
    <col min="3330" max="3330" width="8.25" style="30" customWidth="1"/>
    <col min="3331" max="3331" width="10.625" style="30" customWidth="1"/>
    <col min="3332" max="3332" width="9" style="30"/>
    <col min="3333" max="3333" width="6.75" style="30" customWidth="1"/>
    <col min="3334" max="3334" width="12.625" style="30" customWidth="1"/>
    <col min="3335" max="3336" width="1.625" style="30" customWidth="1"/>
    <col min="3337" max="3584" width="9" style="30"/>
    <col min="3585" max="3585" width="2.375" style="30" customWidth="1"/>
    <col min="3586" max="3586" width="8.25" style="30" customWidth="1"/>
    <col min="3587" max="3587" width="10.625" style="30" customWidth="1"/>
    <col min="3588" max="3588" width="9" style="30"/>
    <col min="3589" max="3589" width="6.75" style="30" customWidth="1"/>
    <col min="3590" max="3590" width="12.625" style="30" customWidth="1"/>
    <col min="3591" max="3592" width="1.625" style="30" customWidth="1"/>
    <col min="3593" max="3840" width="9" style="30"/>
    <col min="3841" max="3841" width="2.375" style="30" customWidth="1"/>
    <col min="3842" max="3842" width="8.25" style="30" customWidth="1"/>
    <col min="3843" max="3843" width="10.625" style="30" customWidth="1"/>
    <col min="3844" max="3844" width="9" style="30"/>
    <col min="3845" max="3845" width="6.75" style="30" customWidth="1"/>
    <col min="3846" max="3846" width="12.625" style="30" customWidth="1"/>
    <col min="3847" max="3848" width="1.625" style="30" customWidth="1"/>
    <col min="3849" max="4096" width="9" style="30"/>
    <col min="4097" max="4097" width="2.375" style="30" customWidth="1"/>
    <col min="4098" max="4098" width="8.25" style="30" customWidth="1"/>
    <col min="4099" max="4099" width="10.625" style="30" customWidth="1"/>
    <col min="4100" max="4100" width="9" style="30"/>
    <col min="4101" max="4101" width="6.75" style="30" customWidth="1"/>
    <col min="4102" max="4102" width="12.625" style="30" customWidth="1"/>
    <col min="4103" max="4104" width="1.625" style="30" customWidth="1"/>
    <col min="4105" max="4352" width="9" style="30"/>
    <col min="4353" max="4353" width="2.375" style="30" customWidth="1"/>
    <col min="4354" max="4354" width="8.25" style="30" customWidth="1"/>
    <col min="4355" max="4355" width="10.625" style="30" customWidth="1"/>
    <col min="4356" max="4356" width="9" style="30"/>
    <col min="4357" max="4357" width="6.75" style="30" customWidth="1"/>
    <col min="4358" max="4358" width="12.625" style="30" customWidth="1"/>
    <col min="4359" max="4360" width="1.625" style="30" customWidth="1"/>
    <col min="4361" max="4608" width="9" style="30"/>
    <col min="4609" max="4609" width="2.375" style="30" customWidth="1"/>
    <col min="4610" max="4610" width="8.25" style="30" customWidth="1"/>
    <col min="4611" max="4611" width="10.625" style="30" customWidth="1"/>
    <col min="4612" max="4612" width="9" style="30"/>
    <col min="4613" max="4613" width="6.75" style="30" customWidth="1"/>
    <col min="4614" max="4614" width="12.625" style="30" customWidth="1"/>
    <col min="4615" max="4616" width="1.625" style="30" customWidth="1"/>
    <col min="4617" max="4864" width="9" style="30"/>
    <col min="4865" max="4865" width="2.375" style="30" customWidth="1"/>
    <col min="4866" max="4866" width="8.25" style="30" customWidth="1"/>
    <col min="4867" max="4867" width="10.625" style="30" customWidth="1"/>
    <col min="4868" max="4868" width="9" style="30"/>
    <col min="4869" max="4869" width="6.75" style="30" customWidth="1"/>
    <col min="4870" max="4870" width="12.625" style="30" customWidth="1"/>
    <col min="4871" max="4872" width="1.625" style="30" customWidth="1"/>
    <col min="4873" max="5120" width="9" style="30"/>
    <col min="5121" max="5121" width="2.375" style="30" customWidth="1"/>
    <col min="5122" max="5122" width="8.25" style="30" customWidth="1"/>
    <col min="5123" max="5123" width="10.625" style="30" customWidth="1"/>
    <col min="5124" max="5124" width="9" style="30"/>
    <col min="5125" max="5125" width="6.75" style="30" customWidth="1"/>
    <col min="5126" max="5126" width="12.625" style="30" customWidth="1"/>
    <col min="5127" max="5128" width="1.625" style="30" customWidth="1"/>
    <col min="5129" max="5376" width="9" style="30"/>
    <col min="5377" max="5377" width="2.375" style="30" customWidth="1"/>
    <col min="5378" max="5378" width="8.25" style="30" customWidth="1"/>
    <col min="5379" max="5379" width="10.625" style="30" customWidth="1"/>
    <col min="5380" max="5380" width="9" style="30"/>
    <col min="5381" max="5381" width="6.75" style="30" customWidth="1"/>
    <col min="5382" max="5382" width="12.625" style="30" customWidth="1"/>
    <col min="5383" max="5384" width="1.625" style="30" customWidth="1"/>
    <col min="5385" max="5632" width="9" style="30"/>
    <col min="5633" max="5633" width="2.375" style="30" customWidth="1"/>
    <col min="5634" max="5634" width="8.25" style="30" customWidth="1"/>
    <col min="5635" max="5635" width="10.625" style="30" customWidth="1"/>
    <col min="5636" max="5636" width="9" style="30"/>
    <col min="5637" max="5637" width="6.75" style="30" customWidth="1"/>
    <col min="5638" max="5638" width="12.625" style="30" customWidth="1"/>
    <col min="5639" max="5640" width="1.625" style="30" customWidth="1"/>
    <col min="5641" max="5888" width="9" style="30"/>
    <col min="5889" max="5889" width="2.375" style="30" customWidth="1"/>
    <col min="5890" max="5890" width="8.25" style="30" customWidth="1"/>
    <col min="5891" max="5891" width="10.625" style="30" customWidth="1"/>
    <col min="5892" max="5892" width="9" style="30"/>
    <col min="5893" max="5893" width="6.75" style="30" customWidth="1"/>
    <col min="5894" max="5894" width="12.625" style="30" customWidth="1"/>
    <col min="5895" max="5896" width="1.625" style="30" customWidth="1"/>
    <col min="5897" max="6144" width="9" style="30"/>
    <col min="6145" max="6145" width="2.375" style="30" customWidth="1"/>
    <col min="6146" max="6146" width="8.25" style="30" customWidth="1"/>
    <col min="6147" max="6147" width="10.625" style="30" customWidth="1"/>
    <col min="6148" max="6148" width="9" style="30"/>
    <col min="6149" max="6149" width="6.75" style="30" customWidth="1"/>
    <col min="6150" max="6150" width="12.625" style="30" customWidth="1"/>
    <col min="6151" max="6152" width="1.625" style="30" customWidth="1"/>
    <col min="6153" max="6400" width="9" style="30"/>
    <col min="6401" max="6401" width="2.375" style="30" customWidth="1"/>
    <col min="6402" max="6402" width="8.25" style="30" customWidth="1"/>
    <col min="6403" max="6403" width="10.625" style="30" customWidth="1"/>
    <col min="6404" max="6404" width="9" style="30"/>
    <col min="6405" max="6405" width="6.75" style="30" customWidth="1"/>
    <col min="6406" max="6406" width="12.625" style="30" customWidth="1"/>
    <col min="6407" max="6408" width="1.625" style="30" customWidth="1"/>
    <col min="6409" max="6656" width="9" style="30"/>
    <col min="6657" max="6657" width="2.375" style="30" customWidth="1"/>
    <col min="6658" max="6658" width="8.25" style="30" customWidth="1"/>
    <col min="6659" max="6659" width="10.625" style="30" customWidth="1"/>
    <col min="6660" max="6660" width="9" style="30"/>
    <col min="6661" max="6661" width="6.75" style="30" customWidth="1"/>
    <col min="6662" max="6662" width="12.625" style="30" customWidth="1"/>
    <col min="6663" max="6664" width="1.625" style="30" customWidth="1"/>
    <col min="6665" max="6912" width="9" style="30"/>
    <col min="6913" max="6913" width="2.375" style="30" customWidth="1"/>
    <col min="6914" max="6914" width="8.25" style="30" customWidth="1"/>
    <col min="6915" max="6915" width="10.625" style="30" customWidth="1"/>
    <col min="6916" max="6916" width="9" style="30"/>
    <col min="6917" max="6917" width="6.75" style="30" customWidth="1"/>
    <col min="6918" max="6918" width="12.625" style="30" customWidth="1"/>
    <col min="6919" max="6920" width="1.625" style="30" customWidth="1"/>
    <col min="6921" max="7168" width="9" style="30"/>
    <col min="7169" max="7169" width="2.375" style="30" customWidth="1"/>
    <col min="7170" max="7170" width="8.25" style="30" customWidth="1"/>
    <col min="7171" max="7171" width="10.625" style="30" customWidth="1"/>
    <col min="7172" max="7172" width="9" style="30"/>
    <col min="7173" max="7173" width="6.75" style="30" customWidth="1"/>
    <col min="7174" max="7174" width="12.625" style="30" customWidth="1"/>
    <col min="7175" max="7176" width="1.625" style="30" customWidth="1"/>
    <col min="7177" max="7424" width="9" style="30"/>
    <col min="7425" max="7425" width="2.375" style="30" customWidth="1"/>
    <col min="7426" max="7426" width="8.25" style="30" customWidth="1"/>
    <col min="7427" max="7427" width="10.625" style="30" customWidth="1"/>
    <col min="7428" max="7428" width="9" style="30"/>
    <col min="7429" max="7429" width="6.75" style="30" customWidth="1"/>
    <col min="7430" max="7430" width="12.625" style="30" customWidth="1"/>
    <col min="7431" max="7432" width="1.625" style="30" customWidth="1"/>
    <col min="7433" max="7680" width="9" style="30"/>
    <col min="7681" max="7681" width="2.375" style="30" customWidth="1"/>
    <col min="7682" max="7682" width="8.25" style="30" customWidth="1"/>
    <col min="7683" max="7683" width="10.625" style="30" customWidth="1"/>
    <col min="7684" max="7684" width="9" style="30"/>
    <col min="7685" max="7685" width="6.75" style="30" customWidth="1"/>
    <col min="7686" max="7686" width="12.625" style="30" customWidth="1"/>
    <col min="7687" max="7688" width="1.625" style="30" customWidth="1"/>
    <col min="7689" max="7936" width="9" style="30"/>
    <col min="7937" max="7937" width="2.375" style="30" customWidth="1"/>
    <col min="7938" max="7938" width="8.25" style="30" customWidth="1"/>
    <col min="7939" max="7939" width="10.625" style="30" customWidth="1"/>
    <col min="7940" max="7940" width="9" style="30"/>
    <col min="7941" max="7941" width="6.75" style="30" customWidth="1"/>
    <col min="7942" max="7942" width="12.625" style="30" customWidth="1"/>
    <col min="7943" max="7944" width="1.625" style="30" customWidth="1"/>
    <col min="7945" max="8192" width="9" style="30"/>
    <col min="8193" max="8193" width="2.375" style="30" customWidth="1"/>
    <col min="8194" max="8194" width="8.25" style="30" customWidth="1"/>
    <col min="8195" max="8195" width="10.625" style="30" customWidth="1"/>
    <col min="8196" max="8196" width="9" style="30"/>
    <col min="8197" max="8197" width="6.75" style="30" customWidth="1"/>
    <col min="8198" max="8198" width="12.625" style="30" customWidth="1"/>
    <col min="8199" max="8200" width="1.625" style="30" customWidth="1"/>
    <col min="8201" max="8448" width="9" style="30"/>
    <col min="8449" max="8449" width="2.375" style="30" customWidth="1"/>
    <col min="8450" max="8450" width="8.25" style="30" customWidth="1"/>
    <col min="8451" max="8451" width="10.625" style="30" customWidth="1"/>
    <col min="8452" max="8452" width="9" style="30"/>
    <col min="8453" max="8453" width="6.75" style="30" customWidth="1"/>
    <col min="8454" max="8454" width="12.625" style="30" customWidth="1"/>
    <col min="8455" max="8456" width="1.625" style="30" customWidth="1"/>
    <col min="8457" max="8704" width="9" style="30"/>
    <col min="8705" max="8705" width="2.375" style="30" customWidth="1"/>
    <col min="8706" max="8706" width="8.25" style="30" customWidth="1"/>
    <col min="8707" max="8707" width="10.625" style="30" customWidth="1"/>
    <col min="8708" max="8708" width="9" style="30"/>
    <col min="8709" max="8709" width="6.75" style="30" customWidth="1"/>
    <col min="8710" max="8710" width="12.625" style="30" customWidth="1"/>
    <col min="8711" max="8712" width="1.625" style="30" customWidth="1"/>
    <col min="8713" max="8960" width="9" style="30"/>
    <col min="8961" max="8961" width="2.375" style="30" customWidth="1"/>
    <col min="8962" max="8962" width="8.25" style="30" customWidth="1"/>
    <col min="8963" max="8963" width="10.625" style="30" customWidth="1"/>
    <col min="8964" max="8964" width="9" style="30"/>
    <col min="8965" max="8965" width="6.75" style="30" customWidth="1"/>
    <col min="8966" max="8966" width="12.625" style="30" customWidth="1"/>
    <col min="8967" max="8968" width="1.625" style="30" customWidth="1"/>
    <col min="8969" max="9216" width="9" style="30"/>
    <col min="9217" max="9217" width="2.375" style="30" customWidth="1"/>
    <col min="9218" max="9218" width="8.25" style="30" customWidth="1"/>
    <col min="9219" max="9219" width="10.625" style="30" customWidth="1"/>
    <col min="9220" max="9220" width="9" style="30"/>
    <col min="9221" max="9221" width="6.75" style="30" customWidth="1"/>
    <col min="9222" max="9222" width="12.625" style="30" customWidth="1"/>
    <col min="9223" max="9224" width="1.625" style="30" customWidth="1"/>
    <col min="9225" max="9472" width="9" style="30"/>
    <col min="9473" max="9473" width="2.375" style="30" customWidth="1"/>
    <col min="9474" max="9474" width="8.25" style="30" customWidth="1"/>
    <col min="9475" max="9475" width="10.625" style="30" customWidth="1"/>
    <col min="9476" max="9476" width="9" style="30"/>
    <col min="9477" max="9477" width="6.75" style="30" customWidth="1"/>
    <col min="9478" max="9478" width="12.625" style="30" customWidth="1"/>
    <col min="9479" max="9480" width="1.625" style="30" customWidth="1"/>
    <col min="9481" max="9728" width="9" style="30"/>
    <col min="9729" max="9729" width="2.375" style="30" customWidth="1"/>
    <col min="9730" max="9730" width="8.25" style="30" customWidth="1"/>
    <col min="9731" max="9731" width="10.625" style="30" customWidth="1"/>
    <col min="9732" max="9732" width="9" style="30"/>
    <col min="9733" max="9733" width="6.75" style="30" customWidth="1"/>
    <col min="9734" max="9734" width="12.625" style="30" customWidth="1"/>
    <col min="9735" max="9736" width="1.625" style="30" customWidth="1"/>
    <col min="9737" max="9984" width="9" style="30"/>
    <col min="9985" max="9985" width="2.375" style="30" customWidth="1"/>
    <col min="9986" max="9986" width="8.25" style="30" customWidth="1"/>
    <col min="9987" max="9987" width="10.625" style="30" customWidth="1"/>
    <col min="9988" max="9988" width="9" style="30"/>
    <col min="9989" max="9989" width="6.75" style="30" customWidth="1"/>
    <col min="9990" max="9990" width="12.625" style="30" customWidth="1"/>
    <col min="9991" max="9992" width="1.625" style="30" customWidth="1"/>
    <col min="9993" max="10240" width="9" style="30"/>
    <col min="10241" max="10241" width="2.375" style="30" customWidth="1"/>
    <col min="10242" max="10242" width="8.25" style="30" customWidth="1"/>
    <col min="10243" max="10243" width="10.625" style="30" customWidth="1"/>
    <col min="10244" max="10244" width="9" style="30"/>
    <col min="10245" max="10245" width="6.75" style="30" customWidth="1"/>
    <col min="10246" max="10246" width="12.625" style="30" customWidth="1"/>
    <col min="10247" max="10248" width="1.625" style="30" customWidth="1"/>
    <col min="10249" max="10496" width="9" style="30"/>
    <col min="10497" max="10497" width="2.375" style="30" customWidth="1"/>
    <col min="10498" max="10498" width="8.25" style="30" customWidth="1"/>
    <col min="10499" max="10499" width="10.625" style="30" customWidth="1"/>
    <col min="10500" max="10500" width="9" style="30"/>
    <col min="10501" max="10501" width="6.75" style="30" customWidth="1"/>
    <col min="10502" max="10502" width="12.625" style="30" customWidth="1"/>
    <col min="10503" max="10504" width="1.625" style="30" customWidth="1"/>
    <col min="10505" max="10752" width="9" style="30"/>
    <col min="10753" max="10753" width="2.375" style="30" customWidth="1"/>
    <col min="10754" max="10754" width="8.25" style="30" customWidth="1"/>
    <col min="10755" max="10755" width="10.625" style="30" customWidth="1"/>
    <col min="10756" max="10756" width="9" style="30"/>
    <col min="10757" max="10757" width="6.75" style="30" customWidth="1"/>
    <col min="10758" max="10758" width="12.625" style="30" customWidth="1"/>
    <col min="10759" max="10760" width="1.625" style="30" customWidth="1"/>
    <col min="10761" max="11008" width="9" style="30"/>
    <col min="11009" max="11009" width="2.375" style="30" customWidth="1"/>
    <col min="11010" max="11010" width="8.25" style="30" customWidth="1"/>
    <col min="11011" max="11011" width="10.625" style="30" customWidth="1"/>
    <col min="11012" max="11012" width="9" style="30"/>
    <col min="11013" max="11013" width="6.75" style="30" customWidth="1"/>
    <col min="11014" max="11014" width="12.625" style="30" customWidth="1"/>
    <col min="11015" max="11016" width="1.625" style="30" customWidth="1"/>
    <col min="11017" max="11264" width="9" style="30"/>
    <col min="11265" max="11265" width="2.375" style="30" customWidth="1"/>
    <col min="11266" max="11266" width="8.25" style="30" customWidth="1"/>
    <col min="11267" max="11267" width="10.625" style="30" customWidth="1"/>
    <col min="11268" max="11268" width="9" style="30"/>
    <col min="11269" max="11269" width="6.75" style="30" customWidth="1"/>
    <col min="11270" max="11270" width="12.625" style="30" customWidth="1"/>
    <col min="11271" max="11272" width="1.625" style="30" customWidth="1"/>
    <col min="11273" max="11520" width="9" style="30"/>
    <col min="11521" max="11521" width="2.375" style="30" customWidth="1"/>
    <col min="11522" max="11522" width="8.25" style="30" customWidth="1"/>
    <col min="11523" max="11523" width="10.625" style="30" customWidth="1"/>
    <col min="11524" max="11524" width="9" style="30"/>
    <col min="11525" max="11525" width="6.75" style="30" customWidth="1"/>
    <col min="11526" max="11526" width="12.625" style="30" customWidth="1"/>
    <col min="11527" max="11528" width="1.625" style="30" customWidth="1"/>
    <col min="11529" max="11776" width="9" style="30"/>
    <col min="11777" max="11777" width="2.375" style="30" customWidth="1"/>
    <col min="11778" max="11778" width="8.25" style="30" customWidth="1"/>
    <col min="11779" max="11779" width="10.625" style="30" customWidth="1"/>
    <col min="11780" max="11780" width="9" style="30"/>
    <col min="11781" max="11781" width="6.75" style="30" customWidth="1"/>
    <col min="11782" max="11782" width="12.625" style="30" customWidth="1"/>
    <col min="11783" max="11784" width="1.625" style="30" customWidth="1"/>
    <col min="11785" max="12032" width="9" style="30"/>
    <col min="12033" max="12033" width="2.375" style="30" customWidth="1"/>
    <col min="12034" max="12034" width="8.25" style="30" customWidth="1"/>
    <col min="12035" max="12035" width="10.625" style="30" customWidth="1"/>
    <col min="12036" max="12036" width="9" style="30"/>
    <col min="12037" max="12037" width="6.75" style="30" customWidth="1"/>
    <col min="12038" max="12038" width="12.625" style="30" customWidth="1"/>
    <col min="12039" max="12040" width="1.625" style="30" customWidth="1"/>
    <col min="12041" max="12288" width="9" style="30"/>
    <col min="12289" max="12289" width="2.375" style="30" customWidth="1"/>
    <col min="12290" max="12290" width="8.25" style="30" customWidth="1"/>
    <col min="12291" max="12291" width="10.625" style="30" customWidth="1"/>
    <col min="12292" max="12292" width="9" style="30"/>
    <col min="12293" max="12293" width="6.75" style="30" customWidth="1"/>
    <col min="12294" max="12294" width="12.625" style="30" customWidth="1"/>
    <col min="12295" max="12296" width="1.625" style="30" customWidth="1"/>
    <col min="12297" max="12544" width="9" style="30"/>
    <col min="12545" max="12545" width="2.375" style="30" customWidth="1"/>
    <col min="12546" max="12546" width="8.25" style="30" customWidth="1"/>
    <col min="12547" max="12547" width="10.625" style="30" customWidth="1"/>
    <col min="12548" max="12548" width="9" style="30"/>
    <col min="12549" max="12549" width="6.75" style="30" customWidth="1"/>
    <col min="12550" max="12550" width="12.625" style="30" customWidth="1"/>
    <col min="12551" max="12552" width="1.625" style="30" customWidth="1"/>
    <col min="12553" max="12800" width="9" style="30"/>
    <col min="12801" max="12801" width="2.375" style="30" customWidth="1"/>
    <col min="12802" max="12802" width="8.25" style="30" customWidth="1"/>
    <col min="12803" max="12803" width="10.625" style="30" customWidth="1"/>
    <col min="12804" max="12804" width="9" style="30"/>
    <col min="12805" max="12805" width="6.75" style="30" customWidth="1"/>
    <col min="12806" max="12806" width="12.625" style="30" customWidth="1"/>
    <col min="12807" max="12808" width="1.625" style="30" customWidth="1"/>
    <col min="12809" max="13056" width="9" style="30"/>
    <col min="13057" max="13057" width="2.375" style="30" customWidth="1"/>
    <col min="13058" max="13058" width="8.25" style="30" customWidth="1"/>
    <col min="13059" max="13059" width="10.625" style="30" customWidth="1"/>
    <col min="13060" max="13060" width="9" style="30"/>
    <col min="13061" max="13061" width="6.75" style="30" customWidth="1"/>
    <col min="13062" max="13062" width="12.625" style="30" customWidth="1"/>
    <col min="13063" max="13064" width="1.625" style="30" customWidth="1"/>
    <col min="13065" max="13312" width="9" style="30"/>
    <col min="13313" max="13313" width="2.375" style="30" customWidth="1"/>
    <col min="13314" max="13314" width="8.25" style="30" customWidth="1"/>
    <col min="13315" max="13315" width="10.625" style="30" customWidth="1"/>
    <col min="13316" max="13316" width="9" style="30"/>
    <col min="13317" max="13317" width="6.75" style="30" customWidth="1"/>
    <col min="13318" max="13318" width="12.625" style="30" customWidth="1"/>
    <col min="13319" max="13320" width="1.625" style="30" customWidth="1"/>
    <col min="13321" max="13568" width="9" style="30"/>
    <col min="13569" max="13569" width="2.375" style="30" customWidth="1"/>
    <col min="13570" max="13570" width="8.25" style="30" customWidth="1"/>
    <col min="13571" max="13571" width="10.625" style="30" customWidth="1"/>
    <col min="13572" max="13572" width="9" style="30"/>
    <col min="13573" max="13573" width="6.75" style="30" customWidth="1"/>
    <col min="13574" max="13574" width="12.625" style="30" customWidth="1"/>
    <col min="13575" max="13576" width="1.625" style="30" customWidth="1"/>
    <col min="13577" max="13824" width="9" style="30"/>
    <col min="13825" max="13825" width="2.375" style="30" customWidth="1"/>
    <col min="13826" max="13826" width="8.25" style="30" customWidth="1"/>
    <col min="13827" max="13827" width="10.625" style="30" customWidth="1"/>
    <col min="13828" max="13828" width="9" style="30"/>
    <col min="13829" max="13829" width="6.75" style="30" customWidth="1"/>
    <col min="13830" max="13830" width="12.625" style="30" customWidth="1"/>
    <col min="13831" max="13832" width="1.625" style="30" customWidth="1"/>
    <col min="13833" max="14080" width="9" style="30"/>
    <col min="14081" max="14081" width="2.375" style="30" customWidth="1"/>
    <col min="14082" max="14082" width="8.25" style="30" customWidth="1"/>
    <col min="14083" max="14083" width="10.625" style="30" customWidth="1"/>
    <col min="14084" max="14084" width="9" style="30"/>
    <col min="14085" max="14085" width="6.75" style="30" customWidth="1"/>
    <col min="14086" max="14086" width="12.625" style="30" customWidth="1"/>
    <col min="14087" max="14088" width="1.625" style="30" customWidth="1"/>
    <col min="14089" max="14336" width="9" style="30"/>
    <col min="14337" max="14337" width="2.375" style="30" customWidth="1"/>
    <col min="14338" max="14338" width="8.25" style="30" customWidth="1"/>
    <col min="14339" max="14339" width="10.625" style="30" customWidth="1"/>
    <col min="14340" max="14340" width="9" style="30"/>
    <col min="14341" max="14341" width="6.75" style="30" customWidth="1"/>
    <col min="14342" max="14342" width="12.625" style="30" customWidth="1"/>
    <col min="14343" max="14344" width="1.625" style="30" customWidth="1"/>
    <col min="14345" max="14592" width="9" style="30"/>
    <col min="14593" max="14593" width="2.375" style="30" customWidth="1"/>
    <col min="14594" max="14594" width="8.25" style="30" customWidth="1"/>
    <col min="14595" max="14595" width="10.625" style="30" customWidth="1"/>
    <col min="14596" max="14596" width="9" style="30"/>
    <col min="14597" max="14597" width="6.75" style="30" customWidth="1"/>
    <col min="14598" max="14598" width="12.625" style="30" customWidth="1"/>
    <col min="14599" max="14600" width="1.625" style="30" customWidth="1"/>
    <col min="14601" max="14848" width="9" style="30"/>
    <col min="14849" max="14849" width="2.375" style="30" customWidth="1"/>
    <col min="14850" max="14850" width="8.25" style="30" customWidth="1"/>
    <col min="14851" max="14851" width="10.625" style="30" customWidth="1"/>
    <col min="14852" max="14852" width="9" style="30"/>
    <col min="14853" max="14853" width="6.75" style="30" customWidth="1"/>
    <col min="14854" max="14854" width="12.625" style="30" customWidth="1"/>
    <col min="14855" max="14856" width="1.625" style="30" customWidth="1"/>
    <col min="14857" max="15104" width="9" style="30"/>
    <col min="15105" max="15105" width="2.375" style="30" customWidth="1"/>
    <col min="15106" max="15106" width="8.25" style="30" customWidth="1"/>
    <col min="15107" max="15107" width="10.625" style="30" customWidth="1"/>
    <col min="15108" max="15108" width="9" style="30"/>
    <col min="15109" max="15109" width="6.75" style="30" customWidth="1"/>
    <col min="15110" max="15110" width="12.625" style="30" customWidth="1"/>
    <col min="15111" max="15112" width="1.625" style="30" customWidth="1"/>
    <col min="15113" max="15360" width="9" style="30"/>
    <col min="15361" max="15361" width="2.375" style="30" customWidth="1"/>
    <col min="15362" max="15362" width="8.25" style="30" customWidth="1"/>
    <col min="15363" max="15363" width="10.625" style="30" customWidth="1"/>
    <col min="15364" max="15364" width="9" style="30"/>
    <col min="15365" max="15365" width="6.75" style="30" customWidth="1"/>
    <col min="15366" max="15366" width="12.625" style="30" customWidth="1"/>
    <col min="15367" max="15368" width="1.625" style="30" customWidth="1"/>
    <col min="15369" max="15616" width="9" style="30"/>
    <col min="15617" max="15617" width="2.375" style="30" customWidth="1"/>
    <col min="15618" max="15618" width="8.25" style="30" customWidth="1"/>
    <col min="15619" max="15619" width="10.625" style="30" customWidth="1"/>
    <col min="15620" max="15620" width="9" style="30"/>
    <col min="15621" max="15621" width="6.75" style="30" customWidth="1"/>
    <col min="15622" max="15622" width="12.625" style="30" customWidth="1"/>
    <col min="15623" max="15624" width="1.625" style="30" customWidth="1"/>
    <col min="15625" max="15872" width="9" style="30"/>
    <col min="15873" max="15873" width="2.375" style="30" customWidth="1"/>
    <col min="15874" max="15874" width="8.25" style="30" customWidth="1"/>
    <col min="15875" max="15875" width="10.625" style="30" customWidth="1"/>
    <col min="15876" max="15876" width="9" style="30"/>
    <col min="15877" max="15877" width="6.75" style="30" customWidth="1"/>
    <col min="15878" max="15878" width="12.625" style="30" customWidth="1"/>
    <col min="15879" max="15880" width="1.625" style="30" customWidth="1"/>
    <col min="15881" max="16128" width="9" style="30"/>
    <col min="16129" max="16129" width="2.375" style="30" customWidth="1"/>
    <col min="16130" max="16130" width="8.25" style="30" customWidth="1"/>
    <col min="16131" max="16131" width="10.625" style="30" customWidth="1"/>
    <col min="16132" max="16132" width="9" style="30"/>
    <col min="16133" max="16133" width="6.75" style="30" customWidth="1"/>
    <col min="16134" max="16134" width="12.625" style="30" customWidth="1"/>
    <col min="16135" max="16136" width="1.625" style="30" customWidth="1"/>
    <col min="16137" max="16384" width="9" style="30"/>
  </cols>
  <sheetData>
    <row r="1" spans="2:3" ht="39" customHeight="1" thickBot="1" x14ac:dyDescent="0.25"/>
    <row r="2" spans="2:3" x14ac:dyDescent="0.2">
      <c r="B2" s="31" t="s">
        <v>91</v>
      </c>
      <c r="C2" s="31" t="s">
        <v>92</v>
      </c>
    </row>
    <row r="3" spans="2:3" ht="16.5" x14ac:dyDescent="0.3">
      <c r="B3" s="39">
        <v>28.96</v>
      </c>
      <c r="C3" s="38">
        <v>121.46</v>
      </c>
    </row>
    <row r="4" spans="2:3" ht="16.5" x14ac:dyDescent="0.3">
      <c r="B4" s="39">
        <v>36.159999999999997</v>
      </c>
      <c r="C4" s="38">
        <v>151.53</v>
      </c>
    </row>
    <row r="5" spans="2:3" ht="16.5" x14ac:dyDescent="0.3">
      <c r="B5" s="39">
        <v>41.51</v>
      </c>
      <c r="C5" s="38">
        <v>173.88</v>
      </c>
    </row>
    <row r="6" spans="2:3" ht="16.5" x14ac:dyDescent="0.3">
      <c r="B6" s="39">
        <v>45.81</v>
      </c>
      <c r="C6" s="38">
        <v>191.83</v>
      </c>
    </row>
    <row r="7" spans="2:3" ht="16.5" x14ac:dyDescent="0.3">
      <c r="B7" s="39">
        <v>60.06</v>
      </c>
      <c r="C7" s="38">
        <v>251.4</v>
      </c>
    </row>
    <row r="8" spans="2:3" ht="16.5" x14ac:dyDescent="0.3">
      <c r="B8" s="39">
        <v>69.17</v>
      </c>
      <c r="C8" s="38">
        <v>289.23</v>
      </c>
    </row>
    <row r="9" spans="2:3" ht="16.5" x14ac:dyDescent="0.3">
      <c r="B9" s="39">
        <v>75.87</v>
      </c>
      <c r="C9" s="38">
        <v>317.58</v>
      </c>
    </row>
    <row r="10" spans="2:3" ht="16.5" x14ac:dyDescent="0.3">
      <c r="B10" s="39">
        <v>81.33</v>
      </c>
      <c r="C10" s="38">
        <v>340.49</v>
      </c>
    </row>
    <row r="11" spans="2:3" ht="16.5" x14ac:dyDescent="0.3">
      <c r="B11" s="39">
        <v>85.94</v>
      </c>
      <c r="C11" s="38">
        <v>359.86</v>
      </c>
    </row>
    <row r="12" spans="2:3" ht="16.5" x14ac:dyDescent="0.3">
      <c r="B12" s="39">
        <v>89.95</v>
      </c>
      <c r="C12" s="38">
        <v>376.7</v>
      </c>
    </row>
    <row r="13" spans="2:3" ht="16.5" x14ac:dyDescent="0.3">
      <c r="B13" s="39">
        <v>101.334666666667</v>
      </c>
      <c r="C13" s="38">
        <v>424.18266666666699</v>
      </c>
    </row>
    <row r="14" spans="2:3" ht="16.5" x14ac:dyDescent="0.3">
      <c r="B14" s="39">
        <v>108.58169696969701</v>
      </c>
      <c r="C14" s="38">
        <v>454.50751515151501</v>
      </c>
    </row>
    <row r="15" spans="2:3" ht="16.5" x14ac:dyDescent="0.3">
      <c r="B15" s="39">
        <v>115.82872727272699</v>
      </c>
      <c r="C15" s="38">
        <v>484.83236363636399</v>
      </c>
    </row>
    <row r="16" spans="2:3" ht="16.5" x14ac:dyDescent="0.3">
      <c r="B16" s="39">
        <v>123.075757575758</v>
      </c>
      <c r="C16" s="38">
        <v>515.15721212121196</v>
      </c>
    </row>
    <row r="17" spans="2:10" ht="17.25" thickBot="1" x14ac:dyDescent="0.35">
      <c r="B17" s="39">
        <v>130.32278787878801</v>
      </c>
      <c r="C17" s="38">
        <v>545.48206060606105</v>
      </c>
    </row>
    <row r="18" spans="2:10" ht="25.5" x14ac:dyDescent="0.3">
      <c r="B18" s="39">
        <v>137.56981818181899</v>
      </c>
      <c r="C18" s="38">
        <v>575.80690909090902</v>
      </c>
      <c r="E18" s="31" t="s">
        <v>93</v>
      </c>
      <c r="F18" s="31" t="s">
        <v>94</v>
      </c>
    </row>
    <row r="19" spans="2:10" ht="16.5" x14ac:dyDescent="0.3">
      <c r="B19" s="39">
        <v>144.816848484849</v>
      </c>
      <c r="C19" s="38">
        <v>606.131757575758</v>
      </c>
      <c r="E19" s="32">
        <v>170</v>
      </c>
      <c r="F19" s="34">
        <f ca="1">FORECAST(E19,OFFSET($C$4,MATCH(E19,$B$4:$B$12,1)-1,0,2),OFFSET($B$4,MATCH(E19,$B$4:$B$12,1)-1,0,2))</f>
        <v>710.56901680622309</v>
      </c>
      <c r="H19" s="30" t="s">
        <v>95</v>
      </c>
    </row>
    <row r="20" spans="2:10" ht="16.5" x14ac:dyDescent="0.3">
      <c r="B20" s="39">
        <v>152.06387878787899</v>
      </c>
      <c r="C20" s="38">
        <v>636.45660606060596</v>
      </c>
      <c r="E20" s="32">
        <v>175</v>
      </c>
      <c r="F20" s="34">
        <f ca="1">FORECAST(E20,OFFSET(KnownY,MATCH(E20,KnownX,1)-1,0,2),OFFSET(KnownX,MATCH(E20,KnownX,1)-1,0,2))</f>
        <v>731.42279674415079</v>
      </c>
      <c r="H20" s="30" t="s">
        <v>96</v>
      </c>
    </row>
    <row r="21" spans="2:10" ht="16.5" x14ac:dyDescent="0.3">
      <c r="B21" s="39">
        <v>159.31090909090901</v>
      </c>
      <c r="C21" s="38">
        <v>666.78145454545495</v>
      </c>
      <c r="E21" s="32">
        <v>180</v>
      </c>
      <c r="F21" s="34">
        <f ca="1">FORECAST(E21,OFFSET(h,MATCH(E21,Temp,1)-1,0,2),OFFSET(Temp,MATCH(E21,Temp,1)-1,0,2))</f>
        <v>753.3539567806248</v>
      </c>
      <c r="I21" s="30" t="s">
        <v>97</v>
      </c>
      <c r="J21" s="36" t="s">
        <v>98</v>
      </c>
    </row>
    <row r="22" spans="2:10" ht="16.5" x14ac:dyDescent="0.3">
      <c r="B22" s="39">
        <v>166.55793939393999</v>
      </c>
      <c r="C22" s="38">
        <v>697.10630303030302</v>
      </c>
      <c r="E22" s="32">
        <v>185</v>
      </c>
      <c r="F22" s="34">
        <f ca="1">FORECAST(E22,OFFSET(KnownY,MATCH(E22,KnownX,1)-1,0,2),OFFSET(KnownX,MATCH(E22,KnownX,1)-1,0,2))</f>
        <v>773.1303566200063</v>
      </c>
      <c r="I22" s="30" t="s">
        <v>99</v>
      </c>
      <c r="J22" s="35" t="s">
        <v>100</v>
      </c>
    </row>
    <row r="23" spans="2:10" ht="17.25" thickBot="1" x14ac:dyDescent="0.35">
      <c r="B23" s="39">
        <v>173.80496969697001</v>
      </c>
      <c r="C23" s="38">
        <v>727.43115151515201</v>
      </c>
      <c r="E23" s="33">
        <v>159</v>
      </c>
      <c r="F23" s="34">
        <f ca="1">FORECAST(E23,OFFSET(KnownY,MATCH(E23,KnownX,1)-1,0,2),OFFSET(KnownX,MATCH(E23,KnownX,1)-1,0,2))</f>
        <v>664.69070094278209</v>
      </c>
    </row>
    <row r="24" spans="2:10" ht="16.5" x14ac:dyDescent="0.3">
      <c r="B24" s="39">
        <v>181.05199999999999</v>
      </c>
      <c r="C24" s="38">
        <v>757.75599999999997</v>
      </c>
    </row>
    <row r="25" spans="2:10" ht="16.5" x14ac:dyDescent="0.3">
      <c r="B25" s="39">
        <v>188.299030303031</v>
      </c>
      <c r="C25" s="38">
        <v>788.08084848484896</v>
      </c>
    </row>
    <row r="26" spans="2:10" ht="16.5" x14ac:dyDescent="0.3">
      <c r="B26" s="39">
        <v>195.54606060606099</v>
      </c>
      <c r="C26" s="38">
        <v>818.40569696969703</v>
      </c>
    </row>
    <row r="27" spans="2:10" ht="16.5" x14ac:dyDescent="0.3">
      <c r="B27" s="39">
        <v>202.79309090909101</v>
      </c>
      <c r="C27" s="38">
        <v>848.73054545454602</v>
      </c>
    </row>
    <row r="28" spans="2:10" ht="16.5" x14ac:dyDescent="0.3">
      <c r="B28" s="39">
        <v>210.04012121212199</v>
      </c>
      <c r="C28" s="38">
        <v>879.05539393939398</v>
      </c>
    </row>
    <row r="29" spans="2:10" ht="16.5" x14ac:dyDescent="0.3">
      <c r="B29" s="39">
        <v>217.287151515152</v>
      </c>
      <c r="C29" s="38">
        <v>909.38024242424297</v>
      </c>
    </row>
    <row r="30" spans="2:10" ht="16.5" x14ac:dyDescent="0.3">
      <c r="B30" s="39">
        <v>224.53418181818199</v>
      </c>
      <c r="C30" s="38">
        <v>939.70509090909104</v>
      </c>
    </row>
    <row r="31" spans="2:10" ht="16.5" x14ac:dyDescent="0.3">
      <c r="B31" s="39">
        <v>231.781212121213</v>
      </c>
      <c r="C31" s="38">
        <v>970.02993939394003</v>
      </c>
    </row>
    <row r="32" spans="2:10" ht="16.5" x14ac:dyDescent="0.3">
      <c r="B32" s="39">
        <v>239.02824242424299</v>
      </c>
      <c r="C32" s="38">
        <v>1000.35478787879</v>
      </c>
    </row>
    <row r="33" spans="2:3" ht="16.5" x14ac:dyDescent="0.3">
      <c r="B33" s="39">
        <v>246.27527272727301</v>
      </c>
      <c r="C33" s="38">
        <v>1030.6796363636399</v>
      </c>
    </row>
    <row r="34" spans="2:3" ht="16.5" x14ac:dyDescent="0.3">
      <c r="B34" s="39">
        <v>253.52230303030299</v>
      </c>
      <c r="C34" s="38">
        <v>1061.0044848484799</v>
      </c>
    </row>
    <row r="35" spans="2:3" ht="16.5" x14ac:dyDescent="0.3">
      <c r="B35" s="39">
        <v>260.76933333333398</v>
      </c>
      <c r="C35" s="38">
        <v>1091.3293333333299</v>
      </c>
    </row>
    <row r="36" spans="2:3" ht="16.5" x14ac:dyDescent="0.3">
      <c r="B36" s="39">
        <v>268.01636363636402</v>
      </c>
      <c r="C36" s="38">
        <v>1121.6541818181799</v>
      </c>
    </row>
    <row r="37" spans="2:3" ht="16.5" x14ac:dyDescent="0.3">
      <c r="B37" s="39">
        <v>275.26339393939401</v>
      </c>
      <c r="C37" s="38">
        <v>1151.97903030303</v>
      </c>
    </row>
    <row r="38" spans="2:3" ht="16.5" x14ac:dyDescent="0.3">
      <c r="B38" s="39">
        <v>282.51042424242502</v>
      </c>
      <c r="C38" s="38">
        <v>1182.30387878788</v>
      </c>
    </row>
    <row r="39" spans="2:3" ht="16.5" x14ac:dyDescent="0.3">
      <c r="B39" s="39">
        <v>289.757454545455</v>
      </c>
      <c r="C39" s="38">
        <v>1212.62872727273</v>
      </c>
    </row>
    <row r="40" spans="2:3" ht="16.5" x14ac:dyDescent="0.3">
      <c r="B40" s="39">
        <v>297.00448484848499</v>
      </c>
      <c r="C40" s="38">
        <v>1242.95357575757</v>
      </c>
    </row>
    <row r="41" spans="2:3" ht="16.5" x14ac:dyDescent="0.3">
      <c r="B41" s="39">
        <v>304.251515151516</v>
      </c>
      <c r="C41" s="38">
        <v>1273.27842424242</v>
      </c>
    </row>
    <row r="42" spans="2:3" ht="16.5" x14ac:dyDescent="0.3">
      <c r="B42" s="39">
        <v>311.49854545454599</v>
      </c>
      <c r="C42" s="38">
        <v>1303.60327272727</v>
      </c>
    </row>
    <row r="43" spans="2:3" ht="16.5" x14ac:dyDescent="0.3">
      <c r="B43" s="39">
        <v>318.74557575757598</v>
      </c>
      <c r="C43" s="38">
        <v>1333.92812121212</v>
      </c>
    </row>
    <row r="44" spans="2:3" ht="16.5" x14ac:dyDescent="0.3">
      <c r="B44" s="39">
        <v>325.99260606060602</v>
      </c>
      <c r="C44" s="38">
        <v>1364.25296969697</v>
      </c>
    </row>
    <row r="45" spans="2:3" ht="16.5" x14ac:dyDescent="0.3">
      <c r="B45" s="39">
        <v>333.23963636363698</v>
      </c>
      <c r="C45" s="38">
        <v>1394.57781818182</v>
      </c>
    </row>
    <row r="46" spans="2:3" ht="16.5" x14ac:dyDescent="0.3">
      <c r="B46" s="39">
        <v>340.48666666666702</v>
      </c>
      <c r="C46" s="38">
        <v>1424.90266666666</v>
      </c>
    </row>
    <row r="47" spans="2:3" ht="16.5" x14ac:dyDescent="0.3">
      <c r="B47" s="39">
        <v>347.73369696969701</v>
      </c>
      <c r="C47" s="38">
        <v>1455.22751515151</v>
      </c>
    </row>
    <row r="48" spans="2:3" ht="16.5" x14ac:dyDescent="0.3">
      <c r="B48" s="39">
        <v>354.98072727272802</v>
      </c>
      <c r="C48" s="38">
        <v>1485.55236363636</v>
      </c>
    </row>
    <row r="49" spans="2:3" ht="16.5" x14ac:dyDescent="0.3">
      <c r="B49" s="39">
        <v>362.22775757575801</v>
      </c>
      <c r="C49" s="38">
        <v>1515.8772121212101</v>
      </c>
    </row>
    <row r="50" spans="2:3" ht="16.5" x14ac:dyDescent="0.3">
      <c r="B50" s="39">
        <v>369.47478787878799</v>
      </c>
      <c r="C50" s="38">
        <v>1546.2020606060601</v>
      </c>
    </row>
    <row r="51" spans="2:3" ht="16.5" x14ac:dyDescent="0.3">
      <c r="B51" s="39">
        <v>376.721818181819</v>
      </c>
      <c r="C51" s="38">
        <v>1576.5269090909101</v>
      </c>
    </row>
    <row r="52" spans="2:3" ht="16.5" x14ac:dyDescent="0.3">
      <c r="B52" s="39">
        <v>383.96884848484899</v>
      </c>
      <c r="C52" s="38">
        <v>1606.8517575757601</v>
      </c>
    </row>
  </sheetData>
  <pageMargins left="0.75" right="0.75" top="1" bottom="1" header="0.5" footer="0.5"/>
  <pageSetup paperSize="9" orientation="portrait" horizontalDpi="4294967293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F21" sqref="F21"/>
    </sheetView>
  </sheetViews>
  <sheetFormatPr defaultRowHeight="12.75" x14ac:dyDescent="0.2"/>
  <cols>
    <col min="1" max="1" width="2.375" style="30" customWidth="1"/>
    <col min="2" max="2" width="8.25" style="30" customWidth="1"/>
    <col min="3" max="3" width="10.625" style="30" customWidth="1"/>
    <col min="4" max="4" width="9" style="30"/>
    <col min="5" max="5" width="6.75" style="30" customWidth="1"/>
    <col min="6" max="6" width="12.625" style="30" customWidth="1"/>
    <col min="7" max="8" width="1.625" style="30" customWidth="1"/>
    <col min="9" max="256" width="9" style="30"/>
    <col min="257" max="257" width="2.375" style="30" customWidth="1"/>
    <col min="258" max="258" width="8.25" style="30" customWidth="1"/>
    <col min="259" max="259" width="10.625" style="30" customWidth="1"/>
    <col min="260" max="260" width="9" style="30"/>
    <col min="261" max="261" width="6.75" style="30" customWidth="1"/>
    <col min="262" max="262" width="12.625" style="30" customWidth="1"/>
    <col min="263" max="264" width="1.625" style="30" customWidth="1"/>
    <col min="265" max="512" width="9" style="30"/>
    <col min="513" max="513" width="2.375" style="30" customWidth="1"/>
    <col min="514" max="514" width="8.25" style="30" customWidth="1"/>
    <col min="515" max="515" width="10.625" style="30" customWidth="1"/>
    <col min="516" max="516" width="9" style="30"/>
    <col min="517" max="517" width="6.75" style="30" customWidth="1"/>
    <col min="518" max="518" width="12.625" style="30" customWidth="1"/>
    <col min="519" max="520" width="1.625" style="30" customWidth="1"/>
    <col min="521" max="768" width="9" style="30"/>
    <col min="769" max="769" width="2.375" style="30" customWidth="1"/>
    <col min="770" max="770" width="8.25" style="30" customWidth="1"/>
    <col min="771" max="771" width="10.625" style="30" customWidth="1"/>
    <col min="772" max="772" width="9" style="30"/>
    <col min="773" max="773" width="6.75" style="30" customWidth="1"/>
    <col min="774" max="774" width="12.625" style="30" customWidth="1"/>
    <col min="775" max="776" width="1.625" style="30" customWidth="1"/>
    <col min="777" max="1024" width="9" style="30"/>
    <col min="1025" max="1025" width="2.375" style="30" customWidth="1"/>
    <col min="1026" max="1026" width="8.25" style="30" customWidth="1"/>
    <col min="1027" max="1027" width="10.625" style="30" customWidth="1"/>
    <col min="1028" max="1028" width="9" style="30"/>
    <col min="1029" max="1029" width="6.75" style="30" customWidth="1"/>
    <col min="1030" max="1030" width="12.625" style="30" customWidth="1"/>
    <col min="1031" max="1032" width="1.625" style="30" customWidth="1"/>
    <col min="1033" max="1280" width="9" style="30"/>
    <col min="1281" max="1281" width="2.375" style="30" customWidth="1"/>
    <col min="1282" max="1282" width="8.25" style="30" customWidth="1"/>
    <col min="1283" max="1283" width="10.625" style="30" customWidth="1"/>
    <col min="1284" max="1284" width="9" style="30"/>
    <col min="1285" max="1285" width="6.75" style="30" customWidth="1"/>
    <col min="1286" max="1286" width="12.625" style="30" customWidth="1"/>
    <col min="1287" max="1288" width="1.625" style="30" customWidth="1"/>
    <col min="1289" max="1536" width="9" style="30"/>
    <col min="1537" max="1537" width="2.375" style="30" customWidth="1"/>
    <col min="1538" max="1538" width="8.25" style="30" customWidth="1"/>
    <col min="1539" max="1539" width="10.625" style="30" customWidth="1"/>
    <col min="1540" max="1540" width="9" style="30"/>
    <col min="1541" max="1541" width="6.75" style="30" customWidth="1"/>
    <col min="1542" max="1542" width="12.625" style="30" customWidth="1"/>
    <col min="1543" max="1544" width="1.625" style="30" customWidth="1"/>
    <col min="1545" max="1792" width="9" style="30"/>
    <col min="1793" max="1793" width="2.375" style="30" customWidth="1"/>
    <col min="1794" max="1794" width="8.25" style="30" customWidth="1"/>
    <col min="1795" max="1795" width="10.625" style="30" customWidth="1"/>
    <col min="1796" max="1796" width="9" style="30"/>
    <col min="1797" max="1797" width="6.75" style="30" customWidth="1"/>
    <col min="1798" max="1798" width="12.625" style="30" customWidth="1"/>
    <col min="1799" max="1800" width="1.625" style="30" customWidth="1"/>
    <col min="1801" max="2048" width="9" style="30"/>
    <col min="2049" max="2049" width="2.375" style="30" customWidth="1"/>
    <col min="2050" max="2050" width="8.25" style="30" customWidth="1"/>
    <col min="2051" max="2051" width="10.625" style="30" customWidth="1"/>
    <col min="2052" max="2052" width="9" style="30"/>
    <col min="2053" max="2053" width="6.75" style="30" customWidth="1"/>
    <col min="2054" max="2054" width="12.625" style="30" customWidth="1"/>
    <col min="2055" max="2056" width="1.625" style="30" customWidth="1"/>
    <col min="2057" max="2304" width="9" style="30"/>
    <col min="2305" max="2305" width="2.375" style="30" customWidth="1"/>
    <col min="2306" max="2306" width="8.25" style="30" customWidth="1"/>
    <col min="2307" max="2307" width="10.625" style="30" customWidth="1"/>
    <col min="2308" max="2308" width="9" style="30"/>
    <col min="2309" max="2309" width="6.75" style="30" customWidth="1"/>
    <col min="2310" max="2310" width="12.625" style="30" customWidth="1"/>
    <col min="2311" max="2312" width="1.625" style="30" customWidth="1"/>
    <col min="2313" max="2560" width="9" style="30"/>
    <col min="2561" max="2561" width="2.375" style="30" customWidth="1"/>
    <col min="2562" max="2562" width="8.25" style="30" customWidth="1"/>
    <col min="2563" max="2563" width="10.625" style="30" customWidth="1"/>
    <col min="2564" max="2564" width="9" style="30"/>
    <col min="2565" max="2565" width="6.75" style="30" customWidth="1"/>
    <col min="2566" max="2566" width="12.625" style="30" customWidth="1"/>
    <col min="2567" max="2568" width="1.625" style="30" customWidth="1"/>
    <col min="2569" max="2816" width="9" style="30"/>
    <col min="2817" max="2817" width="2.375" style="30" customWidth="1"/>
    <col min="2818" max="2818" width="8.25" style="30" customWidth="1"/>
    <col min="2819" max="2819" width="10.625" style="30" customWidth="1"/>
    <col min="2820" max="2820" width="9" style="30"/>
    <col min="2821" max="2821" width="6.75" style="30" customWidth="1"/>
    <col min="2822" max="2822" width="12.625" style="30" customWidth="1"/>
    <col min="2823" max="2824" width="1.625" style="30" customWidth="1"/>
    <col min="2825" max="3072" width="9" style="30"/>
    <col min="3073" max="3073" width="2.375" style="30" customWidth="1"/>
    <col min="3074" max="3074" width="8.25" style="30" customWidth="1"/>
    <col min="3075" max="3075" width="10.625" style="30" customWidth="1"/>
    <col min="3076" max="3076" width="9" style="30"/>
    <col min="3077" max="3077" width="6.75" style="30" customWidth="1"/>
    <col min="3078" max="3078" width="12.625" style="30" customWidth="1"/>
    <col min="3079" max="3080" width="1.625" style="30" customWidth="1"/>
    <col min="3081" max="3328" width="9" style="30"/>
    <col min="3329" max="3329" width="2.375" style="30" customWidth="1"/>
    <col min="3330" max="3330" width="8.25" style="30" customWidth="1"/>
    <col min="3331" max="3331" width="10.625" style="30" customWidth="1"/>
    <col min="3332" max="3332" width="9" style="30"/>
    <col min="3333" max="3333" width="6.75" style="30" customWidth="1"/>
    <col min="3334" max="3334" width="12.625" style="30" customWidth="1"/>
    <col min="3335" max="3336" width="1.625" style="30" customWidth="1"/>
    <col min="3337" max="3584" width="9" style="30"/>
    <col min="3585" max="3585" width="2.375" style="30" customWidth="1"/>
    <col min="3586" max="3586" width="8.25" style="30" customWidth="1"/>
    <col min="3587" max="3587" width="10.625" style="30" customWidth="1"/>
    <col min="3588" max="3588" width="9" style="30"/>
    <col min="3589" max="3589" width="6.75" style="30" customWidth="1"/>
    <col min="3590" max="3590" width="12.625" style="30" customWidth="1"/>
    <col min="3591" max="3592" width="1.625" style="30" customWidth="1"/>
    <col min="3593" max="3840" width="9" style="30"/>
    <col min="3841" max="3841" width="2.375" style="30" customWidth="1"/>
    <col min="3842" max="3842" width="8.25" style="30" customWidth="1"/>
    <col min="3843" max="3843" width="10.625" style="30" customWidth="1"/>
    <col min="3844" max="3844" width="9" style="30"/>
    <col min="3845" max="3845" width="6.75" style="30" customWidth="1"/>
    <col min="3846" max="3846" width="12.625" style="30" customWidth="1"/>
    <col min="3847" max="3848" width="1.625" style="30" customWidth="1"/>
    <col min="3849" max="4096" width="9" style="30"/>
    <col min="4097" max="4097" width="2.375" style="30" customWidth="1"/>
    <col min="4098" max="4098" width="8.25" style="30" customWidth="1"/>
    <col min="4099" max="4099" width="10.625" style="30" customWidth="1"/>
    <col min="4100" max="4100" width="9" style="30"/>
    <col min="4101" max="4101" width="6.75" style="30" customWidth="1"/>
    <col min="4102" max="4102" width="12.625" style="30" customWidth="1"/>
    <col min="4103" max="4104" width="1.625" style="30" customWidth="1"/>
    <col min="4105" max="4352" width="9" style="30"/>
    <col min="4353" max="4353" width="2.375" style="30" customWidth="1"/>
    <col min="4354" max="4354" width="8.25" style="30" customWidth="1"/>
    <col min="4355" max="4355" width="10.625" style="30" customWidth="1"/>
    <col min="4356" max="4356" width="9" style="30"/>
    <col min="4357" max="4357" width="6.75" style="30" customWidth="1"/>
    <col min="4358" max="4358" width="12.625" style="30" customWidth="1"/>
    <col min="4359" max="4360" width="1.625" style="30" customWidth="1"/>
    <col min="4361" max="4608" width="9" style="30"/>
    <col min="4609" max="4609" width="2.375" style="30" customWidth="1"/>
    <col min="4610" max="4610" width="8.25" style="30" customWidth="1"/>
    <col min="4611" max="4611" width="10.625" style="30" customWidth="1"/>
    <col min="4612" max="4612" width="9" style="30"/>
    <col min="4613" max="4613" width="6.75" style="30" customWidth="1"/>
    <col min="4614" max="4614" width="12.625" style="30" customWidth="1"/>
    <col min="4615" max="4616" width="1.625" style="30" customWidth="1"/>
    <col min="4617" max="4864" width="9" style="30"/>
    <col min="4865" max="4865" width="2.375" style="30" customWidth="1"/>
    <col min="4866" max="4866" width="8.25" style="30" customWidth="1"/>
    <col min="4867" max="4867" width="10.625" style="30" customWidth="1"/>
    <col min="4868" max="4868" width="9" style="30"/>
    <col min="4869" max="4869" width="6.75" style="30" customWidth="1"/>
    <col min="4870" max="4870" width="12.625" style="30" customWidth="1"/>
    <col min="4871" max="4872" width="1.625" style="30" customWidth="1"/>
    <col min="4873" max="5120" width="9" style="30"/>
    <col min="5121" max="5121" width="2.375" style="30" customWidth="1"/>
    <col min="5122" max="5122" width="8.25" style="30" customWidth="1"/>
    <col min="5123" max="5123" width="10.625" style="30" customWidth="1"/>
    <col min="5124" max="5124" width="9" style="30"/>
    <col min="5125" max="5125" width="6.75" style="30" customWidth="1"/>
    <col min="5126" max="5126" width="12.625" style="30" customWidth="1"/>
    <col min="5127" max="5128" width="1.625" style="30" customWidth="1"/>
    <col min="5129" max="5376" width="9" style="30"/>
    <col min="5377" max="5377" width="2.375" style="30" customWidth="1"/>
    <col min="5378" max="5378" width="8.25" style="30" customWidth="1"/>
    <col min="5379" max="5379" width="10.625" style="30" customWidth="1"/>
    <col min="5380" max="5380" width="9" style="30"/>
    <col min="5381" max="5381" width="6.75" style="30" customWidth="1"/>
    <col min="5382" max="5382" width="12.625" style="30" customWidth="1"/>
    <col min="5383" max="5384" width="1.625" style="30" customWidth="1"/>
    <col min="5385" max="5632" width="9" style="30"/>
    <col min="5633" max="5633" width="2.375" style="30" customWidth="1"/>
    <col min="5634" max="5634" width="8.25" style="30" customWidth="1"/>
    <col min="5635" max="5635" width="10.625" style="30" customWidth="1"/>
    <col min="5636" max="5636" width="9" style="30"/>
    <col min="5637" max="5637" width="6.75" style="30" customWidth="1"/>
    <col min="5638" max="5638" width="12.625" style="30" customWidth="1"/>
    <col min="5639" max="5640" width="1.625" style="30" customWidth="1"/>
    <col min="5641" max="5888" width="9" style="30"/>
    <col min="5889" max="5889" width="2.375" style="30" customWidth="1"/>
    <col min="5890" max="5890" width="8.25" style="30" customWidth="1"/>
    <col min="5891" max="5891" width="10.625" style="30" customWidth="1"/>
    <col min="5892" max="5892" width="9" style="30"/>
    <col min="5893" max="5893" width="6.75" style="30" customWidth="1"/>
    <col min="5894" max="5894" width="12.625" style="30" customWidth="1"/>
    <col min="5895" max="5896" width="1.625" style="30" customWidth="1"/>
    <col min="5897" max="6144" width="9" style="30"/>
    <col min="6145" max="6145" width="2.375" style="30" customWidth="1"/>
    <col min="6146" max="6146" width="8.25" style="30" customWidth="1"/>
    <col min="6147" max="6147" width="10.625" style="30" customWidth="1"/>
    <col min="6148" max="6148" width="9" style="30"/>
    <col min="6149" max="6149" width="6.75" style="30" customWidth="1"/>
    <col min="6150" max="6150" width="12.625" style="30" customWidth="1"/>
    <col min="6151" max="6152" width="1.625" style="30" customWidth="1"/>
    <col min="6153" max="6400" width="9" style="30"/>
    <col min="6401" max="6401" width="2.375" style="30" customWidth="1"/>
    <col min="6402" max="6402" width="8.25" style="30" customWidth="1"/>
    <col min="6403" max="6403" width="10.625" style="30" customWidth="1"/>
    <col min="6404" max="6404" width="9" style="30"/>
    <col min="6405" max="6405" width="6.75" style="30" customWidth="1"/>
    <col min="6406" max="6406" width="12.625" style="30" customWidth="1"/>
    <col min="6407" max="6408" width="1.625" style="30" customWidth="1"/>
    <col min="6409" max="6656" width="9" style="30"/>
    <col min="6657" max="6657" width="2.375" style="30" customWidth="1"/>
    <col min="6658" max="6658" width="8.25" style="30" customWidth="1"/>
    <col min="6659" max="6659" width="10.625" style="30" customWidth="1"/>
    <col min="6660" max="6660" width="9" style="30"/>
    <col min="6661" max="6661" width="6.75" style="30" customWidth="1"/>
    <col min="6662" max="6662" width="12.625" style="30" customWidth="1"/>
    <col min="6663" max="6664" width="1.625" style="30" customWidth="1"/>
    <col min="6665" max="6912" width="9" style="30"/>
    <col min="6913" max="6913" width="2.375" style="30" customWidth="1"/>
    <col min="6914" max="6914" width="8.25" style="30" customWidth="1"/>
    <col min="6915" max="6915" width="10.625" style="30" customWidth="1"/>
    <col min="6916" max="6916" width="9" style="30"/>
    <col min="6917" max="6917" width="6.75" style="30" customWidth="1"/>
    <col min="6918" max="6918" width="12.625" style="30" customWidth="1"/>
    <col min="6919" max="6920" width="1.625" style="30" customWidth="1"/>
    <col min="6921" max="7168" width="9" style="30"/>
    <col min="7169" max="7169" width="2.375" style="30" customWidth="1"/>
    <col min="7170" max="7170" width="8.25" style="30" customWidth="1"/>
    <col min="7171" max="7171" width="10.625" style="30" customWidth="1"/>
    <col min="7172" max="7172" width="9" style="30"/>
    <col min="7173" max="7173" width="6.75" style="30" customWidth="1"/>
    <col min="7174" max="7174" width="12.625" style="30" customWidth="1"/>
    <col min="7175" max="7176" width="1.625" style="30" customWidth="1"/>
    <col min="7177" max="7424" width="9" style="30"/>
    <col min="7425" max="7425" width="2.375" style="30" customWidth="1"/>
    <col min="7426" max="7426" width="8.25" style="30" customWidth="1"/>
    <col min="7427" max="7427" width="10.625" style="30" customWidth="1"/>
    <col min="7428" max="7428" width="9" style="30"/>
    <col min="7429" max="7429" width="6.75" style="30" customWidth="1"/>
    <col min="7430" max="7430" width="12.625" style="30" customWidth="1"/>
    <col min="7431" max="7432" width="1.625" style="30" customWidth="1"/>
    <col min="7433" max="7680" width="9" style="30"/>
    <col min="7681" max="7681" width="2.375" style="30" customWidth="1"/>
    <col min="7682" max="7682" width="8.25" style="30" customWidth="1"/>
    <col min="7683" max="7683" width="10.625" style="30" customWidth="1"/>
    <col min="7684" max="7684" width="9" style="30"/>
    <col min="7685" max="7685" width="6.75" style="30" customWidth="1"/>
    <col min="7686" max="7686" width="12.625" style="30" customWidth="1"/>
    <col min="7687" max="7688" width="1.625" style="30" customWidth="1"/>
    <col min="7689" max="7936" width="9" style="30"/>
    <col min="7937" max="7937" width="2.375" style="30" customWidth="1"/>
    <col min="7938" max="7938" width="8.25" style="30" customWidth="1"/>
    <col min="7939" max="7939" width="10.625" style="30" customWidth="1"/>
    <col min="7940" max="7940" width="9" style="30"/>
    <col min="7941" max="7941" width="6.75" style="30" customWidth="1"/>
    <col min="7942" max="7942" width="12.625" style="30" customWidth="1"/>
    <col min="7943" max="7944" width="1.625" style="30" customWidth="1"/>
    <col min="7945" max="8192" width="9" style="30"/>
    <col min="8193" max="8193" width="2.375" style="30" customWidth="1"/>
    <col min="8194" max="8194" width="8.25" style="30" customWidth="1"/>
    <col min="8195" max="8195" width="10.625" style="30" customWidth="1"/>
    <col min="8196" max="8196" width="9" style="30"/>
    <col min="8197" max="8197" width="6.75" style="30" customWidth="1"/>
    <col min="8198" max="8198" width="12.625" style="30" customWidth="1"/>
    <col min="8199" max="8200" width="1.625" style="30" customWidth="1"/>
    <col min="8201" max="8448" width="9" style="30"/>
    <col min="8449" max="8449" width="2.375" style="30" customWidth="1"/>
    <col min="8450" max="8450" width="8.25" style="30" customWidth="1"/>
    <col min="8451" max="8451" width="10.625" style="30" customWidth="1"/>
    <col min="8452" max="8452" width="9" style="30"/>
    <col min="8453" max="8453" width="6.75" style="30" customWidth="1"/>
    <col min="8454" max="8454" width="12.625" style="30" customWidth="1"/>
    <col min="8455" max="8456" width="1.625" style="30" customWidth="1"/>
    <col min="8457" max="8704" width="9" style="30"/>
    <col min="8705" max="8705" width="2.375" style="30" customWidth="1"/>
    <col min="8706" max="8706" width="8.25" style="30" customWidth="1"/>
    <col min="8707" max="8707" width="10.625" style="30" customWidth="1"/>
    <col min="8708" max="8708" width="9" style="30"/>
    <col min="8709" max="8709" width="6.75" style="30" customWidth="1"/>
    <col min="8710" max="8710" width="12.625" style="30" customWidth="1"/>
    <col min="8711" max="8712" width="1.625" style="30" customWidth="1"/>
    <col min="8713" max="8960" width="9" style="30"/>
    <col min="8961" max="8961" width="2.375" style="30" customWidth="1"/>
    <col min="8962" max="8962" width="8.25" style="30" customWidth="1"/>
    <col min="8963" max="8963" width="10.625" style="30" customWidth="1"/>
    <col min="8964" max="8964" width="9" style="30"/>
    <col min="8965" max="8965" width="6.75" style="30" customWidth="1"/>
    <col min="8966" max="8966" width="12.625" style="30" customWidth="1"/>
    <col min="8967" max="8968" width="1.625" style="30" customWidth="1"/>
    <col min="8969" max="9216" width="9" style="30"/>
    <col min="9217" max="9217" width="2.375" style="30" customWidth="1"/>
    <col min="9218" max="9218" width="8.25" style="30" customWidth="1"/>
    <col min="9219" max="9219" width="10.625" style="30" customWidth="1"/>
    <col min="9220" max="9220" width="9" style="30"/>
    <col min="9221" max="9221" width="6.75" style="30" customWidth="1"/>
    <col min="9222" max="9222" width="12.625" style="30" customWidth="1"/>
    <col min="9223" max="9224" width="1.625" style="30" customWidth="1"/>
    <col min="9225" max="9472" width="9" style="30"/>
    <col min="9473" max="9473" width="2.375" style="30" customWidth="1"/>
    <col min="9474" max="9474" width="8.25" style="30" customWidth="1"/>
    <col min="9475" max="9475" width="10.625" style="30" customWidth="1"/>
    <col min="9476" max="9476" width="9" style="30"/>
    <col min="9477" max="9477" width="6.75" style="30" customWidth="1"/>
    <col min="9478" max="9478" width="12.625" style="30" customWidth="1"/>
    <col min="9479" max="9480" width="1.625" style="30" customWidth="1"/>
    <col min="9481" max="9728" width="9" style="30"/>
    <col min="9729" max="9729" width="2.375" style="30" customWidth="1"/>
    <col min="9730" max="9730" width="8.25" style="30" customWidth="1"/>
    <col min="9731" max="9731" width="10.625" style="30" customWidth="1"/>
    <col min="9732" max="9732" width="9" style="30"/>
    <col min="9733" max="9733" width="6.75" style="30" customWidth="1"/>
    <col min="9734" max="9734" width="12.625" style="30" customWidth="1"/>
    <col min="9735" max="9736" width="1.625" style="30" customWidth="1"/>
    <col min="9737" max="9984" width="9" style="30"/>
    <col min="9985" max="9985" width="2.375" style="30" customWidth="1"/>
    <col min="9986" max="9986" width="8.25" style="30" customWidth="1"/>
    <col min="9987" max="9987" width="10.625" style="30" customWidth="1"/>
    <col min="9988" max="9988" width="9" style="30"/>
    <col min="9989" max="9989" width="6.75" style="30" customWidth="1"/>
    <col min="9990" max="9990" width="12.625" style="30" customWidth="1"/>
    <col min="9991" max="9992" width="1.625" style="30" customWidth="1"/>
    <col min="9993" max="10240" width="9" style="30"/>
    <col min="10241" max="10241" width="2.375" style="30" customWidth="1"/>
    <col min="10242" max="10242" width="8.25" style="30" customWidth="1"/>
    <col min="10243" max="10243" width="10.625" style="30" customWidth="1"/>
    <col min="10244" max="10244" width="9" style="30"/>
    <col min="10245" max="10245" width="6.75" style="30" customWidth="1"/>
    <col min="10246" max="10246" width="12.625" style="30" customWidth="1"/>
    <col min="10247" max="10248" width="1.625" style="30" customWidth="1"/>
    <col min="10249" max="10496" width="9" style="30"/>
    <col min="10497" max="10497" width="2.375" style="30" customWidth="1"/>
    <col min="10498" max="10498" width="8.25" style="30" customWidth="1"/>
    <col min="10499" max="10499" width="10.625" style="30" customWidth="1"/>
    <col min="10500" max="10500" width="9" style="30"/>
    <col min="10501" max="10501" width="6.75" style="30" customWidth="1"/>
    <col min="10502" max="10502" width="12.625" style="30" customWidth="1"/>
    <col min="10503" max="10504" width="1.625" style="30" customWidth="1"/>
    <col min="10505" max="10752" width="9" style="30"/>
    <col min="10753" max="10753" width="2.375" style="30" customWidth="1"/>
    <col min="10754" max="10754" width="8.25" style="30" customWidth="1"/>
    <col min="10755" max="10755" width="10.625" style="30" customWidth="1"/>
    <col min="10756" max="10756" width="9" style="30"/>
    <col min="10757" max="10757" width="6.75" style="30" customWidth="1"/>
    <col min="10758" max="10758" width="12.625" style="30" customWidth="1"/>
    <col min="10759" max="10760" width="1.625" style="30" customWidth="1"/>
    <col min="10761" max="11008" width="9" style="30"/>
    <col min="11009" max="11009" width="2.375" style="30" customWidth="1"/>
    <col min="11010" max="11010" width="8.25" style="30" customWidth="1"/>
    <col min="11011" max="11011" width="10.625" style="30" customWidth="1"/>
    <col min="11012" max="11012" width="9" style="30"/>
    <col min="11013" max="11013" width="6.75" style="30" customWidth="1"/>
    <col min="11014" max="11014" width="12.625" style="30" customWidth="1"/>
    <col min="11015" max="11016" width="1.625" style="30" customWidth="1"/>
    <col min="11017" max="11264" width="9" style="30"/>
    <col min="11265" max="11265" width="2.375" style="30" customWidth="1"/>
    <col min="11266" max="11266" width="8.25" style="30" customWidth="1"/>
    <col min="11267" max="11267" width="10.625" style="30" customWidth="1"/>
    <col min="11268" max="11268" width="9" style="30"/>
    <col min="11269" max="11269" width="6.75" style="30" customWidth="1"/>
    <col min="11270" max="11270" width="12.625" style="30" customWidth="1"/>
    <col min="11271" max="11272" width="1.625" style="30" customWidth="1"/>
    <col min="11273" max="11520" width="9" style="30"/>
    <col min="11521" max="11521" width="2.375" style="30" customWidth="1"/>
    <col min="11522" max="11522" width="8.25" style="30" customWidth="1"/>
    <col min="11523" max="11523" width="10.625" style="30" customWidth="1"/>
    <col min="11524" max="11524" width="9" style="30"/>
    <col min="11525" max="11525" width="6.75" style="30" customWidth="1"/>
    <col min="11526" max="11526" width="12.625" style="30" customWidth="1"/>
    <col min="11527" max="11528" width="1.625" style="30" customWidth="1"/>
    <col min="11529" max="11776" width="9" style="30"/>
    <col min="11777" max="11777" width="2.375" style="30" customWidth="1"/>
    <col min="11778" max="11778" width="8.25" style="30" customWidth="1"/>
    <col min="11779" max="11779" width="10.625" style="30" customWidth="1"/>
    <col min="11780" max="11780" width="9" style="30"/>
    <col min="11781" max="11781" width="6.75" style="30" customWidth="1"/>
    <col min="11782" max="11782" width="12.625" style="30" customWidth="1"/>
    <col min="11783" max="11784" width="1.625" style="30" customWidth="1"/>
    <col min="11785" max="12032" width="9" style="30"/>
    <col min="12033" max="12033" width="2.375" style="30" customWidth="1"/>
    <col min="12034" max="12034" width="8.25" style="30" customWidth="1"/>
    <col min="12035" max="12035" width="10.625" style="30" customWidth="1"/>
    <col min="12036" max="12036" width="9" style="30"/>
    <col min="12037" max="12037" width="6.75" style="30" customWidth="1"/>
    <col min="12038" max="12038" width="12.625" style="30" customWidth="1"/>
    <col min="12039" max="12040" width="1.625" style="30" customWidth="1"/>
    <col min="12041" max="12288" width="9" style="30"/>
    <col min="12289" max="12289" width="2.375" style="30" customWidth="1"/>
    <col min="12290" max="12290" width="8.25" style="30" customWidth="1"/>
    <col min="12291" max="12291" width="10.625" style="30" customWidth="1"/>
    <col min="12292" max="12292" width="9" style="30"/>
    <col min="12293" max="12293" width="6.75" style="30" customWidth="1"/>
    <col min="12294" max="12294" width="12.625" style="30" customWidth="1"/>
    <col min="12295" max="12296" width="1.625" style="30" customWidth="1"/>
    <col min="12297" max="12544" width="9" style="30"/>
    <col min="12545" max="12545" width="2.375" style="30" customWidth="1"/>
    <col min="12546" max="12546" width="8.25" style="30" customWidth="1"/>
    <col min="12547" max="12547" width="10.625" style="30" customWidth="1"/>
    <col min="12548" max="12548" width="9" style="30"/>
    <col min="12549" max="12549" width="6.75" style="30" customWidth="1"/>
    <col min="12550" max="12550" width="12.625" style="30" customWidth="1"/>
    <col min="12551" max="12552" width="1.625" style="30" customWidth="1"/>
    <col min="12553" max="12800" width="9" style="30"/>
    <col min="12801" max="12801" width="2.375" style="30" customWidth="1"/>
    <col min="12802" max="12802" width="8.25" style="30" customWidth="1"/>
    <col min="12803" max="12803" width="10.625" style="30" customWidth="1"/>
    <col min="12804" max="12804" width="9" style="30"/>
    <col min="12805" max="12805" width="6.75" style="30" customWidth="1"/>
    <col min="12806" max="12806" width="12.625" style="30" customWidth="1"/>
    <col min="12807" max="12808" width="1.625" style="30" customWidth="1"/>
    <col min="12809" max="13056" width="9" style="30"/>
    <col min="13057" max="13057" width="2.375" style="30" customWidth="1"/>
    <col min="13058" max="13058" width="8.25" style="30" customWidth="1"/>
    <col min="13059" max="13059" width="10.625" style="30" customWidth="1"/>
    <col min="13060" max="13060" width="9" style="30"/>
    <col min="13061" max="13061" width="6.75" style="30" customWidth="1"/>
    <col min="13062" max="13062" width="12.625" style="30" customWidth="1"/>
    <col min="13063" max="13064" width="1.625" style="30" customWidth="1"/>
    <col min="13065" max="13312" width="9" style="30"/>
    <col min="13313" max="13313" width="2.375" style="30" customWidth="1"/>
    <col min="13314" max="13314" width="8.25" style="30" customWidth="1"/>
    <col min="13315" max="13315" width="10.625" style="30" customWidth="1"/>
    <col min="13316" max="13316" width="9" style="30"/>
    <col min="13317" max="13317" width="6.75" style="30" customWidth="1"/>
    <col min="13318" max="13318" width="12.625" style="30" customWidth="1"/>
    <col min="13319" max="13320" width="1.625" style="30" customWidth="1"/>
    <col min="13321" max="13568" width="9" style="30"/>
    <col min="13569" max="13569" width="2.375" style="30" customWidth="1"/>
    <col min="13570" max="13570" width="8.25" style="30" customWidth="1"/>
    <col min="13571" max="13571" width="10.625" style="30" customWidth="1"/>
    <col min="13572" max="13572" width="9" style="30"/>
    <col min="13573" max="13573" width="6.75" style="30" customWidth="1"/>
    <col min="13574" max="13574" width="12.625" style="30" customWidth="1"/>
    <col min="13575" max="13576" width="1.625" style="30" customWidth="1"/>
    <col min="13577" max="13824" width="9" style="30"/>
    <col min="13825" max="13825" width="2.375" style="30" customWidth="1"/>
    <col min="13826" max="13826" width="8.25" style="30" customWidth="1"/>
    <col min="13827" max="13827" width="10.625" style="30" customWidth="1"/>
    <col min="13828" max="13828" width="9" style="30"/>
    <col min="13829" max="13829" width="6.75" style="30" customWidth="1"/>
    <col min="13830" max="13830" width="12.625" style="30" customWidth="1"/>
    <col min="13831" max="13832" width="1.625" style="30" customWidth="1"/>
    <col min="13833" max="14080" width="9" style="30"/>
    <col min="14081" max="14081" width="2.375" style="30" customWidth="1"/>
    <col min="14082" max="14082" width="8.25" style="30" customWidth="1"/>
    <col min="14083" max="14083" width="10.625" style="30" customWidth="1"/>
    <col min="14084" max="14084" width="9" style="30"/>
    <col min="14085" max="14085" width="6.75" style="30" customWidth="1"/>
    <col min="14086" max="14086" width="12.625" style="30" customWidth="1"/>
    <col min="14087" max="14088" width="1.625" style="30" customWidth="1"/>
    <col min="14089" max="14336" width="9" style="30"/>
    <col min="14337" max="14337" width="2.375" style="30" customWidth="1"/>
    <col min="14338" max="14338" width="8.25" style="30" customWidth="1"/>
    <col min="14339" max="14339" width="10.625" style="30" customWidth="1"/>
    <col min="14340" max="14340" width="9" style="30"/>
    <col min="14341" max="14341" width="6.75" style="30" customWidth="1"/>
    <col min="14342" max="14342" width="12.625" style="30" customWidth="1"/>
    <col min="14343" max="14344" width="1.625" style="30" customWidth="1"/>
    <col min="14345" max="14592" width="9" style="30"/>
    <col min="14593" max="14593" width="2.375" style="30" customWidth="1"/>
    <col min="14594" max="14594" width="8.25" style="30" customWidth="1"/>
    <col min="14595" max="14595" width="10.625" style="30" customWidth="1"/>
    <col min="14596" max="14596" width="9" style="30"/>
    <col min="14597" max="14597" width="6.75" style="30" customWidth="1"/>
    <col min="14598" max="14598" width="12.625" style="30" customWidth="1"/>
    <col min="14599" max="14600" width="1.625" style="30" customWidth="1"/>
    <col min="14601" max="14848" width="9" style="30"/>
    <col min="14849" max="14849" width="2.375" style="30" customWidth="1"/>
    <col min="14850" max="14850" width="8.25" style="30" customWidth="1"/>
    <col min="14851" max="14851" width="10.625" style="30" customWidth="1"/>
    <col min="14852" max="14852" width="9" style="30"/>
    <col min="14853" max="14853" width="6.75" style="30" customWidth="1"/>
    <col min="14854" max="14854" width="12.625" style="30" customWidth="1"/>
    <col min="14855" max="14856" width="1.625" style="30" customWidth="1"/>
    <col min="14857" max="15104" width="9" style="30"/>
    <col min="15105" max="15105" width="2.375" style="30" customWidth="1"/>
    <col min="15106" max="15106" width="8.25" style="30" customWidth="1"/>
    <col min="15107" max="15107" width="10.625" style="30" customWidth="1"/>
    <col min="15108" max="15108" width="9" style="30"/>
    <col min="15109" max="15109" width="6.75" style="30" customWidth="1"/>
    <col min="15110" max="15110" width="12.625" style="30" customWidth="1"/>
    <col min="15111" max="15112" width="1.625" style="30" customWidth="1"/>
    <col min="15113" max="15360" width="9" style="30"/>
    <col min="15361" max="15361" width="2.375" style="30" customWidth="1"/>
    <col min="15362" max="15362" width="8.25" style="30" customWidth="1"/>
    <col min="15363" max="15363" width="10.625" style="30" customWidth="1"/>
    <col min="15364" max="15364" width="9" style="30"/>
    <col min="15365" max="15365" width="6.75" style="30" customWidth="1"/>
    <col min="15366" max="15366" width="12.625" style="30" customWidth="1"/>
    <col min="15367" max="15368" width="1.625" style="30" customWidth="1"/>
    <col min="15369" max="15616" width="9" style="30"/>
    <col min="15617" max="15617" width="2.375" style="30" customWidth="1"/>
    <col min="15618" max="15618" width="8.25" style="30" customWidth="1"/>
    <col min="15619" max="15619" width="10.625" style="30" customWidth="1"/>
    <col min="15620" max="15620" width="9" style="30"/>
    <col min="15621" max="15621" width="6.75" style="30" customWidth="1"/>
    <col min="15622" max="15622" width="12.625" style="30" customWidth="1"/>
    <col min="15623" max="15624" width="1.625" style="30" customWidth="1"/>
    <col min="15625" max="15872" width="9" style="30"/>
    <col min="15873" max="15873" width="2.375" style="30" customWidth="1"/>
    <col min="15874" max="15874" width="8.25" style="30" customWidth="1"/>
    <col min="15875" max="15875" width="10.625" style="30" customWidth="1"/>
    <col min="15876" max="15876" width="9" style="30"/>
    <col min="15877" max="15877" width="6.75" style="30" customWidth="1"/>
    <col min="15878" max="15878" width="12.625" style="30" customWidth="1"/>
    <col min="15879" max="15880" width="1.625" style="30" customWidth="1"/>
    <col min="15881" max="16128" width="9" style="30"/>
    <col min="16129" max="16129" width="2.375" style="30" customWidth="1"/>
    <col min="16130" max="16130" width="8.25" style="30" customWidth="1"/>
    <col min="16131" max="16131" width="10.625" style="30" customWidth="1"/>
    <col min="16132" max="16132" width="9" style="30"/>
    <col min="16133" max="16133" width="6.75" style="30" customWidth="1"/>
    <col min="16134" max="16134" width="12.625" style="30" customWidth="1"/>
    <col min="16135" max="16136" width="1.625" style="30" customWidth="1"/>
    <col min="16137" max="16384" width="9" style="30"/>
  </cols>
  <sheetData>
    <row r="1" spans="2:3" ht="39" customHeight="1" thickBot="1" x14ac:dyDescent="0.25"/>
    <row r="2" spans="2:3" x14ac:dyDescent="0.2">
      <c r="B2" s="31" t="s">
        <v>91</v>
      </c>
      <c r="C2" s="31" t="s">
        <v>92</v>
      </c>
    </row>
    <row r="3" spans="2:3" ht="16.5" x14ac:dyDescent="0.3">
      <c r="B3" s="38">
        <v>28.96</v>
      </c>
      <c r="C3" s="38">
        <v>2554.4</v>
      </c>
    </row>
    <row r="4" spans="2:3" ht="16.5" x14ac:dyDescent="0.3">
      <c r="B4" s="38">
        <v>36.159999999999997</v>
      </c>
      <c r="C4" s="38">
        <v>2567.4</v>
      </c>
    </row>
    <row r="5" spans="2:3" ht="16.5" x14ac:dyDescent="0.3">
      <c r="B5" s="38">
        <v>41.51</v>
      </c>
      <c r="C5" s="38">
        <v>2577</v>
      </c>
    </row>
    <row r="6" spans="2:3" ht="16.5" x14ac:dyDescent="0.3">
      <c r="B6" s="38">
        <v>45.81</v>
      </c>
      <c r="C6" s="38">
        <v>2584.6999999999998</v>
      </c>
    </row>
    <row r="7" spans="2:3" ht="16.5" x14ac:dyDescent="0.3">
      <c r="B7" s="38">
        <v>60.06</v>
      </c>
      <c r="C7" s="38">
        <v>2609.6999999999998</v>
      </c>
    </row>
    <row r="8" spans="2:3" ht="16.5" x14ac:dyDescent="0.3">
      <c r="B8" s="38">
        <v>69.17</v>
      </c>
      <c r="C8" s="38">
        <v>2625.3</v>
      </c>
    </row>
    <row r="9" spans="2:3" ht="16.5" x14ac:dyDescent="0.3">
      <c r="B9" s="38">
        <v>75.87</v>
      </c>
      <c r="C9" s="38">
        <v>2636.8</v>
      </c>
    </row>
    <row r="10" spans="2:3" ht="16.5" x14ac:dyDescent="0.3">
      <c r="B10" s="38">
        <v>81.33</v>
      </c>
      <c r="C10" s="38">
        <v>2645.9</v>
      </c>
    </row>
    <row r="11" spans="2:3" ht="16.5" x14ac:dyDescent="0.3">
      <c r="B11" s="38">
        <v>85.94</v>
      </c>
      <c r="C11" s="38">
        <v>2653.5</v>
      </c>
    </row>
    <row r="12" spans="2:3" ht="16.5" x14ac:dyDescent="0.3">
      <c r="B12" s="38">
        <v>89.95</v>
      </c>
      <c r="C12" s="38">
        <v>2660</v>
      </c>
    </row>
    <row r="13" spans="2:3" ht="16.5" x14ac:dyDescent="0.3">
      <c r="B13" s="38">
        <v>101.334666666667</v>
      </c>
      <c r="C13" s="38">
        <v>2680.4533333333302</v>
      </c>
    </row>
    <row r="14" spans="2:3" ht="16.5" x14ac:dyDescent="0.3">
      <c r="B14" s="38">
        <v>108.58169696969701</v>
      </c>
      <c r="C14" s="38">
        <v>2692.9957575757599</v>
      </c>
    </row>
    <row r="15" spans="2:3" ht="16.5" x14ac:dyDescent="0.3">
      <c r="B15" s="38">
        <v>115.82872727272699</v>
      </c>
      <c r="C15" s="38">
        <v>2705.53818181818</v>
      </c>
    </row>
    <row r="16" spans="2:3" ht="16.5" x14ac:dyDescent="0.3">
      <c r="B16" s="38">
        <v>123.075757575758</v>
      </c>
      <c r="C16" s="38">
        <v>2718.0806060606101</v>
      </c>
    </row>
    <row r="17" spans="2:10" ht="17.25" thickBot="1" x14ac:dyDescent="0.35">
      <c r="B17" s="38">
        <v>130.32278787878801</v>
      </c>
      <c r="C17" s="38">
        <v>2730.6230303030302</v>
      </c>
    </row>
    <row r="18" spans="2:10" ht="25.5" x14ac:dyDescent="0.3">
      <c r="B18" s="38">
        <v>137.56981818181899</v>
      </c>
      <c r="C18" s="38">
        <v>2743.1654545454498</v>
      </c>
      <c r="E18" s="31" t="s">
        <v>93</v>
      </c>
      <c r="F18" s="31" t="s">
        <v>94</v>
      </c>
    </row>
    <row r="19" spans="2:10" ht="16.5" x14ac:dyDescent="0.3">
      <c r="B19" s="38">
        <v>144.816848484849</v>
      </c>
      <c r="C19" s="38">
        <v>2755.70787878788</v>
      </c>
      <c r="E19" s="32">
        <v>170</v>
      </c>
      <c r="F19" s="34">
        <f ca="1">FORECAST(E19,OFFSET($C$4,MATCH(E19,$B$4:$B$12,1)-1,0,2),OFFSET($B$4,MATCH(E19,$B$4:$B$12,1)-1,0,2))</f>
        <v>2803.8153071382294</v>
      </c>
      <c r="H19" s="30" t="s">
        <v>95</v>
      </c>
    </row>
    <row r="20" spans="2:10" ht="16.5" x14ac:dyDescent="0.3">
      <c r="B20" s="38">
        <v>152.06387878787899</v>
      </c>
      <c r="C20" s="38">
        <v>2768.2503030303001</v>
      </c>
      <c r="E20" s="32">
        <v>175</v>
      </c>
      <c r="F20" s="34">
        <f ca="1">FORECAST(E20,OFFSET(KnownY,MATCH(E20,KnownX,1)-1,0,2),OFFSET(KnownX,MATCH(E20,KnownX,1)-1,0,2))</f>
        <v>2812.798149557857</v>
      </c>
      <c r="H20" s="30" t="s">
        <v>96</v>
      </c>
    </row>
    <row r="21" spans="2:10" ht="16.5" x14ac:dyDescent="0.3">
      <c r="B21" s="38">
        <v>159.31090909090901</v>
      </c>
      <c r="C21" s="38">
        <v>2780.7927272727302</v>
      </c>
      <c r="E21" s="32">
        <v>180</v>
      </c>
      <c r="F21" s="34">
        <f ca="1">FORECAST(E21,OFFSET(KnownA,MATCH(E21,KnownB,1)-1,0,2),OFFSET(KnownB,MATCH(E21,KnownB,1)-1,0,2))</f>
        <v>2816.5993052117487</v>
      </c>
      <c r="I21" s="30" t="s">
        <v>97</v>
      </c>
      <c r="J21" s="36" t="s">
        <v>98</v>
      </c>
    </row>
    <row r="22" spans="2:10" ht="16.5" x14ac:dyDescent="0.3">
      <c r="B22" s="38">
        <v>166.55793939393999</v>
      </c>
      <c r="C22" s="38">
        <v>2793.3351515151498</v>
      </c>
      <c r="E22" s="32">
        <v>185</v>
      </c>
      <c r="F22" s="34">
        <f ca="1">FORECAST(E22,OFFSET(KnownY,MATCH(E22,KnownX,1)-1,0,2),OFFSET(KnownX,MATCH(E22,KnownX,1)-1,0,2))</f>
        <v>2830.7638343971107</v>
      </c>
      <c r="I22" s="30" t="s">
        <v>99</v>
      </c>
      <c r="J22" s="35" t="s">
        <v>100</v>
      </c>
    </row>
    <row r="23" spans="2:10" ht="17.25" thickBot="1" x14ac:dyDescent="0.35">
      <c r="B23" s="38">
        <v>173.80496969697001</v>
      </c>
      <c r="C23" s="38">
        <v>2805.87757575758</v>
      </c>
      <c r="E23" s="33">
        <v>194</v>
      </c>
      <c r="F23" s="37">
        <f ca="1">FORECAST(E23,OFFSET(KnownY,MATCH(E23,KnownX,1)-1,0,2),OFFSET(KnownX,MATCH(E23,KnownX,1)-1,0,2))</f>
        <v>2846.9329507524399</v>
      </c>
    </row>
    <row r="24" spans="2:10" ht="16.5" x14ac:dyDescent="0.3">
      <c r="B24" s="38">
        <v>181.05199999999999</v>
      </c>
      <c r="C24" s="38">
        <v>2818.42</v>
      </c>
    </row>
    <row r="25" spans="2:10" ht="16.5" x14ac:dyDescent="0.3">
      <c r="B25" s="38">
        <v>188.299030303031</v>
      </c>
      <c r="C25" s="38">
        <v>2830.9624242424202</v>
      </c>
    </row>
    <row r="26" spans="2:10" ht="16.5" x14ac:dyDescent="0.3">
      <c r="B26" s="38">
        <v>195.54606060606099</v>
      </c>
      <c r="C26" s="38">
        <v>2843.5048484848498</v>
      </c>
    </row>
    <row r="27" spans="2:10" ht="16.5" x14ac:dyDescent="0.3">
      <c r="B27" s="38">
        <v>202.79309090909101</v>
      </c>
      <c r="C27" s="38">
        <v>2856.04727272727</v>
      </c>
    </row>
    <row r="28" spans="2:10" ht="16.5" x14ac:dyDescent="0.3">
      <c r="B28" s="38">
        <v>210.04012121212199</v>
      </c>
      <c r="C28" s="38">
        <v>2868.5896969697001</v>
      </c>
    </row>
    <row r="29" spans="2:10" ht="16.5" x14ac:dyDescent="0.3">
      <c r="B29" s="38">
        <v>217.287151515152</v>
      </c>
      <c r="C29" s="38">
        <v>2881.1321212121202</v>
      </c>
    </row>
    <row r="30" spans="2:10" ht="16.5" x14ac:dyDescent="0.3">
      <c r="B30" s="38">
        <v>224.53418181818199</v>
      </c>
      <c r="C30" s="38">
        <v>2893.6745454545498</v>
      </c>
    </row>
    <row r="31" spans="2:10" ht="16.5" x14ac:dyDescent="0.3">
      <c r="B31" s="38">
        <v>231.781212121213</v>
      </c>
      <c r="C31" s="38">
        <v>2906.21696969697</v>
      </c>
    </row>
    <row r="32" spans="2:10" ht="16.5" x14ac:dyDescent="0.3">
      <c r="B32" s="38">
        <v>239.02824242424299</v>
      </c>
      <c r="C32" s="38">
        <v>2918.7593939393901</v>
      </c>
    </row>
    <row r="33" spans="2:3" ht="16.5" x14ac:dyDescent="0.3">
      <c r="B33" s="38">
        <v>246.27527272727301</v>
      </c>
      <c r="C33" s="38">
        <v>2931.3018181818202</v>
      </c>
    </row>
    <row r="34" spans="2:3" ht="16.5" x14ac:dyDescent="0.3">
      <c r="B34" s="38">
        <v>253.52230303030299</v>
      </c>
      <c r="C34" s="38">
        <v>2943.8442424242398</v>
      </c>
    </row>
    <row r="35" spans="2:3" ht="16.5" x14ac:dyDescent="0.3">
      <c r="B35" s="38">
        <v>260.76933333333398</v>
      </c>
      <c r="C35" s="38">
        <v>2956.38666666667</v>
      </c>
    </row>
    <row r="36" spans="2:3" ht="16.5" x14ac:dyDescent="0.3">
      <c r="B36" s="38">
        <v>268.01636363636402</v>
      </c>
      <c r="C36" s="38">
        <v>2968.9290909090901</v>
      </c>
    </row>
    <row r="37" spans="2:3" ht="16.5" x14ac:dyDescent="0.3">
      <c r="B37" s="38">
        <v>275.26339393939401</v>
      </c>
      <c r="C37" s="38">
        <v>2981.4715151515202</v>
      </c>
    </row>
    <row r="38" spans="2:3" ht="16.5" x14ac:dyDescent="0.3">
      <c r="B38" s="38">
        <v>282.51042424242502</v>
      </c>
      <c r="C38" s="38">
        <v>2994.0139393939398</v>
      </c>
    </row>
    <row r="39" spans="2:3" ht="16.5" x14ac:dyDescent="0.3">
      <c r="B39" s="38">
        <v>289.757454545455</v>
      </c>
      <c r="C39" s="38">
        <v>3006.5563636363599</v>
      </c>
    </row>
    <row r="40" spans="2:3" ht="16.5" x14ac:dyDescent="0.3">
      <c r="B40" s="38">
        <v>297.00448484848499</v>
      </c>
      <c r="C40" s="38">
        <v>3019.0987878787901</v>
      </c>
    </row>
    <row r="41" spans="2:3" ht="16.5" x14ac:dyDescent="0.3">
      <c r="B41" s="38">
        <v>304.251515151516</v>
      </c>
      <c r="C41" s="38">
        <v>3031.6412121212102</v>
      </c>
    </row>
    <row r="42" spans="2:3" ht="16.5" x14ac:dyDescent="0.3">
      <c r="B42" s="38">
        <v>311.49854545454599</v>
      </c>
      <c r="C42" s="38">
        <v>3044.1836363636398</v>
      </c>
    </row>
    <row r="43" spans="2:3" ht="16.5" x14ac:dyDescent="0.3">
      <c r="B43" s="38">
        <v>318.74557575757598</v>
      </c>
      <c r="C43" s="38">
        <v>3056.7260606060599</v>
      </c>
    </row>
    <row r="44" spans="2:3" ht="16.5" x14ac:dyDescent="0.3">
      <c r="B44" s="38">
        <v>325.99260606060602</v>
      </c>
      <c r="C44" s="38">
        <v>3069.2684848484901</v>
      </c>
    </row>
    <row r="45" spans="2:3" ht="16.5" x14ac:dyDescent="0.3">
      <c r="B45" s="38">
        <v>333.23963636363698</v>
      </c>
      <c r="C45" s="38">
        <v>3081.8109090909102</v>
      </c>
    </row>
    <row r="46" spans="2:3" ht="16.5" x14ac:dyDescent="0.3">
      <c r="B46" s="38">
        <v>340.48666666666702</v>
      </c>
      <c r="C46" s="38">
        <v>3094.3533333333298</v>
      </c>
    </row>
    <row r="47" spans="2:3" ht="16.5" x14ac:dyDescent="0.3">
      <c r="B47" s="38">
        <v>347.73369696969701</v>
      </c>
      <c r="C47" s="38">
        <v>3106.8957575757599</v>
      </c>
    </row>
    <row r="48" spans="2:3" ht="16.5" x14ac:dyDescent="0.3">
      <c r="B48" s="38">
        <v>354.98072727272802</v>
      </c>
      <c r="C48" s="38">
        <v>3119.4381818181801</v>
      </c>
    </row>
    <row r="49" spans="2:3" ht="16.5" x14ac:dyDescent="0.3">
      <c r="B49" s="38">
        <v>362.22775757575801</v>
      </c>
      <c r="C49" s="38">
        <v>3131.9806060606102</v>
      </c>
    </row>
    <row r="50" spans="2:3" ht="16.5" x14ac:dyDescent="0.3">
      <c r="B50" s="38">
        <v>369.47478787878799</v>
      </c>
      <c r="C50" s="38">
        <v>3144.5230303030298</v>
      </c>
    </row>
    <row r="51" spans="2:3" ht="16.5" x14ac:dyDescent="0.3">
      <c r="B51" s="38">
        <v>376.721818181819</v>
      </c>
      <c r="C51" s="38">
        <v>3157.0654545454499</v>
      </c>
    </row>
    <row r="52" spans="2:3" ht="16.5" x14ac:dyDescent="0.3">
      <c r="B52" s="38">
        <v>383.96884848484899</v>
      </c>
      <c r="C52" s="38">
        <v>3169.6078787878801</v>
      </c>
    </row>
  </sheetData>
  <pageMargins left="0.75" right="0.75" top="1" bottom="1" header="0.5" footer="0.5"/>
  <pageSetup paperSize="9" orientation="portrait" horizontalDpi="4294967293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F23" sqref="F23"/>
    </sheetView>
  </sheetViews>
  <sheetFormatPr defaultRowHeight="12.75" x14ac:dyDescent="0.2"/>
  <cols>
    <col min="1" max="1" width="2.375" style="30" customWidth="1"/>
    <col min="2" max="2" width="8.25" style="30" customWidth="1"/>
    <col min="3" max="3" width="10.625" style="30" customWidth="1"/>
    <col min="4" max="4" width="9" style="30"/>
    <col min="5" max="5" width="6.75" style="30" customWidth="1"/>
    <col min="6" max="6" width="12.625" style="30" customWidth="1"/>
    <col min="7" max="8" width="1.625" style="30" customWidth="1"/>
    <col min="9" max="256" width="9" style="30"/>
    <col min="257" max="257" width="2.375" style="30" customWidth="1"/>
    <col min="258" max="258" width="8.25" style="30" customWidth="1"/>
    <col min="259" max="259" width="10.625" style="30" customWidth="1"/>
    <col min="260" max="260" width="9" style="30"/>
    <col min="261" max="261" width="6.75" style="30" customWidth="1"/>
    <col min="262" max="262" width="12.625" style="30" customWidth="1"/>
    <col min="263" max="264" width="1.625" style="30" customWidth="1"/>
    <col min="265" max="512" width="9" style="30"/>
    <col min="513" max="513" width="2.375" style="30" customWidth="1"/>
    <col min="514" max="514" width="8.25" style="30" customWidth="1"/>
    <col min="515" max="515" width="10.625" style="30" customWidth="1"/>
    <col min="516" max="516" width="9" style="30"/>
    <col min="517" max="517" width="6.75" style="30" customWidth="1"/>
    <col min="518" max="518" width="12.625" style="30" customWidth="1"/>
    <col min="519" max="520" width="1.625" style="30" customWidth="1"/>
    <col min="521" max="768" width="9" style="30"/>
    <col min="769" max="769" width="2.375" style="30" customWidth="1"/>
    <col min="770" max="770" width="8.25" style="30" customWidth="1"/>
    <col min="771" max="771" width="10.625" style="30" customWidth="1"/>
    <col min="772" max="772" width="9" style="30"/>
    <col min="773" max="773" width="6.75" style="30" customWidth="1"/>
    <col min="774" max="774" width="12.625" style="30" customWidth="1"/>
    <col min="775" max="776" width="1.625" style="30" customWidth="1"/>
    <col min="777" max="1024" width="9" style="30"/>
    <col min="1025" max="1025" width="2.375" style="30" customWidth="1"/>
    <col min="1026" max="1026" width="8.25" style="30" customWidth="1"/>
    <col min="1027" max="1027" width="10.625" style="30" customWidth="1"/>
    <col min="1028" max="1028" width="9" style="30"/>
    <col min="1029" max="1029" width="6.75" style="30" customWidth="1"/>
    <col min="1030" max="1030" width="12.625" style="30" customWidth="1"/>
    <col min="1031" max="1032" width="1.625" style="30" customWidth="1"/>
    <col min="1033" max="1280" width="9" style="30"/>
    <col min="1281" max="1281" width="2.375" style="30" customWidth="1"/>
    <col min="1282" max="1282" width="8.25" style="30" customWidth="1"/>
    <col min="1283" max="1283" width="10.625" style="30" customWidth="1"/>
    <col min="1284" max="1284" width="9" style="30"/>
    <col min="1285" max="1285" width="6.75" style="30" customWidth="1"/>
    <col min="1286" max="1286" width="12.625" style="30" customWidth="1"/>
    <col min="1287" max="1288" width="1.625" style="30" customWidth="1"/>
    <col min="1289" max="1536" width="9" style="30"/>
    <col min="1537" max="1537" width="2.375" style="30" customWidth="1"/>
    <col min="1538" max="1538" width="8.25" style="30" customWidth="1"/>
    <col min="1539" max="1539" width="10.625" style="30" customWidth="1"/>
    <col min="1540" max="1540" width="9" style="30"/>
    <col min="1541" max="1541" width="6.75" style="30" customWidth="1"/>
    <col min="1542" max="1542" width="12.625" style="30" customWidth="1"/>
    <col min="1543" max="1544" width="1.625" style="30" customWidth="1"/>
    <col min="1545" max="1792" width="9" style="30"/>
    <col min="1793" max="1793" width="2.375" style="30" customWidth="1"/>
    <col min="1794" max="1794" width="8.25" style="30" customWidth="1"/>
    <col min="1795" max="1795" width="10.625" style="30" customWidth="1"/>
    <col min="1796" max="1796" width="9" style="30"/>
    <col min="1797" max="1797" width="6.75" style="30" customWidth="1"/>
    <col min="1798" max="1798" width="12.625" style="30" customWidth="1"/>
    <col min="1799" max="1800" width="1.625" style="30" customWidth="1"/>
    <col min="1801" max="2048" width="9" style="30"/>
    <col min="2049" max="2049" width="2.375" style="30" customWidth="1"/>
    <col min="2050" max="2050" width="8.25" style="30" customWidth="1"/>
    <col min="2051" max="2051" width="10.625" style="30" customWidth="1"/>
    <col min="2052" max="2052" width="9" style="30"/>
    <col min="2053" max="2053" width="6.75" style="30" customWidth="1"/>
    <col min="2054" max="2054" width="12.625" style="30" customWidth="1"/>
    <col min="2055" max="2056" width="1.625" style="30" customWidth="1"/>
    <col min="2057" max="2304" width="9" style="30"/>
    <col min="2305" max="2305" width="2.375" style="30" customWidth="1"/>
    <col min="2306" max="2306" width="8.25" style="30" customWidth="1"/>
    <col min="2307" max="2307" width="10.625" style="30" customWidth="1"/>
    <col min="2308" max="2308" width="9" style="30"/>
    <col min="2309" max="2309" width="6.75" style="30" customWidth="1"/>
    <col min="2310" max="2310" width="12.625" style="30" customWidth="1"/>
    <col min="2311" max="2312" width="1.625" style="30" customWidth="1"/>
    <col min="2313" max="2560" width="9" style="30"/>
    <col min="2561" max="2561" width="2.375" style="30" customWidth="1"/>
    <col min="2562" max="2562" width="8.25" style="30" customWidth="1"/>
    <col min="2563" max="2563" width="10.625" style="30" customWidth="1"/>
    <col min="2564" max="2564" width="9" style="30"/>
    <col min="2565" max="2565" width="6.75" style="30" customWidth="1"/>
    <col min="2566" max="2566" width="12.625" style="30" customWidth="1"/>
    <col min="2567" max="2568" width="1.625" style="30" customWidth="1"/>
    <col min="2569" max="2816" width="9" style="30"/>
    <col min="2817" max="2817" width="2.375" style="30" customWidth="1"/>
    <col min="2818" max="2818" width="8.25" style="30" customWidth="1"/>
    <col min="2819" max="2819" width="10.625" style="30" customWidth="1"/>
    <col min="2820" max="2820" width="9" style="30"/>
    <col min="2821" max="2821" width="6.75" style="30" customWidth="1"/>
    <col min="2822" max="2822" width="12.625" style="30" customWidth="1"/>
    <col min="2823" max="2824" width="1.625" style="30" customWidth="1"/>
    <col min="2825" max="3072" width="9" style="30"/>
    <col min="3073" max="3073" width="2.375" style="30" customWidth="1"/>
    <col min="3074" max="3074" width="8.25" style="30" customWidth="1"/>
    <col min="3075" max="3075" width="10.625" style="30" customWidth="1"/>
    <col min="3076" max="3076" width="9" style="30"/>
    <col min="3077" max="3077" width="6.75" style="30" customWidth="1"/>
    <col min="3078" max="3078" width="12.625" style="30" customWidth="1"/>
    <col min="3079" max="3080" width="1.625" style="30" customWidth="1"/>
    <col min="3081" max="3328" width="9" style="30"/>
    <col min="3329" max="3329" width="2.375" style="30" customWidth="1"/>
    <col min="3330" max="3330" width="8.25" style="30" customWidth="1"/>
    <col min="3331" max="3331" width="10.625" style="30" customWidth="1"/>
    <col min="3332" max="3332" width="9" style="30"/>
    <col min="3333" max="3333" width="6.75" style="30" customWidth="1"/>
    <col min="3334" max="3334" width="12.625" style="30" customWidth="1"/>
    <col min="3335" max="3336" width="1.625" style="30" customWidth="1"/>
    <col min="3337" max="3584" width="9" style="30"/>
    <col min="3585" max="3585" width="2.375" style="30" customWidth="1"/>
    <col min="3586" max="3586" width="8.25" style="30" customWidth="1"/>
    <col min="3587" max="3587" width="10.625" style="30" customWidth="1"/>
    <col min="3588" max="3588" width="9" style="30"/>
    <col min="3589" max="3589" width="6.75" style="30" customWidth="1"/>
    <col min="3590" max="3590" width="12.625" style="30" customWidth="1"/>
    <col min="3591" max="3592" width="1.625" style="30" customWidth="1"/>
    <col min="3593" max="3840" width="9" style="30"/>
    <col min="3841" max="3841" width="2.375" style="30" customWidth="1"/>
    <col min="3842" max="3842" width="8.25" style="30" customWidth="1"/>
    <col min="3843" max="3843" width="10.625" style="30" customWidth="1"/>
    <col min="3844" max="3844" width="9" style="30"/>
    <col min="3845" max="3845" width="6.75" style="30" customWidth="1"/>
    <col min="3846" max="3846" width="12.625" style="30" customWidth="1"/>
    <col min="3847" max="3848" width="1.625" style="30" customWidth="1"/>
    <col min="3849" max="4096" width="9" style="30"/>
    <col min="4097" max="4097" width="2.375" style="30" customWidth="1"/>
    <col min="4098" max="4098" width="8.25" style="30" customWidth="1"/>
    <col min="4099" max="4099" width="10.625" style="30" customWidth="1"/>
    <col min="4100" max="4100" width="9" style="30"/>
    <col min="4101" max="4101" width="6.75" style="30" customWidth="1"/>
    <col min="4102" max="4102" width="12.625" style="30" customWidth="1"/>
    <col min="4103" max="4104" width="1.625" style="30" customWidth="1"/>
    <col min="4105" max="4352" width="9" style="30"/>
    <col min="4353" max="4353" width="2.375" style="30" customWidth="1"/>
    <col min="4354" max="4354" width="8.25" style="30" customWidth="1"/>
    <col min="4355" max="4355" width="10.625" style="30" customWidth="1"/>
    <col min="4356" max="4356" width="9" style="30"/>
    <col min="4357" max="4357" width="6.75" style="30" customWidth="1"/>
    <col min="4358" max="4358" width="12.625" style="30" customWidth="1"/>
    <col min="4359" max="4360" width="1.625" style="30" customWidth="1"/>
    <col min="4361" max="4608" width="9" style="30"/>
    <col min="4609" max="4609" width="2.375" style="30" customWidth="1"/>
    <col min="4610" max="4610" width="8.25" style="30" customWidth="1"/>
    <col min="4611" max="4611" width="10.625" style="30" customWidth="1"/>
    <col min="4612" max="4612" width="9" style="30"/>
    <col min="4613" max="4613" width="6.75" style="30" customWidth="1"/>
    <col min="4614" max="4614" width="12.625" style="30" customWidth="1"/>
    <col min="4615" max="4616" width="1.625" style="30" customWidth="1"/>
    <col min="4617" max="4864" width="9" style="30"/>
    <col min="4865" max="4865" width="2.375" style="30" customWidth="1"/>
    <col min="4866" max="4866" width="8.25" style="30" customWidth="1"/>
    <col min="4867" max="4867" width="10.625" style="30" customWidth="1"/>
    <col min="4868" max="4868" width="9" style="30"/>
    <col min="4869" max="4869" width="6.75" style="30" customWidth="1"/>
    <col min="4870" max="4870" width="12.625" style="30" customWidth="1"/>
    <col min="4871" max="4872" width="1.625" style="30" customWidth="1"/>
    <col min="4873" max="5120" width="9" style="30"/>
    <col min="5121" max="5121" width="2.375" style="30" customWidth="1"/>
    <col min="5122" max="5122" width="8.25" style="30" customWidth="1"/>
    <col min="5123" max="5123" width="10.625" style="30" customWidth="1"/>
    <col min="5124" max="5124" width="9" style="30"/>
    <col min="5125" max="5125" width="6.75" style="30" customWidth="1"/>
    <col min="5126" max="5126" width="12.625" style="30" customWidth="1"/>
    <col min="5127" max="5128" width="1.625" style="30" customWidth="1"/>
    <col min="5129" max="5376" width="9" style="30"/>
    <col min="5377" max="5377" width="2.375" style="30" customWidth="1"/>
    <col min="5378" max="5378" width="8.25" style="30" customWidth="1"/>
    <col min="5379" max="5379" width="10.625" style="30" customWidth="1"/>
    <col min="5380" max="5380" width="9" style="30"/>
    <col min="5381" max="5381" width="6.75" style="30" customWidth="1"/>
    <col min="5382" max="5382" width="12.625" style="30" customWidth="1"/>
    <col min="5383" max="5384" width="1.625" style="30" customWidth="1"/>
    <col min="5385" max="5632" width="9" style="30"/>
    <col min="5633" max="5633" width="2.375" style="30" customWidth="1"/>
    <col min="5634" max="5634" width="8.25" style="30" customWidth="1"/>
    <col min="5635" max="5635" width="10.625" style="30" customWidth="1"/>
    <col min="5636" max="5636" width="9" style="30"/>
    <col min="5637" max="5637" width="6.75" style="30" customWidth="1"/>
    <col min="5638" max="5638" width="12.625" style="30" customWidth="1"/>
    <col min="5639" max="5640" width="1.625" style="30" customWidth="1"/>
    <col min="5641" max="5888" width="9" style="30"/>
    <col min="5889" max="5889" width="2.375" style="30" customWidth="1"/>
    <col min="5890" max="5890" width="8.25" style="30" customWidth="1"/>
    <col min="5891" max="5891" width="10.625" style="30" customWidth="1"/>
    <col min="5892" max="5892" width="9" style="30"/>
    <col min="5893" max="5893" width="6.75" style="30" customWidth="1"/>
    <col min="5894" max="5894" width="12.625" style="30" customWidth="1"/>
    <col min="5895" max="5896" width="1.625" style="30" customWidth="1"/>
    <col min="5897" max="6144" width="9" style="30"/>
    <col min="6145" max="6145" width="2.375" style="30" customWidth="1"/>
    <col min="6146" max="6146" width="8.25" style="30" customWidth="1"/>
    <col min="6147" max="6147" width="10.625" style="30" customWidth="1"/>
    <col min="6148" max="6148" width="9" style="30"/>
    <col min="6149" max="6149" width="6.75" style="30" customWidth="1"/>
    <col min="6150" max="6150" width="12.625" style="30" customWidth="1"/>
    <col min="6151" max="6152" width="1.625" style="30" customWidth="1"/>
    <col min="6153" max="6400" width="9" style="30"/>
    <col min="6401" max="6401" width="2.375" style="30" customWidth="1"/>
    <col min="6402" max="6402" width="8.25" style="30" customWidth="1"/>
    <col min="6403" max="6403" width="10.625" style="30" customWidth="1"/>
    <col min="6404" max="6404" width="9" style="30"/>
    <col min="6405" max="6405" width="6.75" style="30" customWidth="1"/>
    <col min="6406" max="6406" width="12.625" style="30" customWidth="1"/>
    <col min="6407" max="6408" width="1.625" style="30" customWidth="1"/>
    <col min="6409" max="6656" width="9" style="30"/>
    <col min="6657" max="6657" width="2.375" style="30" customWidth="1"/>
    <col min="6658" max="6658" width="8.25" style="30" customWidth="1"/>
    <col min="6659" max="6659" width="10.625" style="30" customWidth="1"/>
    <col min="6660" max="6660" width="9" style="30"/>
    <col min="6661" max="6661" width="6.75" style="30" customWidth="1"/>
    <col min="6662" max="6662" width="12.625" style="30" customWidth="1"/>
    <col min="6663" max="6664" width="1.625" style="30" customWidth="1"/>
    <col min="6665" max="6912" width="9" style="30"/>
    <col min="6913" max="6913" width="2.375" style="30" customWidth="1"/>
    <col min="6914" max="6914" width="8.25" style="30" customWidth="1"/>
    <col min="6915" max="6915" width="10.625" style="30" customWidth="1"/>
    <col min="6916" max="6916" width="9" style="30"/>
    <col min="6917" max="6917" width="6.75" style="30" customWidth="1"/>
    <col min="6918" max="6918" width="12.625" style="30" customWidth="1"/>
    <col min="6919" max="6920" width="1.625" style="30" customWidth="1"/>
    <col min="6921" max="7168" width="9" style="30"/>
    <col min="7169" max="7169" width="2.375" style="30" customWidth="1"/>
    <col min="7170" max="7170" width="8.25" style="30" customWidth="1"/>
    <col min="7171" max="7171" width="10.625" style="30" customWidth="1"/>
    <col min="7172" max="7172" width="9" style="30"/>
    <col min="7173" max="7173" width="6.75" style="30" customWidth="1"/>
    <col min="7174" max="7174" width="12.625" style="30" customWidth="1"/>
    <col min="7175" max="7176" width="1.625" style="30" customWidth="1"/>
    <col min="7177" max="7424" width="9" style="30"/>
    <col min="7425" max="7425" width="2.375" style="30" customWidth="1"/>
    <col min="7426" max="7426" width="8.25" style="30" customWidth="1"/>
    <col min="7427" max="7427" width="10.625" style="30" customWidth="1"/>
    <col min="7428" max="7428" width="9" style="30"/>
    <col min="7429" max="7429" width="6.75" style="30" customWidth="1"/>
    <col min="7430" max="7430" width="12.625" style="30" customWidth="1"/>
    <col min="7431" max="7432" width="1.625" style="30" customWidth="1"/>
    <col min="7433" max="7680" width="9" style="30"/>
    <col min="7681" max="7681" width="2.375" style="30" customWidth="1"/>
    <col min="7682" max="7682" width="8.25" style="30" customWidth="1"/>
    <col min="7683" max="7683" width="10.625" style="30" customWidth="1"/>
    <col min="7684" max="7684" width="9" style="30"/>
    <col min="7685" max="7685" width="6.75" style="30" customWidth="1"/>
    <col min="7686" max="7686" width="12.625" style="30" customWidth="1"/>
    <col min="7687" max="7688" width="1.625" style="30" customWidth="1"/>
    <col min="7689" max="7936" width="9" style="30"/>
    <col min="7937" max="7937" width="2.375" style="30" customWidth="1"/>
    <col min="7938" max="7938" width="8.25" style="30" customWidth="1"/>
    <col min="7939" max="7939" width="10.625" style="30" customWidth="1"/>
    <col min="7940" max="7940" width="9" style="30"/>
    <col min="7941" max="7941" width="6.75" style="30" customWidth="1"/>
    <col min="7942" max="7942" width="12.625" style="30" customWidth="1"/>
    <col min="7943" max="7944" width="1.625" style="30" customWidth="1"/>
    <col min="7945" max="8192" width="9" style="30"/>
    <col min="8193" max="8193" width="2.375" style="30" customWidth="1"/>
    <col min="8194" max="8194" width="8.25" style="30" customWidth="1"/>
    <col min="8195" max="8195" width="10.625" style="30" customWidth="1"/>
    <col min="8196" max="8196" width="9" style="30"/>
    <col min="8197" max="8197" width="6.75" style="30" customWidth="1"/>
    <col min="8198" max="8198" width="12.625" style="30" customWidth="1"/>
    <col min="8199" max="8200" width="1.625" style="30" customWidth="1"/>
    <col min="8201" max="8448" width="9" style="30"/>
    <col min="8449" max="8449" width="2.375" style="30" customWidth="1"/>
    <col min="8450" max="8450" width="8.25" style="30" customWidth="1"/>
    <col min="8451" max="8451" width="10.625" style="30" customWidth="1"/>
    <col min="8452" max="8452" width="9" style="30"/>
    <col min="8453" max="8453" width="6.75" style="30" customWidth="1"/>
    <col min="8454" max="8454" width="12.625" style="30" customWidth="1"/>
    <col min="8455" max="8456" width="1.625" style="30" customWidth="1"/>
    <col min="8457" max="8704" width="9" style="30"/>
    <col min="8705" max="8705" width="2.375" style="30" customWidth="1"/>
    <col min="8706" max="8706" width="8.25" style="30" customWidth="1"/>
    <col min="8707" max="8707" width="10.625" style="30" customWidth="1"/>
    <col min="8708" max="8708" width="9" style="30"/>
    <col min="8709" max="8709" width="6.75" style="30" customWidth="1"/>
    <col min="8710" max="8710" width="12.625" style="30" customWidth="1"/>
    <col min="8711" max="8712" width="1.625" style="30" customWidth="1"/>
    <col min="8713" max="8960" width="9" style="30"/>
    <col min="8961" max="8961" width="2.375" style="30" customWidth="1"/>
    <col min="8962" max="8962" width="8.25" style="30" customWidth="1"/>
    <col min="8963" max="8963" width="10.625" style="30" customWidth="1"/>
    <col min="8964" max="8964" width="9" style="30"/>
    <col min="8965" max="8965" width="6.75" style="30" customWidth="1"/>
    <col min="8966" max="8966" width="12.625" style="30" customWidth="1"/>
    <col min="8967" max="8968" width="1.625" style="30" customWidth="1"/>
    <col min="8969" max="9216" width="9" style="30"/>
    <col min="9217" max="9217" width="2.375" style="30" customWidth="1"/>
    <col min="9218" max="9218" width="8.25" style="30" customWidth="1"/>
    <col min="9219" max="9219" width="10.625" style="30" customWidth="1"/>
    <col min="9220" max="9220" width="9" style="30"/>
    <col min="9221" max="9221" width="6.75" style="30" customWidth="1"/>
    <col min="9222" max="9222" width="12.625" style="30" customWidth="1"/>
    <col min="9223" max="9224" width="1.625" style="30" customWidth="1"/>
    <col min="9225" max="9472" width="9" style="30"/>
    <col min="9473" max="9473" width="2.375" style="30" customWidth="1"/>
    <col min="9474" max="9474" width="8.25" style="30" customWidth="1"/>
    <col min="9475" max="9475" width="10.625" style="30" customWidth="1"/>
    <col min="9476" max="9476" width="9" style="30"/>
    <col min="9477" max="9477" width="6.75" style="30" customWidth="1"/>
    <col min="9478" max="9478" width="12.625" style="30" customWidth="1"/>
    <col min="9479" max="9480" width="1.625" style="30" customWidth="1"/>
    <col min="9481" max="9728" width="9" style="30"/>
    <col min="9729" max="9729" width="2.375" style="30" customWidth="1"/>
    <col min="9730" max="9730" width="8.25" style="30" customWidth="1"/>
    <col min="9731" max="9731" width="10.625" style="30" customWidth="1"/>
    <col min="9732" max="9732" width="9" style="30"/>
    <col min="9733" max="9733" width="6.75" style="30" customWidth="1"/>
    <col min="9734" max="9734" width="12.625" style="30" customWidth="1"/>
    <col min="9735" max="9736" width="1.625" style="30" customWidth="1"/>
    <col min="9737" max="9984" width="9" style="30"/>
    <col min="9985" max="9985" width="2.375" style="30" customWidth="1"/>
    <col min="9986" max="9986" width="8.25" style="30" customWidth="1"/>
    <col min="9987" max="9987" width="10.625" style="30" customWidth="1"/>
    <col min="9988" max="9988" width="9" style="30"/>
    <col min="9989" max="9989" width="6.75" style="30" customWidth="1"/>
    <col min="9990" max="9990" width="12.625" style="30" customWidth="1"/>
    <col min="9991" max="9992" width="1.625" style="30" customWidth="1"/>
    <col min="9993" max="10240" width="9" style="30"/>
    <col min="10241" max="10241" width="2.375" style="30" customWidth="1"/>
    <col min="10242" max="10242" width="8.25" style="30" customWidth="1"/>
    <col min="10243" max="10243" width="10.625" style="30" customWidth="1"/>
    <col min="10244" max="10244" width="9" style="30"/>
    <col min="10245" max="10245" width="6.75" style="30" customWidth="1"/>
    <col min="10246" max="10246" width="12.625" style="30" customWidth="1"/>
    <col min="10247" max="10248" width="1.625" style="30" customWidth="1"/>
    <col min="10249" max="10496" width="9" style="30"/>
    <col min="10497" max="10497" width="2.375" style="30" customWidth="1"/>
    <col min="10498" max="10498" width="8.25" style="30" customWidth="1"/>
    <col min="10499" max="10499" width="10.625" style="30" customWidth="1"/>
    <col min="10500" max="10500" width="9" style="30"/>
    <col min="10501" max="10501" width="6.75" style="30" customWidth="1"/>
    <col min="10502" max="10502" width="12.625" style="30" customWidth="1"/>
    <col min="10503" max="10504" width="1.625" style="30" customWidth="1"/>
    <col min="10505" max="10752" width="9" style="30"/>
    <col min="10753" max="10753" width="2.375" style="30" customWidth="1"/>
    <col min="10754" max="10754" width="8.25" style="30" customWidth="1"/>
    <col min="10755" max="10755" width="10.625" style="30" customWidth="1"/>
    <col min="10756" max="10756" width="9" style="30"/>
    <col min="10757" max="10757" width="6.75" style="30" customWidth="1"/>
    <col min="10758" max="10758" width="12.625" style="30" customWidth="1"/>
    <col min="10759" max="10760" width="1.625" style="30" customWidth="1"/>
    <col min="10761" max="11008" width="9" style="30"/>
    <col min="11009" max="11009" width="2.375" style="30" customWidth="1"/>
    <col min="11010" max="11010" width="8.25" style="30" customWidth="1"/>
    <col min="11011" max="11011" width="10.625" style="30" customWidth="1"/>
    <col min="11012" max="11012" width="9" style="30"/>
    <col min="11013" max="11013" width="6.75" style="30" customWidth="1"/>
    <col min="11014" max="11014" width="12.625" style="30" customWidth="1"/>
    <col min="11015" max="11016" width="1.625" style="30" customWidth="1"/>
    <col min="11017" max="11264" width="9" style="30"/>
    <col min="11265" max="11265" width="2.375" style="30" customWidth="1"/>
    <col min="11266" max="11266" width="8.25" style="30" customWidth="1"/>
    <col min="11267" max="11267" width="10.625" style="30" customWidth="1"/>
    <col min="11268" max="11268" width="9" style="30"/>
    <col min="11269" max="11269" width="6.75" style="30" customWidth="1"/>
    <col min="11270" max="11270" width="12.625" style="30" customWidth="1"/>
    <col min="11271" max="11272" width="1.625" style="30" customWidth="1"/>
    <col min="11273" max="11520" width="9" style="30"/>
    <col min="11521" max="11521" width="2.375" style="30" customWidth="1"/>
    <col min="11522" max="11522" width="8.25" style="30" customWidth="1"/>
    <col min="11523" max="11523" width="10.625" style="30" customWidth="1"/>
    <col min="11524" max="11524" width="9" style="30"/>
    <col min="11525" max="11525" width="6.75" style="30" customWidth="1"/>
    <col min="11526" max="11526" width="12.625" style="30" customWidth="1"/>
    <col min="11527" max="11528" width="1.625" style="30" customWidth="1"/>
    <col min="11529" max="11776" width="9" style="30"/>
    <col min="11777" max="11777" width="2.375" style="30" customWidth="1"/>
    <col min="11778" max="11778" width="8.25" style="30" customWidth="1"/>
    <col min="11779" max="11779" width="10.625" style="30" customWidth="1"/>
    <col min="11780" max="11780" width="9" style="30"/>
    <col min="11781" max="11781" width="6.75" style="30" customWidth="1"/>
    <col min="11782" max="11782" width="12.625" style="30" customWidth="1"/>
    <col min="11783" max="11784" width="1.625" style="30" customWidth="1"/>
    <col min="11785" max="12032" width="9" style="30"/>
    <col min="12033" max="12033" width="2.375" style="30" customWidth="1"/>
    <col min="12034" max="12034" width="8.25" style="30" customWidth="1"/>
    <col min="12035" max="12035" width="10.625" style="30" customWidth="1"/>
    <col min="12036" max="12036" width="9" style="30"/>
    <col min="12037" max="12037" width="6.75" style="30" customWidth="1"/>
    <col min="12038" max="12038" width="12.625" style="30" customWidth="1"/>
    <col min="12039" max="12040" width="1.625" style="30" customWidth="1"/>
    <col min="12041" max="12288" width="9" style="30"/>
    <col min="12289" max="12289" width="2.375" style="30" customWidth="1"/>
    <col min="12290" max="12290" width="8.25" style="30" customWidth="1"/>
    <col min="12291" max="12291" width="10.625" style="30" customWidth="1"/>
    <col min="12292" max="12292" width="9" style="30"/>
    <col min="12293" max="12293" width="6.75" style="30" customWidth="1"/>
    <col min="12294" max="12294" width="12.625" style="30" customWidth="1"/>
    <col min="12295" max="12296" width="1.625" style="30" customWidth="1"/>
    <col min="12297" max="12544" width="9" style="30"/>
    <col min="12545" max="12545" width="2.375" style="30" customWidth="1"/>
    <col min="12546" max="12546" width="8.25" style="30" customWidth="1"/>
    <col min="12547" max="12547" width="10.625" style="30" customWidth="1"/>
    <col min="12548" max="12548" width="9" style="30"/>
    <col min="12549" max="12549" width="6.75" style="30" customWidth="1"/>
    <col min="12550" max="12550" width="12.625" style="30" customWidth="1"/>
    <col min="12551" max="12552" width="1.625" style="30" customWidth="1"/>
    <col min="12553" max="12800" width="9" style="30"/>
    <col min="12801" max="12801" width="2.375" style="30" customWidth="1"/>
    <col min="12802" max="12802" width="8.25" style="30" customWidth="1"/>
    <col min="12803" max="12803" width="10.625" style="30" customWidth="1"/>
    <col min="12804" max="12804" width="9" style="30"/>
    <col min="12805" max="12805" width="6.75" style="30" customWidth="1"/>
    <col min="12806" max="12806" width="12.625" style="30" customWidth="1"/>
    <col min="12807" max="12808" width="1.625" style="30" customWidth="1"/>
    <col min="12809" max="13056" width="9" style="30"/>
    <col min="13057" max="13057" width="2.375" style="30" customWidth="1"/>
    <col min="13058" max="13058" width="8.25" style="30" customWidth="1"/>
    <col min="13059" max="13059" width="10.625" style="30" customWidth="1"/>
    <col min="13060" max="13060" width="9" style="30"/>
    <col min="13061" max="13061" width="6.75" style="30" customWidth="1"/>
    <col min="13062" max="13062" width="12.625" style="30" customWidth="1"/>
    <col min="13063" max="13064" width="1.625" style="30" customWidth="1"/>
    <col min="13065" max="13312" width="9" style="30"/>
    <col min="13313" max="13313" width="2.375" style="30" customWidth="1"/>
    <col min="13314" max="13314" width="8.25" style="30" customWidth="1"/>
    <col min="13315" max="13315" width="10.625" style="30" customWidth="1"/>
    <col min="13316" max="13316" width="9" style="30"/>
    <col min="13317" max="13317" width="6.75" style="30" customWidth="1"/>
    <col min="13318" max="13318" width="12.625" style="30" customWidth="1"/>
    <col min="13319" max="13320" width="1.625" style="30" customWidth="1"/>
    <col min="13321" max="13568" width="9" style="30"/>
    <col min="13569" max="13569" width="2.375" style="30" customWidth="1"/>
    <col min="13570" max="13570" width="8.25" style="30" customWidth="1"/>
    <col min="13571" max="13571" width="10.625" style="30" customWidth="1"/>
    <col min="13572" max="13572" width="9" style="30"/>
    <col min="13573" max="13573" width="6.75" style="30" customWidth="1"/>
    <col min="13574" max="13574" width="12.625" style="30" customWidth="1"/>
    <col min="13575" max="13576" width="1.625" style="30" customWidth="1"/>
    <col min="13577" max="13824" width="9" style="30"/>
    <col min="13825" max="13825" width="2.375" style="30" customWidth="1"/>
    <col min="13826" max="13826" width="8.25" style="30" customWidth="1"/>
    <col min="13827" max="13827" width="10.625" style="30" customWidth="1"/>
    <col min="13828" max="13828" width="9" style="30"/>
    <col min="13829" max="13829" width="6.75" style="30" customWidth="1"/>
    <col min="13830" max="13830" width="12.625" style="30" customWidth="1"/>
    <col min="13831" max="13832" width="1.625" style="30" customWidth="1"/>
    <col min="13833" max="14080" width="9" style="30"/>
    <col min="14081" max="14081" width="2.375" style="30" customWidth="1"/>
    <col min="14082" max="14082" width="8.25" style="30" customWidth="1"/>
    <col min="14083" max="14083" width="10.625" style="30" customWidth="1"/>
    <col min="14084" max="14084" width="9" style="30"/>
    <col min="14085" max="14085" width="6.75" style="30" customWidth="1"/>
    <col min="14086" max="14086" width="12.625" style="30" customWidth="1"/>
    <col min="14087" max="14088" width="1.625" style="30" customWidth="1"/>
    <col min="14089" max="14336" width="9" style="30"/>
    <col min="14337" max="14337" width="2.375" style="30" customWidth="1"/>
    <col min="14338" max="14338" width="8.25" style="30" customWidth="1"/>
    <col min="14339" max="14339" width="10.625" style="30" customWidth="1"/>
    <col min="14340" max="14340" width="9" style="30"/>
    <col min="14341" max="14341" width="6.75" style="30" customWidth="1"/>
    <col min="14342" max="14342" width="12.625" style="30" customWidth="1"/>
    <col min="14343" max="14344" width="1.625" style="30" customWidth="1"/>
    <col min="14345" max="14592" width="9" style="30"/>
    <col min="14593" max="14593" width="2.375" style="30" customWidth="1"/>
    <col min="14594" max="14594" width="8.25" style="30" customWidth="1"/>
    <col min="14595" max="14595" width="10.625" style="30" customWidth="1"/>
    <col min="14596" max="14596" width="9" style="30"/>
    <col min="14597" max="14597" width="6.75" style="30" customWidth="1"/>
    <col min="14598" max="14598" width="12.625" style="30" customWidth="1"/>
    <col min="14599" max="14600" width="1.625" style="30" customWidth="1"/>
    <col min="14601" max="14848" width="9" style="30"/>
    <col min="14849" max="14849" width="2.375" style="30" customWidth="1"/>
    <col min="14850" max="14850" width="8.25" style="30" customWidth="1"/>
    <col min="14851" max="14851" width="10.625" style="30" customWidth="1"/>
    <col min="14852" max="14852" width="9" style="30"/>
    <col min="14853" max="14853" width="6.75" style="30" customWidth="1"/>
    <col min="14854" max="14854" width="12.625" style="30" customWidth="1"/>
    <col min="14855" max="14856" width="1.625" style="30" customWidth="1"/>
    <col min="14857" max="15104" width="9" style="30"/>
    <col min="15105" max="15105" width="2.375" style="30" customWidth="1"/>
    <col min="15106" max="15106" width="8.25" style="30" customWidth="1"/>
    <col min="15107" max="15107" width="10.625" style="30" customWidth="1"/>
    <col min="15108" max="15108" width="9" style="30"/>
    <col min="15109" max="15109" width="6.75" style="30" customWidth="1"/>
    <col min="15110" max="15110" width="12.625" style="30" customWidth="1"/>
    <col min="15111" max="15112" width="1.625" style="30" customWidth="1"/>
    <col min="15113" max="15360" width="9" style="30"/>
    <col min="15361" max="15361" width="2.375" style="30" customWidth="1"/>
    <col min="15362" max="15362" width="8.25" style="30" customWidth="1"/>
    <col min="15363" max="15363" width="10.625" style="30" customWidth="1"/>
    <col min="15364" max="15364" width="9" style="30"/>
    <col min="15365" max="15365" width="6.75" style="30" customWidth="1"/>
    <col min="15366" max="15366" width="12.625" style="30" customWidth="1"/>
    <col min="15367" max="15368" width="1.625" style="30" customWidth="1"/>
    <col min="15369" max="15616" width="9" style="30"/>
    <col min="15617" max="15617" width="2.375" style="30" customWidth="1"/>
    <col min="15618" max="15618" width="8.25" style="30" customWidth="1"/>
    <col min="15619" max="15619" width="10.625" style="30" customWidth="1"/>
    <col min="15620" max="15620" width="9" style="30"/>
    <col min="15621" max="15621" width="6.75" style="30" customWidth="1"/>
    <col min="15622" max="15622" width="12.625" style="30" customWidth="1"/>
    <col min="15623" max="15624" width="1.625" style="30" customWidth="1"/>
    <col min="15625" max="15872" width="9" style="30"/>
    <col min="15873" max="15873" width="2.375" style="30" customWidth="1"/>
    <col min="15874" max="15874" width="8.25" style="30" customWidth="1"/>
    <col min="15875" max="15875" width="10.625" style="30" customWidth="1"/>
    <col min="15876" max="15876" width="9" style="30"/>
    <col min="15877" max="15877" width="6.75" style="30" customWidth="1"/>
    <col min="15878" max="15878" width="12.625" style="30" customWidth="1"/>
    <col min="15879" max="15880" width="1.625" style="30" customWidth="1"/>
    <col min="15881" max="16128" width="9" style="30"/>
    <col min="16129" max="16129" width="2.375" style="30" customWidth="1"/>
    <col min="16130" max="16130" width="8.25" style="30" customWidth="1"/>
    <col min="16131" max="16131" width="10.625" style="30" customWidth="1"/>
    <col min="16132" max="16132" width="9" style="30"/>
    <col min="16133" max="16133" width="6.75" style="30" customWidth="1"/>
    <col min="16134" max="16134" width="12.625" style="30" customWidth="1"/>
    <col min="16135" max="16136" width="1.625" style="30" customWidth="1"/>
    <col min="16137" max="16384" width="9" style="30"/>
  </cols>
  <sheetData>
    <row r="1" spans="2:3" ht="39" customHeight="1" thickBot="1" x14ac:dyDescent="0.25"/>
    <row r="2" spans="2:3" x14ac:dyDescent="0.2">
      <c r="B2" s="31" t="s">
        <v>91</v>
      </c>
      <c r="C2" s="31" t="s">
        <v>92</v>
      </c>
    </row>
    <row r="3" spans="2:3" ht="16.5" x14ac:dyDescent="0.3">
      <c r="B3" s="38">
        <v>28.96</v>
      </c>
      <c r="C3" s="40">
        <v>0.42259999999999998</v>
      </c>
    </row>
    <row r="4" spans="2:3" ht="16.5" x14ac:dyDescent="0.3">
      <c r="B4" s="38">
        <v>36.159999999999997</v>
      </c>
      <c r="C4" s="40">
        <v>0.52100000000000002</v>
      </c>
    </row>
    <row r="5" spans="2:3" ht="16.5" x14ac:dyDescent="0.3">
      <c r="B5" s="38">
        <v>41.51</v>
      </c>
      <c r="C5" s="40">
        <v>0.59260000000000002</v>
      </c>
    </row>
    <row r="6" spans="2:3" ht="16.5" x14ac:dyDescent="0.3">
      <c r="B6" s="38">
        <v>45.81</v>
      </c>
      <c r="C6" s="40">
        <v>0.64929999999999999</v>
      </c>
    </row>
    <row r="7" spans="2:3" ht="16.5" x14ac:dyDescent="0.3">
      <c r="B7" s="38">
        <v>60.06</v>
      </c>
      <c r="C7" s="40">
        <v>0.83199999999999996</v>
      </c>
    </row>
    <row r="8" spans="2:3" ht="16.5" x14ac:dyDescent="0.3">
      <c r="B8" s="38">
        <v>69.17</v>
      </c>
      <c r="C8" s="40">
        <v>0.94389999999999996</v>
      </c>
    </row>
    <row r="9" spans="2:3" ht="16.5" x14ac:dyDescent="0.3">
      <c r="B9" s="38">
        <v>75.87</v>
      </c>
      <c r="C9" s="40">
        <v>1.0259</v>
      </c>
    </row>
    <row r="10" spans="2:3" ht="16.5" x14ac:dyDescent="0.3">
      <c r="B10" s="38">
        <v>81.33</v>
      </c>
      <c r="C10" s="40">
        <v>1.091</v>
      </c>
    </row>
    <row r="11" spans="2:3" ht="16.5" x14ac:dyDescent="0.3">
      <c r="B11" s="38">
        <v>85.94</v>
      </c>
      <c r="C11" s="40">
        <v>1.1453</v>
      </c>
    </row>
    <row r="12" spans="2:3" ht="16.5" x14ac:dyDescent="0.3">
      <c r="B12" s="38">
        <v>89.95</v>
      </c>
      <c r="C12" s="40">
        <v>1.1919</v>
      </c>
    </row>
    <row r="13" spans="2:3" ht="16.5" x14ac:dyDescent="0.3">
      <c r="B13" s="38">
        <v>93.5</v>
      </c>
      <c r="C13" s="40">
        <v>1.2329000000000001</v>
      </c>
    </row>
    <row r="14" spans="2:3" ht="16.5" x14ac:dyDescent="0.3">
      <c r="B14" s="38">
        <v>96.71</v>
      </c>
      <c r="C14" s="40">
        <v>1.2695000000000001</v>
      </c>
    </row>
    <row r="15" spans="2:3" ht="16.5" x14ac:dyDescent="0.3">
      <c r="B15" s="38">
        <v>99.63</v>
      </c>
      <c r="C15" s="40">
        <v>1.3026</v>
      </c>
    </row>
    <row r="16" spans="2:3" ht="16.5" x14ac:dyDescent="0.3">
      <c r="B16" s="38">
        <v>111.4</v>
      </c>
      <c r="C16" s="40">
        <v>1.4336</v>
      </c>
    </row>
    <row r="17" spans="2:10" ht="17.25" thickBot="1" x14ac:dyDescent="0.35">
      <c r="B17" s="38">
        <v>120.2</v>
      </c>
      <c r="C17" s="40">
        <v>1.5301</v>
      </c>
    </row>
    <row r="18" spans="2:10" ht="25.5" x14ac:dyDescent="0.3">
      <c r="B18" s="38">
        <v>127.4</v>
      </c>
      <c r="C18" s="40">
        <v>1.6072</v>
      </c>
      <c r="E18" s="31" t="s">
        <v>93</v>
      </c>
      <c r="F18" s="31" t="s">
        <v>94</v>
      </c>
    </row>
    <row r="19" spans="2:10" ht="16.5" x14ac:dyDescent="0.3">
      <c r="B19" s="38">
        <v>133.6</v>
      </c>
      <c r="C19" s="40">
        <v>1.6718</v>
      </c>
      <c r="E19" s="32">
        <v>170</v>
      </c>
      <c r="F19" s="34">
        <f ca="1">FORECAST(E19,OFFSET($C$4,MATCH(E19,$B$4:$B$12,1)-1,0,2),OFFSET($B$4,MATCH(E19,$B$4:$B$12,1)-1,0,2))</f>
        <v>2.1164211267605673</v>
      </c>
      <c r="H19" s="30" t="s">
        <v>95</v>
      </c>
    </row>
    <row r="20" spans="2:10" ht="16.5" x14ac:dyDescent="0.3">
      <c r="B20" s="38">
        <v>138.9</v>
      </c>
      <c r="C20" s="40">
        <v>1.7275</v>
      </c>
      <c r="E20" s="32">
        <v>175</v>
      </c>
      <c r="F20" s="34">
        <f ca="1">FORECAST(E20,OFFSET(KnownY,MATCH(E20,KnownX,1)-1,0,2),OFFSET(KnownX,MATCH(E20,KnownX,1)-1,0,2))</f>
        <v>2.1741676056338068</v>
      </c>
      <c r="H20" s="30" t="s">
        <v>96</v>
      </c>
    </row>
    <row r="21" spans="2:10" ht="16.5" x14ac:dyDescent="0.3">
      <c r="B21" s="38">
        <v>143.6</v>
      </c>
      <c r="C21" s="40">
        <v>1.7766</v>
      </c>
      <c r="E21" s="32">
        <v>180</v>
      </c>
      <c r="F21" s="34">
        <f ca="1">FORECAST(E21,OFFSET(KnownY,MATCH(E21,KnownX,1)-1,0,2),OFFSET(KnownX,MATCH(E21,KnownX,1)-1,0,2))</f>
        <v>2.2319140845070464</v>
      </c>
      <c r="I21" s="30" t="s">
        <v>97</v>
      </c>
      <c r="J21" s="36" t="s">
        <v>98</v>
      </c>
    </row>
    <row r="22" spans="2:10" ht="16.5" x14ac:dyDescent="0.3">
      <c r="B22" s="38">
        <v>147.9</v>
      </c>
      <c r="C22" s="40">
        <v>1.8207</v>
      </c>
      <c r="E22" s="32">
        <v>185</v>
      </c>
      <c r="F22" s="34">
        <f ca="1">FORECAST(E22,OFFSET(KnownY,MATCH(E22,KnownX,1)-1,0,2),OFFSET(KnownX,MATCH(E22,KnownX,1)-1,0,2))</f>
        <v>2.2896605633802869</v>
      </c>
      <c r="I22" s="30" t="s">
        <v>99</v>
      </c>
      <c r="J22" s="35" t="s">
        <v>100</v>
      </c>
    </row>
    <row r="23" spans="2:10" ht="17.25" thickBot="1" x14ac:dyDescent="0.35">
      <c r="B23" s="38">
        <v>151.9</v>
      </c>
      <c r="C23" s="40">
        <v>1.8607</v>
      </c>
      <c r="E23" s="33">
        <v>127</v>
      </c>
      <c r="F23" s="37">
        <f ca="1">FORECAST(E23,OFFSET(KnownY,MATCH(E23,KnownX,1)-1,0,2),OFFSET(KnownX,MATCH(E23,KnownX,1)-1,0,2))</f>
        <v>1.6198014084507062</v>
      </c>
    </row>
    <row r="24" spans="2:10" ht="16.5" x14ac:dyDescent="0.3">
      <c r="B24" s="38">
        <v>158.9</v>
      </c>
      <c r="C24" s="40">
        <v>1.9312</v>
      </c>
    </row>
    <row r="25" spans="2:10" ht="16.5" x14ac:dyDescent="0.3">
      <c r="B25" s="38">
        <v>165</v>
      </c>
      <c r="C25" s="40">
        <v>1.9922</v>
      </c>
    </row>
    <row r="26" spans="2:10" ht="16.5" x14ac:dyDescent="0.3">
      <c r="B26" s="38">
        <v>170.4</v>
      </c>
      <c r="C26" s="40">
        <v>2.0461999999999998</v>
      </c>
    </row>
    <row r="27" spans="2:10" ht="16.5" x14ac:dyDescent="0.3">
      <c r="B27" s="38">
        <v>175.4</v>
      </c>
      <c r="C27" s="40">
        <v>2.0945999999999998</v>
      </c>
    </row>
    <row r="28" spans="2:10" ht="16.5" x14ac:dyDescent="0.3">
      <c r="B28" s="38">
        <v>179.9</v>
      </c>
      <c r="C28" s="40">
        <v>2.1387</v>
      </c>
    </row>
    <row r="29" spans="2:10" ht="16.5" x14ac:dyDescent="0.3">
      <c r="B29" s="38">
        <v>198.3</v>
      </c>
      <c r="C29" s="40">
        <v>2.3149999999999999</v>
      </c>
    </row>
    <row r="30" spans="2:10" ht="16.5" x14ac:dyDescent="0.3">
      <c r="B30" s="38">
        <v>212.4</v>
      </c>
      <c r="C30" s="40">
        <v>2.4474</v>
      </c>
    </row>
    <row r="31" spans="2:10" ht="16.5" x14ac:dyDescent="0.3">
      <c r="B31" s="38">
        <v>224</v>
      </c>
      <c r="C31" s="40">
        <v>2.5547</v>
      </c>
    </row>
    <row r="32" spans="2:10" ht="16.5" x14ac:dyDescent="0.3">
      <c r="B32" s="38">
        <v>233.9</v>
      </c>
      <c r="C32" s="40">
        <v>2.6457000000000002</v>
      </c>
    </row>
    <row r="33" spans="2:3" ht="16.5" x14ac:dyDescent="0.3">
      <c r="B33" s="38">
        <v>242.6</v>
      </c>
      <c r="C33" s="40">
        <v>2.7252999999999998</v>
      </c>
    </row>
    <row r="34" spans="2:3" ht="16.5" x14ac:dyDescent="0.3">
      <c r="B34" s="38">
        <v>250.4</v>
      </c>
      <c r="C34" s="40">
        <v>2.7964000000000002</v>
      </c>
    </row>
    <row r="35" spans="2:3" ht="16.5" x14ac:dyDescent="0.3">
      <c r="B35" s="38">
        <v>257.5</v>
      </c>
      <c r="C35" s="40">
        <v>2.8610000000000002</v>
      </c>
    </row>
    <row r="36" spans="2:3" ht="16.5" x14ac:dyDescent="0.3">
      <c r="B36" s="38">
        <v>264</v>
      </c>
      <c r="C36" s="40">
        <v>2.9201999999999999</v>
      </c>
    </row>
    <row r="37" spans="2:3" ht="16.5" x14ac:dyDescent="0.3">
      <c r="B37" s="38">
        <v>275.60000000000002</v>
      </c>
      <c r="C37" s="40">
        <v>3.0266999999999999</v>
      </c>
    </row>
    <row r="38" spans="2:3" ht="16.5" x14ac:dyDescent="0.3">
      <c r="B38" s="38">
        <v>285.89999999999998</v>
      </c>
      <c r="C38" s="40">
        <v>3.1211000000000002</v>
      </c>
    </row>
    <row r="39" spans="2:3" ht="16.5" x14ac:dyDescent="0.3">
      <c r="B39" s="38">
        <v>295.10000000000002</v>
      </c>
      <c r="C39" s="40">
        <v>3.2067999999999999</v>
      </c>
    </row>
    <row r="40" spans="2:3" ht="16.5" x14ac:dyDescent="0.3">
      <c r="B40" s="38">
        <v>303.39999999999998</v>
      </c>
      <c r="C40" s="40">
        <v>3.2858000000000001</v>
      </c>
    </row>
    <row r="41" spans="2:3" ht="16.5" x14ac:dyDescent="0.3">
      <c r="B41" s="38">
        <v>311.10000000000002</v>
      </c>
      <c r="C41" s="40">
        <v>3.3595999999999999</v>
      </c>
    </row>
    <row r="42" spans="2:3" ht="16.5" x14ac:dyDescent="0.3">
      <c r="B42" s="38">
        <v>318.2</v>
      </c>
      <c r="C42" s="40">
        <v>3.4295</v>
      </c>
    </row>
    <row r="43" spans="2:3" ht="16.5" x14ac:dyDescent="0.3">
      <c r="B43" s="38">
        <v>324.8</v>
      </c>
      <c r="C43" s="40">
        <v>3.4962</v>
      </c>
    </row>
    <row r="44" spans="2:3" ht="16.5" x14ac:dyDescent="0.3">
      <c r="B44" s="38">
        <v>330.9</v>
      </c>
      <c r="C44" s="40">
        <v>3.5605000000000002</v>
      </c>
    </row>
    <row r="45" spans="2:3" ht="16.5" x14ac:dyDescent="0.3">
      <c r="B45" s="38">
        <v>336.8</v>
      </c>
      <c r="C45" s="40">
        <v>3.6232000000000002</v>
      </c>
    </row>
    <row r="46" spans="2:3" ht="16.5" x14ac:dyDescent="0.3">
      <c r="B46" s="38">
        <v>342.2</v>
      </c>
      <c r="C46" s="40">
        <v>3.6848000000000001</v>
      </c>
    </row>
    <row r="47" spans="2:3" ht="16.5" x14ac:dyDescent="0.3">
      <c r="B47" s="38">
        <v>347.4</v>
      </c>
      <c r="C47" s="40">
        <v>3.7461000000000002</v>
      </c>
    </row>
    <row r="48" spans="2:3" ht="16.5" x14ac:dyDescent="0.3">
      <c r="B48" s="38">
        <v>352.4</v>
      </c>
      <c r="C48" s="40">
        <v>3.8079000000000001</v>
      </c>
    </row>
    <row r="49" spans="2:3" ht="16.5" x14ac:dyDescent="0.3">
      <c r="B49" s="38">
        <v>357.1</v>
      </c>
      <c r="C49" s="40">
        <v>3.8715000000000002</v>
      </c>
    </row>
    <row r="50" spans="2:3" ht="16.5" x14ac:dyDescent="0.3">
      <c r="B50" s="38">
        <v>361.5</v>
      </c>
      <c r="C50" s="40">
        <v>3.9388000000000001</v>
      </c>
    </row>
    <row r="51" spans="2:3" ht="16.5" x14ac:dyDescent="0.3">
      <c r="B51" s="38">
        <v>365.8</v>
      </c>
      <c r="C51" s="40">
        <v>4.0138999999999996</v>
      </c>
    </row>
    <row r="52" spans="2:3" ht="16.5" x14ac:dyDescent="0.3">
      <c r="B52" s="38">
        <v>374.1</v>
      </c>
      <c r="C52" s="40">
        <v>4.4298000000000002</v>
      </c>
    </row>
  </sheetData>
  <hyperlinks>
    <hyperlink ref="C27" r:id="rId1" display="http://www.BlueLeafSoftware.com/Products/Dagra/LinearInterpolationExcel.php"/>
  </hyperlinks>
  <pageMargins left="0.75" right="0.75" top="1" bottom="1" header="0.5" footer="0.5"/>
  <pageSetup paperSize="9" orientation="portrait" horizontalDpi="4294967293" verticalDpi="0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opLeftCell="A2" workbookViewId="0">
      <selection activeCell="C24" sqref="C24"/>
    </sheetView>
  </sheetViews>
  <sheetFormatPr defaultRowHeight="12.75" x14ac:dyDescent="0.2"/>
  <cols>
    <col min="1" max="1" width="2.375" style="30" customWidth="1"/>
    <col min="2" max="2" width="8.25" style="30" customWidth="1"/>
    <col min="3" max="3" width="10.625" style="30" customWidth="1"/>
    <col min="4" max="4" width="9" style="30"/>
    <col min="5" max="5" width="6.75" style="30" customWidth="1"/>
    <col min="6" max="6" width="12.625" style="30" customWidth="1"/>
    <col min="7" max="8" width="1.625" style="30" customWidth="1"/>
    <col min="9" max="256" width="9" style="30"/>
    <col min="257" max="257" width="2.375" style="30" customWidth="1"/>
    <col min="258" max="258" width="8.25" style="30" customWidth="1"/>
    <col min="259" max="259" width="10.625" style="30" customWidth="1"/>
    <col min="260" max="260" width="9" style="30"/>
    <col min="261" max="261" width="6.75" style="30" customWidth="1"/>
    <col min="262" max="262" width="12.625" style="30" customWidth="1"/>
    <col min="263" max="264" width="1.625" style="30" customWidth="1"/>
    <col min="265" max="512" width="9" style="30"/>
    <col min="513" max="513" width="2.375" style="30" customWidth="1"/>
    <col min="514" max="514" width="8.25" style="30" customWidth="1"/>
    <col min="515" max="515" width="10.625" style="30" customWidth="1"/>
    <col min="516" max="516" width="9" style="30"/>
    <col min="517" max="517" width="6.75" style="30" customWidth="1"/>
    <col min="518" max="518" width="12.625" style="30" customWidth="1"/>
    <col min="519" max="520" width="1.625" style="30" customWidth="1"/>
    <col min="521" max="768" width="9" style="30"/>
    <col min="769" max="769" width="2.375" style="30" customWidth="1"/>
    <col min="770" max="770" width="8.25" style="30" customWidth="1"/>
    <col min="771" max="771" width="10.625" style="30" customWidth="1"/>
    <col min="772" max="772" width="9" style="30"/>
    <col min="773" max="773" width="6.75" style="30" customWidth="1"/>
    <col min="774" max="774" width="12.625" style="30" customWidth="1"/>
    <col min="775" max="776" width="1.625" style="30" customWidth="1"/>
    <col min="777" max="1024" width="9" style="30"/>
    <col min="1025" max="1025" width="2.375" style="30" customWidth="1"/>
    <col min="1026" max="1026" width="8.25" style="30" customWidth="1"/>
    <col min="1027" max="1027" width="10.625" style="30" customWidth="1"/>
    <col min="1028" max="1028" width="9" style="30"/>
    <col min="1029" max="1029" width="6.75" style="30" customWidth="1"/>
    <col min="1030" max="1030" width="12.625" style="30" customWidth="1"/>
    <col min="1031" max="1032" width="1.625" style="30" customWidth="1"/>
    <col min="1033" max="1280" width="9" style="30"/>
    <col min="1281" max="1281" width="2.375" style="30" customWidth="1"/>
    <col min="1282" max="1282" width="8.25" style="30" customWidth="1"/>
    <col min="1283" max="1283" width="10.625" style="30" customWidth="1"/>
    <col min="1284" max="1284" width="9" style="30"/>
    <col min="1285" max="1285" width="6.75" style="30" customWidth="1"/>
    <col min="1286" max="1286" width="12.625" style="30" customWidth="1"/>
    <col min="1287" max="1288" width="1.625" style="30" customWidth="1"/>
    <col min="1289" max="1536" width="9" style="30"/>
    <col min="1537" max="1537" width="2.375" style="30" customWidth="1"/>
    <col min="1538" max="1538" width="8.25" style="30" customWidth="1"/>
    <col min="1539" max="1539" width="10.625" style="30" customWidth="1"/>
    <col min="1540" max="1540" width="9" style="30"/>
    <col min="1541" max="1541" width="6.75" style="30" customWidth="1"/>
    <col min="1542" max="1542" width="12.625" style="30" customWidth="1"/>
    <col min="1543" max="1544" width="1.625" style="30" customWidth="1"/>
    <col min="1545" max="1792" width="9" style="30"/>
    <col min="1793" max="1793" width="2.375" style="30" customWidth="1"/>
    <col min="1794" max="1794" width="8.25" style="30" customWidth="1"/>
    <col min="1795" max="1795" width="10.625" style="30" customWidth="1"/>
    <col min="1796" max="1796" width="9" style="30"/>
    <col min="1797" max="1797" width="6.75" style="30" customWidth="1"/>
    <col min="1798" max="1798" width="12.625" style="30" customWidth="1"/>
    <col min="1799" max="1800" width="1.625" style="30" customWidth="1"/>
    <col min="1801" max="2048" width="9" style="30"/>
    <col min="2049" max="2049" width="2.375" style="30" customWidth="1"/>
    <col min="2050" max="2050" width="8.25" style="30" customWidth="1"/>
    <col min="2051" max="2051" width="10.625" style="30" customWidth="1"/>
    <col min="2052" max="2052" width="9" style="30"/>
    <col min="2053" max="2053" width="6.75" style="30" customWidth="1"/>
    <col min="2054" max="2054" width="12.625" style="30" customWidth="1"/>
    <col min="2055" max="2056" width="1.625" style="30" customWidth="1"/>
    <col min="2057" max="2304" width="9" style="30"/>
    <col min="2305" max="2305" width="2.375" style="30" customWidth="1"/>
    <col min="2306" max="2306" width="8.25" style="30" customWidth="1"/>
    <col min="2307" max="2307" width="10.625" style="30" customWidth="1"/>
    <col min="2308" max="2308" width="9" style="30"/>
    <col min="2309" max="2309" width="6.75" style="30" customWidth="1"/>
    <col min="2310" max="2310" width="12.625" style="30" customWidth="1"/>
    <col min="2311" max="2312" width="1.625" style="30" customWidth="1"/>
    <col min="2313" max="2560" width="9" style="30"/>
    <col min="2561" max="2561" width="2.375" style="30" customWidth="1"/>
    <col min="2562" max="2562" width="8.25" style="30" customWidth="1"/>
    <col min="2563" max="2563" width="10.625" style="30" customWidth="1"/>
    <col min="2564" max="2564" width="9" style="30"/>
    <col min="2565" max="2565" width="6.75" style="30" customWidth="1"/>
    <col min="2566" max="2566" width="12.625" style="30" customWidth="1"/>
    <col min="2567" max="2568" width="1.625" style="30" customWidth="1"/>
    <col min="2569" max="2816" width="9" style="30"/>
    <col min="2817" max="2817" width="2.375" style="30" customWidth="1"/>
    <col min="2818" max="2818" width="8.25" style="30" customWidth="1"/>
    <col min="2819" max="2819" width="10.625" style="30" customWidth="1"/>
    <col min="2820" max="2820" width="9" style="30"/>
    <col min="2821" max="2821" width="6.75" style="30" customWidth="1"/>
    <col min="2822" max="2822" width="12.625" style="30" customWidth="1"/>
    <col min="2823" max="2824" width="1.625" style="30" customWidth="1"/>
    <col min="2825" max="3072" width="9" style="30"/>
    <col min="3073" max="3073" width="2.375" style="30" customWidth="1"/>
    <col min="3074" max="3074" width="8.25" style="30" customWidth="1"/>
    <col min="3075" max="3075" width="10.625" style="30" customWidth="1"/>
    <col min="3076" max="3076" width="9" style="30"/>
    <col min="3077" max="3077" width="6.75" style="30" customWidth="1"/>
    <col min="3078" max="3078" width="12.625" style="30" customWidth="1"/>
    <col min="3079" max="3080" width="1.625" style="30" customWidth="1"/>
    <col min="3081" max="3328" width="9" style="30"/>
    <col min="3329" max="3329" width="2.375" style="30" customWidth="1"/>
    <col min="3330" max="3330" width="8.25" style="30" customWidth="1"/>
    <col min="3331" max="3331" width="10.625" style="30" customWidth="1"/>
    <col min="3332" max="3332" width="9" style="30"/>
    <col min="3333" max="3333" width="6.75" style="30" customWidth="1"/>
    <col min="3334" max="3334" width="12.625" style="30" customWidth="1"/>
    <col min="3335" max="3336" width="1.625" style="30" customWidth="1"/>
    <col min="3337" max="3584" width="9" style="30"/>
    <col min="3585" max="3585" width="2.375" style="30" customWidth="1"/>
    <col min="3586" max="3586" width="8.25" style="30" customWidth="1"/>
    <col min="3587" max="3587" width="10.625" style="30" customWidth="1"/>
    <col min="3588" max="3588" width="9" style="30"/>
    <col min="3589" max="3589" width="6.75" style="30" customWidth="1"/>
    <col min="3590" max="3590" width="12.625" style="30" customWidth="1"/>
    <col min="3591" max="3592" width="1.625" style="30" customWidth="1"/>
    <col min="3593" max="3840" width="9" style="30"/>
    <col min="3841" max="3841" width="2.375" style="30" customWidth="1"/>
    <col min="3842" max="3842" width="8.25" style="30" customWidth="1"/>
    <col min="3843" max="3843" width="10.625" style="30" customWidth="1"/>
    <col min="3844" max="3844" width="9" style="30"/>
    <col min="3845" max="3845" width="6.75" style="30" customWidth="1"/>
    <col min="3846" max="3846" width="12.625" style="30" customWidth="1"/>
    <col min="3847" max="3848" width="1.625" style="30" customWidth="1"/>
    <col min="3849" max="4096" width="9" style="30"/>
    <col min="4097" max="4097" width="2.375" style="30" customWidth="1"/>
    <col min="4098" max="4098" width="8.25" style="30" customWidth="1"/>
    <col min="4099" max="4099" width="10.625" style="30" customWidth="1"/>
    <col min="4100" max="4100" width="9" style="30"/>
    <col min="4101" max="4101" width="6.75" style="30" customWidth="1"/>
    <col min="4102" max="4102" width="12.625" style="30" customWidth="1"/>
    <col min="4103" max="4104" width="1.625" style="30" customWidth="1"/>
    <col min="4105" max="4352" width="9" style="30"/>
    <col min="4353" max="4353" width="2.375" style="30" customWidth="1"/>
    <col min="4354" max="4354" width="8.25" style="30" customWidth="1"/>
    <col min="4355" max="4355" width="10.625" style="30" customWidth="1"/>
    <col min="4356" max="4356" width="9" style="30"/>
    <col min="4357" max="4357" width="6.75" style="30" customWidth="1"/>
    <col min="4358" max="4358" width="12.625" style="30" customWidth="1"/>
    <col min="4359" max="4360" width="1.625" style="30" customWidth="1"/>
    <col min="4361" max="4608" width="9" style="30"/>
    <col min="4609" max="4609" width="2.375" style="30" customWidth="1"/>
    <col min="4610" max="4610" width="8.25" style="30" customWidth="1"/>
    <col min="4611" max="4611" width="10.625" style="30" customWidth="1"/>
    <col min="4612" max="4612" width="9" style="30"/>
    <col min="4613" max="4613" width="6.75" style="30" customWidth="1"/>
    <col min="4614" max="4614" width="12.625" style="30" customWidth="1"/>
    <col min="4615" max="4616" width="1.625" style="30" customWidth="1"/>
    <col min="4617" max="4864" width="9" style="30"/>
    <col min="4865" max="4865" width="2.375" style="30" customWidth="1"/>
    <col min="4866" max="4866" width="8.25" style="30" customWidth="1"/>
    <col min="4867" max="4867" width="10.625" style="30" customWidth="1"/>
    <col min="4868" max="4868" width="9" style="30"/>
    <col min="4869" max="4869" width="6.75" style="30" customWidth="1"/>
    <col min="4870" max="4870" width="12.625" style="30" customWidth="1"/>
    <col min="4871" max="4872" width="1.625" style="30" customWidth="1"/>
    <col min="4873" max="5120" width="9" style="30"/>
    <col min="5121" max="5121" width="2.375" style="30" customWidth="1"/>
    <col min="5122" max="5122" width="8.25" style="30" customWidth="1"/>
    <col min="5123" max="5123" width="10.625" style="30" customWidth="1"/>
    <col min="5124" max="5124" width="9" style="30"/>
    <col min="5125" max="5125" width="6.75" style="30" customWidth="1"/>
    <col min="5126" max="5126" width="12.625" style="30" customWidth="1"/>
    <col min="5127" max="5128" width="1.625" style="30" customWidth="1"/>
    <col min="5129" max="5376" width="9" style="30"/>
    <col min="5377" max="5377" width="2.375" style="30" customWidth="1"/>
    <col min="5378" max="5378" width="8.25" style="30" customWidth="1"/>
    <col min="5379" max="5379" width="10.625" style="30" customWidth="1"/>
    <col min="5380" max="5380" width="9" style="30"/>
    <col min="5381" max="5381" width="6.75" style="30" customWidth="1"/>
    <col min="5382" max="5382" width="12.625" style="30" customWidth="1"/>
    <col min="5383" max="5384" width="1.625" style="30" customWidth="1"/>
    <col min="5385" max="5632" width="9" style="30"/>
    <col min="5633" max="5633" width="2.375" style="30" customWidth="1"/>
    <col min="5634" max="5634" width="8.25" style="30" customWidth="1"/>
    <col min="5635" max="5635" width="10.625" style="30" customWidth="1"/>
    <col min="5636" max="5636" width="9" style="30"/>
    <col min="5637" max="5637" width="6.75" style="30" customWidth="1"/>
    <col min="5638" max="5638" width="12.625" style="30" customWidth="1"/>
    <col min="5639" max="5640" width="1.625" style="30" customWidth="1"/>
    <col min="5641" max="5888" width="9" style="30"/>
    <col min="5889" max="5889" width="2.375" style="30" customWidth="1"/>
    <col min="5890" max="5890" width="8.25" style="30" customWidth="1"/>
    <col min="5891" max="5891" width="10.625" style="30" customWidth="1"/>
    <col min="5892" max="5892" width="9" style="30"/>
    <col min="5893" max="5893" width="6.75" style="30" customWidth="1"/>
    <col min="5894" max="5894" width="12.625" style="30" customWidth="1"/>
    <col min="5895" max="5896" width="1.625" style="30" customWidth="1"/>
    <col min="5897" max="6144" width="9" style="30"/>
    <col min="6145" max="6145" width="2.375" style="30" customWidth="1"/>
    <col min="6146" max="6146" width="8.25" style="30" customWidth="1"/>
    <col min="6147" max="6147" width="10.625" style="30" customWidth="1"/>
    <col min="6148" max="6148" width="9" style="30"/>
    <col min="6149" max="6149" width="6.75" style="30" customWidth="1"/>
    <col min="6150" max="6150" width="12.625" style="30" customWidth="1"/>
    <col min="6151" max="6152" width="1.625" style="30" customWidth="1"/>
    <col min="6153" max="6400" width="9" style="30"/>
    <col min="6401" max="6401" width="2.375" style="30" customWidth="1"/>
    <col min="6402" max="6402" width="8.25" style="30" customWidth="1"/>
    <col min="6403" max="6403" width="10.625" style="30" customWidth="1"/>
    <col min="6404" max="6404" width="9" style="30"/>
    <col min="6405" max="6405" width="6.75" style="30" customWidth="1"/>
    <col min="6406" max="6406" width="12.625" style="30" customWidth="1"/>
    <col min="6407" max="6408" width="1.625" style="30" customWidth="1"/>
    <col min="6409" max="6656" width="9" style="30"/>
    <col min="6657" max="6657" width="2.375" style="30" customWidth="1"/>
    <col min="6658" max="6658" width="8.25" style="30" customWidth="1"/>
    <col min="6659" max="6659" width="10.625" style="30" customWidth="1"/>
    <col min="6660" max="6660" width="9" style="30"/>
    <col min="6661" max="6661" width="6.75" style="30" customWidth="1"/>
    <col min="6662" max="6662" width="12.625" style="30" customWidth="1"/>
    <col min="6663" max="6664" width="1.625" style="30" customWidth="1"/>
    <col min="6665" max="6912" width="9" style="30"/>
    <col min="6913" max="6913" width="2.375" style="30" customWidth="1"/>
    <col min="6914" max="6914" width="8.25" style="30" customWidth="1"/>
    <col min="6915" max="6915" width="10.625" style="30" customWidth="1"/>
    <col min="6916" max="6916" width="9" style="30"/>
    <col min="6917" max="6917" width="6.75" style="30" customWidth="1"/>
    <col min="6918" max="6918" width="12.625" style="30" customWidth="1"/>
    <col min="6919" max="6920" width="1.625" style="30" customWidth="1"/>
    <col min="6921" max="7168" width="9" style="30"/>
    <col min="7169" max="7169" width="2.375" style="30" customWidth="1"/>
    <col min="7170" max="7170" width="8.25" style="30" customWidth="1"/>
    <col min="7171" max="7171" width="10.625" style="30" customWidth="1"/>
    <col min="7172" max="7172" width="9" style="30"/>
    <col min="7173" max="7173" width="6.75" style="30" customWidth="1"/>
    <col min="7174" max="7174" width="12.625" style="30" customWidth="1"/>
    <col min="7175" max="7176" width="1.625" style="30" customWidth="1"/>
    <col min="7177" max="7424" width="9" style="30"/>
    <col min="7425" max="7425" width="2.375" style="30" customWidth="1"/>
    <col min="7426" max="7426" width="8.25" style="30" customWidth="1"/>
    <col min="7427" max="7427" width="10.625" style="30" customWidth="1"/>
    <col min="7428" max="7428" width="9" style="30"/>
    <col min="7429" max="7429" width="6.75" style="30" customWidth="1"/>
    <col min="7430" max="7430" width="12.625" style="30" customWidth="1"/>
    <col min="7431" max="7432" width="1.625" style="30" customWidth="1"/>
    <col min="7433" max="7680" width="9" style="30"/>
    <col min="7681" max="7681" width="2.375" style="30" customWidth="1"/>
    <col min="7682" max="7682" width="8.25" style="30" customWidth="1"/>
    <col min="7683" max="7683" width="10.625" style="30" customWidth="1"/>
    <col min="7684" max="7684" width="9" style="30"/>
    <col min="7685" max="7685" width="6.75" style="30" customWidth="1"/>
    <col min="7686" max="7686" width="12.625" style="30" customWidth="1"/>
    <col min="7687" max="7688" width="1.625" style="30" customWidth="1"/>
    <col min="7689" max="7936" width="9" style="30"/>
    <col min="7937" max="7937" width="2.375" style="30" customWidth="1"/>
    <col min="7938" max="7938" width="8.25" style="30" customWidth="1"/>
    <col min="7939" max="7939" width="10.625" style="30" customWidth="1"/>
    <col min="7940" max="7940" width="9" style="30"/>
    <col min="7941" max="7941" width="6.75" style="30" customWidth="1"/>
    <col min="7942" max="7942" width="12.625" style="30" customWidth="1"/>
    <col min="7943" max="7944" width="1.625" style="30" customWidth="1"/>
    <col min="7945" max="8192" width="9" style="30"/>
    <col min="8193" max="8193" width="2.375" style="30" customWidth="1"/>
    <col min="8194" max="8194" width="8.25" style="30" customWidth="1"/>
    <col min="8195" max="8195" width="10.625" style="30" customWidth="1"/>
    <col min="8196" max="8196" width="9" style="30"/>
    <col min="8197" max="8197" width="6.75" style="30" customWidth="1"/>
    <col min="8198" max="8198" width="12.625" style="30" customWidth="1"/>
    <col min="8199" max="8200" width="1.625" style="30" customWidth="1"/>
    <col min="8201" max="8448" width="9" style="30"/>
    <col min="8449" max="8449" width="2.375" style="30" customWidth="1"/>
    <col min="8450" max="8450" width="8.25" style="30" customWidth="1"/>
    <col min="8451" max="8451" width="10.625" style="30" customWidth="1"/>
    <col min="8452" max="8452" width="9" style="30"/>
    <col min="8453" max="8453" width="6.75" style="30" customWidth="1"/>
    <col min="8454" max="8454" width="12.625" style="30" customWidth="1"/>
    <col min="8455" max="8456" width="1.625" style="30" customWidth="1"/>
    <col min="8457" max="8704" width="9" style="30"/>
    <col min="8705" max="8705" width="2.375" style="30" customWidth="1"/>
    <col min="8706" max="8706" width="8.25" style="30" customWidth="1"/>
    <col min="8707" max="8707" width="10.625" style="30" customWidth="1"/>
    <col min="8708" max="8708" width="9" style="30"/>
    <col min="8709" max="8709" width="6.75" style="30" customWidth="1"/>
    <col min="8710" max="8710" width="12.625" style="30" customWidth="1"/>
    <col min="8711" max="8712" width="1.625" style="30" customWidth="1"/>
    <col min="8713" max="8960" width="9" style="30"/>
    <col min="8961" max="8961" width="2.375" style="30" customWidth="1"/>
    <col min="8962" max="8962" width="8.25" style="30" customWidth="1"/>
    <col min="8963" max="8963" width="10.625" style="30" customWidth="1"/>
    <col min="8964" max="8964" width="9" style="30"/>
    <col min="8965" max="8965" width="6.75" style="30" customWidth="1"/>
    <col min="8966" max="8966" width="12.625" style="30" customWidth="1"/>
    <col min="8967" max="8968" width="1.625" style="30" customWidth="1"/>
    <col min="8969" max="9216" width="9" style="30"/>
    <col min="9217" max="9217" width="2.375" style="30" customWidth="1"/>
    <col min="9218" max="9218" width="8.25" style="30" customWidth="1"/>
    <col min="9219" max="9219" width="10.625" style="30" customWidth="1"/>
    <col min="9220" max="9220" width="9" style="30"/>
    <col min="9221" max="9221" width="6.75" style="30" customWidth="1"/>
    <col min="9222" max="9222" width="12.625" style="30" customWidth="1"/>
    <col min="9223" max="9224" width="1.625" style="30" customWidth="1"/>
    <col min="9225" max="9472" width="9" style="30"/>
    <col min="9473" max="9473" width="2.375" style="30" customWidth="1"/>
    <col min="9474" max="9474" width="8.25" style="30" customWidth="1"/>
    <col min="9475" max="9475" width="10.625" style="30" customWidth="1"/>
    <col min="9476" max="9476" width="9" style="30"/>
    <col min="9477" max="9477" width="6.75" style="30" customWidth="1"/>
    <col min="9478" max="9478" width="12.625" style="30" customWidth="1"/>
    <col min="9479" max="9480" width="1.625" style="30" customWidth="1"/>
    <col min="9481" max="9728" width="9" style="30"/>
    <col min="9729" max="9729" width="2.375" style="30" customWidth="1"/>
    <col min="9730" max="9730" width="8.25" style="30" customWidth="1"/>
    <col min="9731" max="9731" width="10.625" style="30" customWidth="1"/>
    <col min="9732" max="9732" width="9" style="30"/>
    <col min="9733" max="9733" width="6.75" style="30" customWidth="1"/>
    <col min="9734" max="9734" width="12.625" style="30" customWidth="1"/>
    <col min="9735" max="9736" width="1.625" style="30" customWidth="1"/>
    <col min="9737" max="9984" width="9" style="30"/>
    <col min="9985" max="9985" width="2.375" style="30" customWidth="1"/>
    <col min="9986" max="9986" width="8.25" style="30" customWidth="1"/>
    <col min="9987" max="9987" width="10.625" style="30" customWidth="1"/>
    <col min="9988" max="9988" width="9" style="30"/>
    <col min="9989" max="9989" width="6.75" style="30" customWidth="1"/>
    <col min="9990" max="9990" width="12.625" style="30" customWidth="1"/>
    <col min="9991" max="9992" width="1.625" style="30" customWidth="1"/>
    <col min="9993" max="10240" width="9" style="30"/>
    <col min="10241" max="10241" width="2.375" style="30" customWidth="1"/>
    <col min="10242" max="10242" width="8.25" style="30" customWidth="1"/>
    <col min="10243" max="10243" width="10.625" style="30" customWidth="1"/>
    <col min="10244" max="10244" width="9" style="30"/>
    <col min="10245" max="10245" width="6.75" style="30" customWidth="1"/>
    <col min="10246" max="10246" width="12.625" style="30" customWidth="1"/>
    <col min="10247" max="10248" width="1.625" style="30" customWidth="1"/>
    <col min="10249" max="10496" width="9" style="30"/>
    <col min="10497" max="10497" width="2.375" style="30" customWidth="1"/>
    <col min="10498" max="10498" width="8.25" style="30" customWidth="1"/>
    <col min="10499" max="10499" width="10.625" style="30" customWidth="1"/>
    <col min="10500" max="10500" width="9" style="30"/>
    <col min="10501" max="10501" width="6.75" style="30" customWidth="1"/>
    <col min="10502" max="10502" width="12.625" style="30" customWidth="1"/>
    <col min="10503" max="10504" width="1.625" style="30" customWidth="1"/>
    <col min="10505" max="10752" width="9" style="30"/>
    <col min="10753" max="10753" width="2.375" style="30" customWidth="1"/>
    <col min="10754" max="10754" width="8.25" style="30" customWidth="1"/>
    <col min="10755" max="10755" width="10.625" style="30" customWidth="1"/>
    <col min="10756" max="10756" width="9" style="30"/>
    <col min="10757" max="10757" width="6.75" style="30" customWidth="1"/>
    <col min="10758" max="10758" width="12.625" style="30" customWidth="1"/>
    <col min="10759" max="10760" width="1.625" style="30" customWidth="1"/>
    <col min="10761" max="11008" width="9" style="30"/>
    <col min="11009" max="11009" width="2.375" style="30" customWidth="1"/>
    <col min="11010" max="11010" width="8.25" style="30" customWidth="1"/>
    <col min="11011" max="11011" width="10.625" style="30" customWidth="1"/>
    <col min="11012" max="11012" width="9" style="30"/>
    <col min="11013" max="11013" width="6.75" style="30" customWidth="1"/>
    <col min="11014" max="11014" width="12.625" style="30" customWidth="1"/>
    <col min="11015" max="11016" width="1.625" style="30" customWidth="1"/>
    <col min="11017" max="11264" width="9" style="30"/>
    <col min="11265" max="11265" width="2.375" style="30" customWidth="1"/>
    <col min="11266" max="11266" width="8.25" style="30" customWidth="1"/>
    <col min="11267" max="11267" width="10.625" style="30" customWidth="1"/>
    <col min="11268" max="11268" width="9" style="30"/>
    <col min="11269" max="11269" width="6.75" style="30" customWidth="1"/>
    <col min="11270" max="11270" width="12.625" style="30" customWidth="1"/>
    <col min="11271" max="11272" width="1.625" style="30" customWidth="1"/>
    <col min="11273" max="11520" width="9" style="30"/>
    <col min="11521" max="11521" width="2.375" style="30" customWidth="1"/>
    <col min="11522" max="11522" width="8.25" style="30" customWidth="1"/>
    <col min="11523" max="11523" width="10.625" style="30" customWidth="1"/>
    <col min="11524" max="11524" width="9" style="30"/>
    <col min="11525" max="11525" width="6.75" style="30" customWidth="1"/>
    <col min="11526" max="11526" width="12.625" style="30" customWidth="1"/>
    <col min="11527" max="11528" width="1.625" style="30" customWidth="1"/>
    <col min="11529" max="11776" width="9" style="30"/>
    <col min="11777" max="11777" width="2.375" style="30" customWidth="1"/>
    <col min="11778" max="11778" width="8.25" style="30" customWidth="1"/>
    <col min="11779" max="11779" width="10.625" style="30" customWidth="1"/>
    <col min="11780" max="11780" width="9" style="30"/>
    <col min="11781" max="11781" width="6.75" style="30" customWidth="1"/>
    <col min="11782" max="11782" width="12.625" style="30" customWidth="1"/>
    <col min="11783" max="11784" width="1.625" style="30" customWidth="1"/>
    <col min="11785" max="12032" width="9" style="30"/>
    <col min="12033" max="12033" width="2.375" style="30" customWidth="1"/>
    <col min="12034" max="12034" width="8.25" style="30" customWidth="1"/>
    <col min="12035" max="12035" width="10.625" style="30" customWidth="1"/>
    <col min="12036" max="12036" width="9" style="30"/>
    <col min="12037" max="12037" width="6.75" style="30" customWidth="1"/>
    <col min="12038" max="12038" width="12.625" style="30" customWidth="1"/>
    <col min="12039" max="12040" width="1.625" style="30" customWidth="1"/>
    <col min="12041" max="12288" width="9" style="30"/>
    <col min="12289" max="12289" width="2.375" style="30" customWidth="1"/>
    <col min="12290" max="12290" width="8.25" style="30" customWidth="1"/>
    <col min="12291" max="12291" width="10.625" style="30" customWidth="1"/>
    <col min="12292" max="12292" width="9" style="30"/>
    <col min="12293" max="12293" width="6.75" style="30" customWidth="1"/>
    <col min="12294" max="12294" width="12.625" style="30" customWidth="1"/>
    <col min="12295" max="12296" width="1.625" style="30" customWidth="1"/>
    <col min="12297" max="12544" width="9" style="30"/>
    <col min="12545" max="12545" width="2.375" style="30" customWidth="1"/>
    <col min="12546" max="12546" width="8.25" style="30" customWidth="1"/>
    <col min="12547" max="12547" width="10.625" style="30" customWidth="1"/>
    <col min="12548" max="12548" width="9" style="30"/>
    <col min="12549" max="12549" width="6.75" style="30" customWidth="1"/>
    <col min="12550" max="12550" width="12.625" style="30" customWidth="1"/>
    <col min="12551" max="12552" width="1.625" style="30" customWidth="1"/>
    <col min="12553" max="12800" width="9" style="30"/>
    <col min="12801" max="12801" width="2.375" style="30" customWidth="1"/>
    <col min="12802" max="12802" width="8.25" style="30" customWidth="1"/>
    <col min="12803" max="12803" width="10.625" style="30" customWidth="1"/>
    <col min="12804" max="12804" width="9" style="30"/>
    <col min="12805" max="12805" width="6.75" style="30" customWidth="1"/>
    <col min="12806" max="12806" width="12.625" style="30" customWidth="1"/>
    <col min="12807" max="12808" width="1.625" style="30" customWidth="1"/>
    <col min="12809" max="13056" width="9" style="30"/>
    <col min="13057" max="13057" width="2.375" style="30" customWidth="1"/>
    <col min="13058" max="13058" width="8.25" style="30" customWidth="1"/>
    <col min="13059" max="13059" width="10.625" style="30" customWidth="1"/>
    <col min="13060" max="13060" width="9" style="30"/>
    <col min="13061" max="13061" width="6.75" style="30" customWidth="1"/>
    <col min="13062" max="13062" width="12.625" style="30" customWidth="1"/>
    <col min="13063" max="13064" width="1.625" style="30" customWidth="1"/>
    <col min="13065" max="13312" width="9" style="30"/>
    <col min="13313" max="13313" width="2.375" style="30" customWidth="1"/>
    <col min="13314" max="13314" width="8.25" style="30" customWidth="1"/>
    <col min="13315" max="13315" width="10.625" style="30" customWidth="1"/>
    <col min="13316" max="13316" width="9" style="30"/>
    <col min="13317" max="13317" width="6.75" style="30" customWidth="1"/>
    <col min="13318" max="13318" width="12.625" style="30" customWidth="1"/>
    <col min="13319" max="13320" width="1.625" style="30" customWidth="1"/>
    <col min="13321" max="13568" width="9" style="30"/>
    <col min="13569" max="13569" width="2.375" style="30" customWidth="1"/>
    <col min="13570" max="13570" width="8.25" style="30" customWidth="1"/>
    <col min="13571" max="13571" width="10.625" style="30" customWidth="1"/>
    <col min="13572" max="13572" width="9" style="30"/>
    <col min="13573" max="13573" width="6.75" style="30" customWidth="1"/>
    <col min="13574" max="13574" width="12.625" style="30" customWidth="1"/>
    <col min="13575" max="13576" width="1.625" style="30" customWidth="1"/>
    <col min="13577" max="13824" width="9" style="30"/>
    <col min="13825" max="13825" width="2.375" style="30" customWidth="1"/>
    <col min="13826" max="13826" width="8.25" style="30" customWidth="1"/>
    <col min="13827" max="13827" width="10.625" style="30" customWidth="1"/>
    <col min="13828" max="13828" width="9" style="30"/>
    <col min="13829" max="13829" width="6.75" style="30" customWidth="1"/>
    <col min="13830" max="13830" width="12.625" style="30" customWidth="1"/>
    <col min="13831" max="13832" width="1.625" style="30" customWidth="1"/>
    <col min="13833" max="14080" width="9" style="30"/>
    <col min="14081" max="14081" width="2.375" style="30" customWidth="1"/>
    <col min="14082" max="14082" width="8.25" style="30" customWidth="1"/>
    <col min="14083" max="14083" width="10.625" style="30" customWidth="1"/>
    <col min="14084" max="14084" width="9" style="30"/>
    <col min="14085" max="14085" width="6.75" style="30" customWidth="1"/>
    <col min="14086" max="14086" width="12.625" style="30" customWidth="1"/>
    <col min="14087" max="14088" width="1.625" style="30" customWidth="1"/>
    <col min="14089" max="14336" width="9" style="30"/>
    <col min="14337" max="14337" width="2.375" style="30" customWidth="1"/>
    <col min="14338" max="14338" width="8.25" style="30" customWidth="1"/>
    <col min="14339" max="14339" width="10.625" style="30" customWidth="1"/>
    <col min="14340" max="14340" width="9" style="30"/>
    <col min="14341" max="14341" width="6.75" style="30" customWidth="1"/>
    <col min="14342" max="14342" width="12.625" style="30" customWidth="1"/>
    <col min="14343" max="14344" width="1.625" style="30" customWidth="1"/>
    <col min="14345" max="14592" width="9" style="30"/>
    <col min="14593" max="14593" width="2.375" style="30" customWidth="1"/>
    <col min="14594" max="14594" width="8.25" style="30" customWidth="1"/>
    <col min="14595" max="14595" width="10.625" style="30" customWidth="1"/>
    <col min="14596" max="14596" width="9" style="30"/>
    <col min="14597" max="14597" width="6.75" style="30" customWidth="1"/>
    <col min="14598" max="14598" width="12.625" style="30" customWidth="1"/>
    <col min="14599" max="14600" width="1.625" style="30" customWidth="1"/>
    <col min="14601" max="14848" width="9" style="30"/>
    <col min="14849" max="14849" width="2.375" style="30" customWidth="1"/>
    <col min="14850" max="14850" width="8.25" style="30" customWidth="1"/>
    <col min="14851" max="14851" width="10.625" style="30" customWidth="1"/>
    <col min="14852" max="14852" width="9" style="30"/>
    <col min="14853" max="14853" width="6.75" style="30" customWidth="1"/>
    <col min="14854" max="14854" width="12.625" style="30" customWidth="1"/>
    <col min="14855" max="14856" width="1.625" style="30" customWidth="1"/>
    <col min="14857" max="15104" width="9" style="30"/>
    <col min="15105" max="15105" width="2.375" style="30" customWidth="1"/>
    <col min="15106" max="15106" width="8.25" style="30" customWidth="1"/>
    <col min="15107" max="15107" width="10.625" style="30" customWidth="1"/>
    <col min="15108" max="15108" width="9" style="30"/>
    <col min="15109" max="15109" width="6.75" style="30" customWidth="1"/>
    <col min="15110" max="15110" width="12.625" style="30" customWidth="1"/>
    <col min="15111" max="15112" width="1.625" style="30" customWidth="1"/>
    <col min="15113" max="15360" width="9" style="30"/>
    <col min="15361" max="15361" width="2.375" style="30" customWidth="1"/>
    <col min="15362" max="15362" width="8.25" style="30" customWidth="1"/>
    <col min="15363" max="15363" width="10.625" style="30" customWidth="1"/>
    <col min="15364" max="15364" width="9" style="30"/>
    <col min="15365" max="15365" width="6.75" style="30" customWidth="1"/>
    <col min="15366" max="15366" width="12.625" style="30" customWidth="1"/>
    <col min="15367" max="15368" width="1.625" style="30" customWidth="1"/>
    <col min="15369" max="15616" width="9" style="30"/>
    <col min="15617" max="15617" width="2.375" style="30" customWidth="1"/>
    <col min="15618" max="15618" width="8.25" style="30" customWidth="1"/>
    <col min="15619" max="15619" width="10.625" style="30" customWidth="1"/>
    <col min="15620" max="15620" width="9" style="30"/>
    <col min="15621" max="15621" width="6.75" style="30" customWidth="1"/>
    <col min="15622" max="15622" width="12.625" style="30" customWidth="1"/>
    <col min="15623" max="15624" width="1.625" style="30" customWidth="1"/>
    <col min="15625" max="15872" width="9" style="30"/>
    <col min="15873" max="15873" width="2.375" style="30" customWidth="1"/>
    <col min="15874" max="15874" width="8.25" style="30" customWidth="1"/>
    <col min="15875" max="15875" width="10.625" style="30" customWidth="1"/>
    <col min="15876" max="15876" width="9" style="30"/>
    <col min="15877" max="15877" width="6.75" style="30" customWidth="1"/>
    <col min="15878" max="15878" width="12.625" style="30" customWidth="1"/>
    <col min="15879" max="15880" width="1.625" style="30" customWidth="1"/>
    <col min="15881" max="16128" width="9" style="30"/>
    <col min="16129" max="16129" width="2.375" style="30" customWidth="1"/>
    <col min="16130" max="16130" width="8.25" style="30" customWidth="1"/>
    <col min="16131" max="16131" width="10.625" style="30" customWidth="1"/>
    <col min="16132" max="16132" width="9" style="30"/>
    <col min="16133" max="16133" width="6.75" style="30" customWidth="1"/>
    <col min="16134" max="16134" width="12.625" style="30" customWidth="1"/>
    <col min="16135" max="16136" width="1.625" style="30" customWidth="1"/>
    <col min="16137" max="16384" width="9" style="30"/>
  </cols>
  <sheetData>
    <row r="1" spans="2:3" ht="39" customHeight="1" thickBot="1" x14ac:dyDescent="0.25"/>
    <row r="2" spans="2:3" x14ac:dyDescent="0.2">
      <c r="B2" s="31" t="s">
        <v>91</v>
      </c>
      <c r="C2" s="31" t="s">
        <v>92</v>
      </c>
    </row>
    <row r="3" spans="2:3" ht="16.5" x14ac:dyDescent="0.3">
      <c r="B3" s="38">
        <v>28.96</v>
      </c>
      <c r="C3" s="40">
        <v>8.4746000000000006</v>
      </c>
    </row>
    <row r="4" spans="2:3" ht="16.5" x14ac:dyDescent="0.3">
      <c r="B4" s="38">
        <v>36.159999999999997</v>
      </c>
      <c r="C4" s="40">
        <v>8.3303999999999991</v>
      </c>
    </row>
    <row r="5" spans="2:3" ht="16.5" x14ac:dyDescent="0.3">
      <c r="B5" s="38">
        <v>41.51</v>
      </c>
      <c r="C5" s="40">
        <v>8.2286999999999999</v>
      </c>
    </row>
    <row r="6" spans="2:3" ht="16.5" x14ac:dyDescent="0.3">
      <c r="B6" s="38">
        <v>45.81</v>
      </c>
      <c r="C6" s="40">
        <v>8.1501999999999999</v>
      </c>
    </row>
    <row r="7" spans="2:3" ht="16.5" x14ac:dyDescent="0.3">
      <c r="B7" s="38">
        <v>60.06</v>
      </c>
      <c r="C7" s="40">
        <v>7.9085000000000001</v>
      </c>
    </row>
    <row r="8" spans="2:3" ht="16.5" x14ac:dyDescent="0.3">
      <c r="B8" s="38">
        <v>69.17</v>
      </c>
      <c r="C8" s="40">
        <v>7.7686000000000002</v>
      </c>
    </row>
    <row r="9" spans="2:3" ht="16.5" x14ac:dyDescent="0.3">
      <c r="B9" s="38">
        <v>75.87</v>
      </c>
      <c r="C9" s="40">
        <v>7.67</v>
      </c>
    </row>
    <row r="10" spans="2:3" ht="16.5" x14ac:dyDescent="0.3">
      <c r="B10" s="38">
        <v>81.33</v>
      </c>
      <c r="C10" s="40">
        <v>7.5938999999999997</v>
      </c>
    </row>
    <row r="11" spans="2:3" ht="16.5" x14ac:dyDescent="0.3">
      <c r="B11" s="38">
        <v>85.94</v>
      </c>
      <c r="C11" s="40">
        <v>7.532</v>
      </c>
    </row>
    <row r="12" spans="2:3" ht="16.5" x14ac:dyDescent="0.3">
      <c r="B12" s="38">
        <v>89.95</v>
      </c>
      <c r="C12" s="40">
        <v>7.4797000000000002</v>
      </c>
    </row>
    <row r="13" spans="2:3" ht="16.5" x14ac:dyDescent="0.3">
      <c r="B13" s="38">
        <v>93.5</v>
      </c>
      <c r="C13" s="40">
        <v>7.4345999999999997</v>
      </c>
    </row>
    <row r="14" spans="2:3" ht="16.5" x14ac:dyDescent="0.3">
      <c r="B14" s="38">
        <v>96.71</v>
      </c>
      <c r="C14" s="40">
        <v>7.3945999999999996</v>
      </c>
    </row>
    <row r="15" spans="2:3" ht="16.5" x14ac:dyDescent="0.3">
      <c r="B15" s="38">
        <v>99.63</v>
      </c>
      <c r="C15" s="40">
        <v>7.3593999999999999</v>
      </c>
    </row>
    <row r="16" spans="2:3" ht="16.5" x14ac:dyDescent="0.3">
      <c r="B16" s="38">
        <v>111.4</v>
      </c>
      <c r="C16" s="40">
        <v>7.2233000000000001</v>
      </c>
    </row>
    <row r="17" spans="2:10" ht="17.25" thickBot="1" x14ac:dyDescent="0.35">
      <c r="B17" s="38">
        <v>120.2</v>
      </c>
      <c r="C17" s="40">
        <v>7.1271000000000004</v>
      </c>
    </row>
    <row r="18" spans="2:10" ht="25.5" x14ac:dyDescent="0.3">
      <c r="B18" s="38">
        <v>127.4</v>
      </c>
      <c r="C18" s="40">
        <v>7.0526999999999997</v>
      </c>
      <c r="E18" s="31" t="s">
        <v>93</v>
      </c>
      <c r="F18" s="31" t="s">
        <v>94</v>
      </c>
    </row>
    <row r="19" spans="2:10" ht="16.5" x14ac:dyDescent="0.3">
      <c r="B19" s="38">
        <v>133.6</v>
      </c>
      <c r="C19" s="40">
        <v>6.9919000000000002</v>
      </c>
      <c r="E19" s="32">
        <v>170</v>
      </c>
      <c r="F19" s="34">
        <f ca="1">FORECAST(E19,OFFSET($C$4,MATCH(E19,$B$4:$B$12,1)-1,0,2),OFFSET($B$4,MATCH(E19,$B$4:$B$12,1)-1,0,2))</f>
        <v>6.4627267605633669</v>
      </c>
      <c r="H19" s="30" t="s">
        <v>95</v>
      </c>
    </row>
    <row r="20" spans="2:10" ht="16.5" x14ac:dyDescent="0.3">
      <c r="B20" s="38">
        <v>138.9</v>
      </c>
      <c r="C20" s="40">
        <v>6.9405000000000001</v>
      </c>
      <c r="E20" s="32">
        <v>175</v>
      </c>
      <c r="F20" s="34">
        <f ca="1">FORECAST(E20,OFFSET(KnownY,MATCH(E20,KnownX,1)-1,0,2),OFFSET(KnownX,MATCH(E20,KnownX,1)-1,0,2))</f>
        <v>6.3992056338028034</v>
      </c>
      <c r="H20" s="30" t="s">
        <v>96</v>
      </c>
    </row>
    <row r="21" spans="2:10" ht="16.5" x14ac:dyDescent="0.3">
      <c r="B21" s="38">
        <v>143.6</v>
      </c>
      <c r="C21" s="40">
        <v>6.8959000000000001</v>
      </c>
      <c r="E21" s="32">
        <v>180</v>
      </c>
      <c r="F21" s="34">
        <f ca="1">FORECAST(E21,OFFSET(Svapour,MATCH(E21,Suhu,1)-1,0,2),OFFSET(Suhu,MATCH(E21,Suhu,1)-1,0,2))</f>
        <v>6.5855309782608691</v>
      </c>
      <c r="I21" s="30" t="s">
        <v>97</v>
      </c>
      <c r="J21" s="36" t="s">
        <v>98</v>
      </c>
    </row>
    <row r="22" spans="2:10" ht="16.5" x14ac:dyDescent="0.3">
      <c r="B22" s="38">
        <v>147.9</v>
      </c>
      <c r="C22" s="40">
        <v>6.8564999999999996</v>
      </c>
      <c r="E22" s="32">
        <v>185</v>
      </c>
      <c r="F22" s="34">
        <f ca="1">FORECAST(E22,OFFSET(KnownY,MATCH(E22,KnownX,1)-1,0,2),OFFSET(KnownX,MATCH(E22,KnownX,1)-1,0,2))</f>
        <v>6.2721633802816754</v>
      </c>
      <c r="I22" s="30" t="s">
        <v>99</v>
      </c>
      <c r="J22" s="35" t="s">
        <v>100</v>
      </c>
    </row>
    <row r="23" spans="2:10" ht="17.25" thickBot="1" x14ac:dyDescent="0.35">
      <c r="B23" s="38">
        <v>151.9</v>
      </c>
      <c r="C23" s="40">
        <v>6.8212000000000002</v>
      </c>
      <c r="E23" s="33">
        <v>194</v>
      </c>
      <c r="F23" s="37">
        <f ca="1">FORECAST(E23,OFFSET(KnownY,MATCH(E23,KnownX,1)-1,0,2),OFFSET(KnownX,MATCH(E23,KnownX,1)-1,0,2))</f>
        <v>6.1578253521126598</v>
      </c>
    </row>
    <row r="24" spans="2:10" ht="16.5" x14ac:dyDescent="0.3">
      <c r="B24" s="38">
        <v>158.9</v>
      </c>
      <c r="C24" s="40">
        <v>6.76</v>
      </c>
    </row>
    <row r="25" spans="2:10" ht="16.5" x14ac:dyDescent="0.3">
      <c r="B25" s="38">
        <v>165</v>
      </c>
      <c r="C25" s="40">
        <v>6.7080000000000002</v>
      </c>
    </row>
    <row r="26" spans="2:10" ht="16.5" x14ac:dyDescent="0.3">
      <c r="B26" s="38">
        <v>170.4</v>
      </c>
      <c r="C26" s="40">
        <v>6.6627999999999998</v>
      </c>
    </row>
    <row r="27" spans="2:10" ht="16.5" x14ac:dyDescent="0.3">
      <c r="B27" s="38">
        <v>175.4</v>
      </c>
      <c r="C27" s="40">
        <v>6.6226000000000003</v>
      </c>
    </row>
    <row r="28" spans="2:10" ht="16.5" x14ac:dyDescent="0.3">
      <c r="B28" s="38">
        <v>179.9</v>
      </c>
      <c r="C28" s="40">
        <v>6.5862999999999996</v>
      </c>
    </row>
    <row r="29" spans="2:10" ht="16.5" x14ac:dyDescent="0.3">
      <c r="B29" s="38">
        <v>198.3</v>
      </c>
      <c r="C29" s="40">
        <v>6.4447999999999999</v>
      </c>
    </row>
    <row r="30" spans="2:10" ht="16.5" x14ac:dyDescent="0.3">
      <c r="B30" s="38">
        <v>212.4</v>
      </c>
      <c r="C30" s="40">
        <v>6.3409000000000004</v>
      </c>
    </row>
    <row r="31" spans="2:10" ht="16.5" x14ac:dyDescent="0.3">
      <c r="B31" s="38">
        <v>224</v>
      </c>
      <c r="C31" s="40">
        <v>6.2575000000000003</v>
      </c>
    </row>
    <row r="32" spans="2:10" ht="16.5" x14ac:dyDescent="0.3">
      <c r="B32" s="38">
        <v>233.9</v>
      </c>
      <c r="C32" s="40">
        <v>6.1868999999999996</v>
      </c>
    </row>
    <row r="33" spans="2:3" ht="16.5" x14ac:dyDescent="0.3">
      <c r="B33" s="38">
        <v>242.6</v>
      </c>
      <c r="C33" s="40">
        <v>6.1253000000000002</v>
      </c>
    </row>
    <row r="34" spans="2:3" ht="16.5" x14ac:dyDescent="0.3">
      <c r="B34" s="38">
        <v>250.4</v>
      </c>
      <c r="C34" s="40">
        <v>6.0701000000000001</v>
      </c>
    </row>
    <row r="35" spans="2:3" ht="16.5" x14ac:dyDescent="0.3">
      <c r="B35" s="38">
        <v>257.5</v>
      </c>
      <c r="C35" s="40">
        <v>6.0198999999999998</v>
      </c>
    </row>
    <row r="36" spans="2:3" ht="16.5" x14ac:dyDescent="0.3">
      <c r="B36" s="38">
        <v>264</v>
      </c>
      <c r="C36" s="40">
        <v>5.9733999999999998</v>
      </c>
    </row>
    <row r="37" spans="2:3" ht="16.5" x14ac:dyDescent="0.3">
      <c r="B37" s="38">
        <v>275.60000000000002</v>
      </c>
      <c r="C37" s="40">
        <v>5.8891999999999998</v>
      </c>
    </row>
    <row r="38" spans="2:3" ht="16.5" x14ac:dyDescent="0.3">
      <c r="B38" s="38">
        <v>285.89999999999998</v>
      </c>
      <c r="C38" s="40">
        <v>5.8132999999999999</v>
      </c>
    </row>
    <row r="39" spans="2:3" ht="16.5" x14ac:dyDescent="0.3">
      <c r="B39" s="38">
        <v>295.10000000000002</v>
      </c>
      <c r="C39" s="40">
        <v>5.7431999999999999</v>
      </c>
    </row>
    <row r="40" spans="2:3" ht="16.5" x14ac:dyDescent="0.3">
      <c r="B40" s="38">
        <v>303.39999999999998</v>
      </c>
      <c r="C40" s="40">
        <v>5.6772</v>
      </c>
    </row>
    <row r="41" spans="2:3" ht="16.5" x14ac:dyDescent="0.3">
      <c r="B41" s="38">
        <v>311.10000000000002</v>
      </c>
      <c r="C41" s="40">
        <v>5.6140999999999996</v>
      </c>
    </row>
    <row r="42" spans="2:3" ht="16.5" x14ac:dyDescent="0.3">
      <c r="B42" s="38">
        <v>318.2</v>
      </c>
      <c r="C42" s="40">
        <v>5.5526999999999997</v>
      </c>
    </row>
    <row r="43" spans="2:3" ht="16.5" x14ac:dyDescent="0.3">
      <c r="B43" s="38">
        <v>324.8</v>
      </c>
      <c r="C43" s="40">
        <v>5.4923999999999999</v>
      </c>
    </row>
    <row r="44" spans="2:3" ht="16.5" x14ac:dyDescent="0.3">
      <c r="B44" s="38">
        <v>330.9</v>
      </c>
      <c r="C44" s="40">
        <v>5.4322999999999997</v>
      </c>
    </row>
    <row r="45" spans="2:3" ht="16.5" x14ac:dyDescent="0.3">
      <c r="B45" s="38">
        <v>336.8</v>
      </c>
      <c r="C45" s="40">
        <v>5.3716999999999997</v>
      </c>
    </row>
    <row r="46" spans="2:3" ht="16.5" x14ac:dyDescent="0.3">
      <c r="B46" s="38">
        <v>342.2</v>
      </c>
      <c r="C46" s="40">
        <v>5.3098000000000001</v>
      </c>
    </row>
    <row r="47" spans="2:3" ht="16.5" x14ac:dyDescent="0.3">
      <c r="B47" s="38">
        <v>347.4</v>
      </c>
      <c r="C47" s="40">
        <v>5.2454999999999998</v>
      </c>
    </row>
    <row r="48" spans="2:3" ht="16.5" x14ac:dyDescent="0.3">
      <c r="B48" s="38">
        <v>352.4</v>
      </c>
      <c r="C48" s="40">
        <v>5.1776999999999997</v>
      </c>
    </row>
    <row r="49" spans="2:3" ht="16.5" x14ac:dyDescent="0.3">
      <c r="B49" s="38">
        <v>357.1</v>
      </c>
      <c r="C49" s="40">
        <v>5.1044</v>
      </c>
    </row>
    <row r="50" spans="2:3" ht="16.5" x14ac:dyDescent="0.3">
      <c r="B50" s="38">
        <v>361.5</v>
      </c>
      <c r="C50" s="40">
        <v>5.0228000000000002</v>
      </c>
    </row>
    <row r="51" spans="2:3" ht="16.5" x14ac:dyDescent="0.3">
      <c r="B51" s="38">
        <v>365.8</v>
      </c>
      <c r="C51" s="40">
        <v>4.9268999999999998</v>
      </c>
    </row>
    <row r="52" spans="2:3" ht="16.5" x14ac:dyDescent="0.3">
      <c r="B52" s="38">
        <v>374.1</v>
      </c>
      <c r="C52" s="40">
        <v>4.4298000000000002</v>
      </c>
    </row>
  </sheetData>
  <hyperlinks>
    <hyperlink ref="C27" r:id="rId1" display="http://www.BlueLeafSoftware.com/Products/Dagra/LinearInterpolationExcel.php"/>
  </hyperlinks>
  <pageMargins left="0.75" right="0.75" top="1" bottom="1" header="0.5" footer="0.5"/>
  <pageSetup paperSize="9" orientation="portrait" horizontalDpi="4294967293" verticalDpi="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selection activeCell="F21" sqref="F21"/>
    </sheetView>
  </sheetViews>
  <sheetFormatPr defaultRowHeight="16.5" x14ac:dyDescent="0.3"/>
  <sheetData>
    <row r="1" spans="2:3" ht="17.25" thickBot="1" x14ac:dyDescent="0.35"/>
    <row r="2" spans="2:3" x14ac:dyDescent="0.3">
      <c r="B2" s="89" t="s">
        <v>149</v>
      </c>
      <c r="C2" s="89" t="s">
        <v>150</v>
      </c>
    </row>
    <row r="3" spans="2:3" x14ac:dyDescent="0.3">
      <c r="B3" s="90"/>
      <c r="C3" s="90"/>
    </row>
    <row r="4" spans="2:3" x14ac:dyDescent="0.3">
      <c r="B4" s="90">
        <v>5</v>
      </c>
      <c r="C4" s="90">
        <v>7.6300000000000007E-2</v>
      </c>
    </row>
    <row r="5" spans="2:3" x14ac:dyDescent="0.3">
      <c r="B5" s="90">
        <v>50</v>
      </c>
      <c r="C5" s="90">
        <v>0.70379999999999998</v>
      </c>
    </row>
    <row r="6" spans="2:3" x14ac:dyDescent="0.3">
      <c r="B6" s="91">
        <v>75</v>
      </c>
      <c r="C6" s="92">
        <v>1.0158</v>
      </c>
    </row>
    <row r="7" spans="2:3" x14ac:dyDescent="0.3">
      <c r="B7" s="91">
        <v>100</v>
      </c>
      <c r="C7" s="92">
        <v>1.3071999999999999</v>
      </c>
    </row>
    <row r="8" spans="2:3" x14ac:dyDescent="0.3">
      <c r="B8" s="91">
        <v>125</v>
      </c>
      <c r="C8" s="92">
        <v>1.5815999999999999</v>
      </c>
    </row>
    <row r="9" spans="2:3" x14ac:dyDescent="0.3">
      <c r="B9" s="91">
        <v>150</v>
      </c>
      <c r="C9" s="92">
        <v>1.8418000000000001</v>
      </c>
    </row>
    <row r="10" spans="2:3" x14ac:dyDescent="0.3">
      <c r="B10" s="91">
        <v>175</v>
      </c>
      <c r="C10" s="92">
        <v>2.0905999999999998</v>
      </c>
    </row>
    <row r="11" spans="2:3" x14ac:dyDescent="0.3">
      <c r="B11" s="91">
        <v>200</v>
      </c>
      <c r="C11" s="92">
        <v>2.3304999999999998</v>
      </c>
    </row>
    <row r="12" spans="2:3" ht="17.25" thickBot="1" x14ac:dyDescent="0.35">
      <c r="B12" s="93"/>
      <c r="C12" s="94"/>
    </row>
    <row r="17" spans="2:10" ht="17.25" thickBot="1" x14ac:dyDescent="0.35"/>
    <row r="18" spans="2:10" ht="25.5" x14ac:dyDescent="0.3">
      <c r="E18" s="89" t="s">
        <v>93</v>
      </c>
      <c r="F18" s="89" t="s">
        <v>94</v>
      </c>
    </row>
    <row r="19" spans="2:10" x14ac:dyDescent="0.3">
      <c r="E19" s="95"/>
      <c r="F19" s="96"/>
      <c r="H19" t="s">
        <v>95</v>
      </c>
    </row>
    <row r="20" spans="2:10" x14ac:dyDescent="0.3">
      <c r="E20" s="95"/>
      <c r="F20" s="96"/>
      <c r="H20" t="s">
        <v>96</v>
      </c>
    </row>
    <row r="21" spans="2:10" x14ac:dyDescent="0.3">
      <c r="E21" s="95">
        <v>11</v>
      </c>
      <c r="F21" s="97">
        <f ca="1">FORECAST(E21,OFFSET(KnownYSAC,MATCH(E21,KnownXSAC,1)-1,0,2),OFFSET(KnownXSAC,MATCH(E21,KnownXSAC,1)-1,0,2))</f>
        <v>0.15996666666666667</v>
      </c>
      <c r="I21" t="s">
        <v>151</v>
      </c>
      <c r="J21" s="98" t="s">
        <v>98</v>
      </c>
    </row>
    <row r="22" spans="2:10" x14ac:dyDescent="0.3">
      <c r="E22" s="95"/>
      <c r="F22" s="96"/>
      <c r="I22" t="s">
        <v>152</v>
      </c>
      <c r="J22" s="99" t="s">
        <v>100</v>
      </c>
    </row>
    <row r="25" spans="2:10" ht="17.25" thickBot="1" x14ac:dyDescent="0.35"/>
    <row r="26" spans="2:10" x14ac:dyDescent="0.3">
      <c r="B26" s="89" t="s">
        <v>149</v>
      </c>
      <c r="C26" s="89" t="s">
        <v>153</v>
      </c>
    </row>
    <row r="28" spans="2:10" x14ac:dyDescent="0.3">
      <c r="B28">
        <v>5</v>
      </c>
      <c r="C28">
        <v>21.01</v>
      </c>
    </row>
    <row r="29" spans="2:10" x14ac:dyDescent="0.3">
      <c r="B29">
        <v>50</v>
      </c>
      <c r="C29">
        <v>209.34</v>
      </c>
    </row>
    <row r="30" spans="2:10" x14ac:dyDescent="0.3">
      <c r="B30" s="91">
        <v>75</v>
      </c>
      <c r="C30" s="92">
        <v>314.02999999999997</v>
      </c>
    </row>
    <row r="31" spans="2:10" x14ac:dyDescent="0.3">
      <c r="B31" s="91">
        <v>100</v>
      </c>
      <c r="C31" s="92">
        <v>419.17</v>
      </c>
    </row>
    <row r="32" spans="2:10" x14ac:dyDescent="0.3">
      <c r="B32" s="91">
        <v>125</v>
      </c>
      <c r="C32" s="92">
        <v>525.07000000000005</v>
      </c>
    </row>
    <row r="33" spans="2:6" x14ac:dyDescent="0.3">
      <c r="B33" s="91">
        <v>150</v>
      </c>
      <c r="C33" s="92">
        <v>632.17999999999995</v>
      </c>
    </row>
    <row r="34" spans="2:6" x14ac:dyDescent="0.3">
      <c r="B34" s="91">
        <v>175</v>
      </c>
      <c r="C34" s="92">
        <v>741.02</v>
      </c>
    </row>
    <row r="35" spans="2:6" x14ac:dyDescent="0.3">
      <c r="B35" s="91">
        <v>200</v>
      </c>
      <c r="C35" s="92">
        <v>852.26</v>
      </c>
    </row>
    <row r="36" spans="2:6" ht="17.25" thickBot="1" x14ac:dyDescent="0.35">
      <c r="B36" s="93"/>
      <c r="C36" s="94"/>
    </row>
    <row r="41" spans="2:6" ht="17.25" thickBot="1" x14ac:dyDescent="0.35"/>
    <row r="42" spans="2:6" ht="25.5" x14ac:dyDescent="0.3">
      <c r="E42" s="89" t="s">
        <v>93</v>
      </c>
      <c r="F42" s="89" t="s">
        <v>94</v>
      </c>
    </row>
    <row r="43" spans="2:6" x14ac:dyDescent="0.3">
      <c r="E43" s="95"/>
      <c r="F43" s="96"/>
    </row>
    <row r="44" spans="2:6" x14ac:dyDescent="0.3">
      <c r="E44" s="95"/>
      <c r="F44" s="96"/>
    </row>
    <row r="45" spans="2:6" x14ac:dyDescent="0.3">
      <c r="E45" s="95">
        <v>9</v>
      </c>
      <c r="F45" s="97">
        <f ca="1">FORECAST(E45,OFFSET(KnownY1SAC,MATCH(E45,KnownX1SAC,1)-1,0,2),OFFSET(KnownX1SAC,MATCH(E45,KnownX1SAC,1)-1,0,2))</f>
        <v>37.750444444444454</v>
      </c>
    </row>
    <row r="46" spans="2:6" x14ac:dyDescent="0.3">
      <c r="E46" s="95"/>
      <c r="F46" s="9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size="46" baseType="lpstr">
      <vt:lpstr>PARAMETERS INPUT</vt:lpstr>
      <vt:lpstr>INPUT PARAMETERS</vt:lpstr>
      <vt:lpstr>hliquid1</vt:lpstr>
      <vt:lpstr>hvapour1</vt:lpstr>
      <vt:lpstr>sliquid1</vt:lpstr>
      <vt:lpstr>svapour1</vt:lpstr>
      <vt:lpstr>h-SAC</vt:lpstr>
      <vt:lpstr>APRIL</vt:lpstr>
      <vt:lpstr>AUGUST</vt:lpstr>
      <vt:lpstr>DECEMBER</vt:lpstr>
      <vt:lpstr>FEBRUARY</vt:lpstr>
      <vt:lpstr>h</vt:lpstr>
      <vt:lpstr>JANUARY</vt:lpstr>
      <vt:lpstr>JULY</vt:lpstr>
      <vt:lpstr>JUNE</vt:lpstr>
      <vt:lpstr>KnownA</vt:lpstr>
      <vt:lpstr>KnownB</vt:lpstr>
      <vt:lpstr>hliquid1!KnownX</vt:lpstr>
      <vt:lpstr>hvapour1!KnownX</vt:lpstr>
      <vt:lpstr>sliquid1!KnownX</vt:lpstr>
      <vt:lpstr>svapour1!KnownX</vt:lpstr>
      <vt:lpstr>KnownX1SAC</vt:lpstr>
      <vt:lpstr>'INPUT PARAMETERS'!KnownXhliquid</vt:lpstr>
      <vt:lpstr>'INPUT PARAMETERS'!KnownXhvapour</vt:lpstr>
      <vt:lpstr>KnownXSAC</vt:lpstr>
      <vt:lpstr>'INPUT PARAMETERS'!KnownXsliquid</vt:lpstr>
      <vt:lpstr>'INPUT PARAMETERS'!KnownXsliquidtropy</vt:lpstr>
      <vt:lpstr>'INPUT PARAMETERS'!KnownXsvapour</vt:lpstr>
      <vt:lpstr>'INPUT PARAMETERS'!KnownXt</vt:lpstr>
      <vt:lpstr>hliquid1!KnownY</vt:lpstr>
      <vt:lpstr>hvapour1!KnownY</vt:lpstr>
      <vt:lpstr>'INPUT PARAMETERS'!KnownY</vt:lpstr>
      <vt:lpstr>sliquid1!KnownY</vt:lpstr>
      <vt:lpstr>svapour1!KnownY</vt:lpstr>
      <vt:lpstr>KnownY1SAC</vt:lpstr>
      <vt:lpstr>'INPUT PARAMETERS'!KnownYhliquid</vt:lpstr>
      <vt:lpstr>'INPUT PARAMETERS'!KnownYhvapour</vt:lpstr>
      <vt:lpstr>KnownYSAC</vt:lpstr>
      <vt:lpstr>'INPUT PARAMETERS'!KnownYsliquidtropy</vt:lpstr>
      <vt:lpstr>'INPUT PARAMETERS'!KnownYsvapour</vt:lpstr>
      <vt:lpstr>MARCH</vt:lpstr>
      <vt:lpstr>MAY</vt:lpstr>
      <vt:lpstr>NOVEMBER</vt:lpstr>
      <vt:lpstr>Suhu</vt:lpstr>
      <vt:lpstr>Svapour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Paksu</dc:creator>
  <cp:lastModifiedBy>Paksu</cp:lastModifiedBy>
  <dcterms:modified xsi:type="dcterms:W3CDTF">2015-07-22T17:12:18Z</dcterms:modified>
</cp:coreProperties>
</file>