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dre\Desktop\ARCHIVOS GITHUB\VALUATION PROJECTS\"/>
    </mc:Choice>
  </mc:AlternateContent>
  <xr:revisionPtr revIDLastSave="0" documentId="13_ncr:1_{AF71D757-6B6E-4BE2-91FF-CA7BCA9A927A}" xr6:coauthVersionLast="45" xr6:coauthVersionMax="45" xr10:uidLastSave="{00000000-0000-0000-0000-000000000000}"/>
  <bookViews>
    <workbookView xWindow="-120" yWindow="-120" windowWidth="20730" windowHeight="11160" activeTab="2" xr2:uid="{85AAC3BF-9EB4-4503-B952-8B8BC28ED699}"/>
  </bookViews>
  <sheets>
    <sheet name="Data" sheetId="1" r:id="rId1"/>
    <sheet name="Cash Flows" sheetId="2" r:id="rId2"/>
    <sheet name="Scenarios" sheetId="8" r:id="rId3"/>
  </sheets>
  <definedNames>
    <definedName name="Costo_Promedio">'Cash Flows'!$B$5</definedName>
    <definedName name="Crecimiento_Ventas">'Cash Flows'!$B$6</definedName>
    <definedName name="Incremento_Gastos">'Cash Flows'!$B$8</definedName>
    <definedName name="Incremento_Precio_Venta">'Cash Flows'!$B$7</definedName>
    <definedName name="Periodo_Recuperacion">'Cash Flows'!$B$27</definedName>
    <definedName name="Precio_Venta">'Cash Flows'!$C$3</definedName>
    <definedName name="Rentabilidad">'Cash Flows'!$B$26</definedName>
    <definedName name="Ventas_Unidades">'Cash Flows'!$C$4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B95" i="2" l="1"/>
  <c r="B96" i="2" s="1"/>
  <c r="B97" i="2" s="1"/>
  <c r="B98" i="2" s="1"/>
  <c r="B99" i="2" s="1"/>
  <c r="B100" i="2" s="1"/>
  <c r="B101" i="2" s="1"/>
  <c r="B102" i="2" s="1"/>
  <c r="B103" i="2" s="1"/>
  <c r="B94" i="2"/>
  <c r="D92" i="2"/>
  <c r="E92" i="2" s="1"/>
  <c r="F92" i="2" s="1"/>
  <c r="G92" i="2" s="1"/>
  <c r="H92" i="2" s="1"/>
  <c r="I92" i="2" s="1"/>
  <c r="J92" i="2" s="1"/>
  <c r="K92" i="2" s="1"/>
  <c r="B79" i="2"/>
  <c r="B80" i="2"/>
  <c r="B81" i="2"/>
  <c r="B82" i="2"/>
  <c r="B83" i="2" s="1"/>
  <c r="B84" i="2" s="1"/>
  <c r="B85" i="2" s="1"/>
  <c r="B86" i="2" s="1"/>
  <c r="B87" i="2" s="1"/>
  <c r="B78" i="2"/>
  <c r="D76" i="2"/>
  <c r="E76" i="2" s="1"/>
  <c r="F76" i="2" s="1"/>
  <c r="G76" i="2" s="1"/>
  <c r="H76" i="2" s="1"/>
  <c r="I76" i="2" s="1"/>
  <c r="J76" i="2" s="1"/>
  <c r="K76" i="2" s="1"/>
  <c r="B63" i="2"/>
  <c r="B64" i="2" s="1"/>
  <c r="B65" i="2" s="1"/>
  <c r="B66" i="2" s="1"/>
  <c r="B67" i="2" s="1"/>
  <c r="B68" i="2" s="1"/>
  <c r="B69" i="2" s="1"/>
  <c r="B70" i="2" s="1"/>
  <c r="B71" i="2" s="1"/>
  <c r="B62" i="2"/>
  <c r="B50" i="2"/>
  <c r="B51" i="2" s="1"/>
  <c r="B52" i="2" s="1"/>
  <c r="B53" i="2" s="1"/>
  <c r="B54" i="2" s="1"/>
  <c r="B55" i="2" s="1"/>
  <c r="D60" i="2"/>
  <c r="E60" i="2" s="1"/>
  <c r="F60" i="2" s="1"/>
  <c r="G60" i="2" s="1"/>
  <c r="H60" i="2" s="1"/>
  <c r="I60" i="2" s="1"/>
  <c r="J60" i="2" s="1"/>
  <c r="K60" i="2" s="1"/>
  <c r="D4" i="2"/>
  <c r="E4" i="2" s="1"/>
  <c r="F4" i="2" s="1"/>
  <c r="G4" i="2" s="1"/>
  <c r="D3" i="2"/>
  <c r="E3" i="2" s="1"/>
  <c r="F3" i="2" s="1"/>
  <c r="G3" i="2" s="1"/>
  <c r="D48" i="2"/>
  <c r="E48" i="2" s="1"/>
  <c r="F48" i="2" s="1"/>
  <c r="G48" i="2" s="1"/>
  <c r="H48" i="2" s="1"/>
  <c r="I48" i="2" s="1"/>
  <c r="J48" i="2" s="1"/>
  <c r="K48" i="2" s="1"/>
  <c r="E32" i="2"/>
  <c r="F32" i="2" s="1"/>
  <c r="G32" i="2" s="1"/>
  <c r="H32" i="2" s="1"/>
  <c r="I32" i="2" s="1"/>
  <c r="J32" i="2" s="1"/>
  <c r="K32" i="2" s="1"/>
  <c r="D32" i="2"/>
  <c r="B34" i="2"/>
  <c r="B35" i="2" s="1"/>
  <c r="B36" i="2" s="1"/>
  <c r="B37" i="2" s="1"/>
  <c r="B38" i="2" s="1"/>
  <c r="B39" i="2" s="1"/>
  <c r="B40" i="2" s="1"/>
  <c r="B41" i="2" s="1"/>
  <c r="B42" i="2" s="1"/>
  <c r="B43" i="2" s="1"/>
  <c r="B21" i="2"/>
  <c r="B23" i="2" s="1"/>
  <c r="B24" i="2" s="1"/>
  <c r="B55" i="1"/>
  <c r="E38" i="1"/>
  <c r="D38" i="1"/>
  <c r="E37" i="1"/>
  <c r="D37" i="1"/>
  <c r="E36" i="1"/>
  <c r="D36" i="1"/>
  <c r="E35" i="1"/>
  <c r="D35" i="1"/>
  <c r="E34" i="1"/>
  <c r="D34" i="1"/>
  <c r="E33" i="1"/>
  <c r="D33" i="1"/>
  <c r="E32" i="1"/>
  <c r="D32" i="1"/>
  <c r="E31" i="1"/>
  <c r="D31" i="1"/>
  <c r="E30" i="1"/>
  <c r="D30" i="1"/>
  <c r="E29" i="1"/>
  <c r="E28" i="1"/>
  <c r="D28" i="1"/>
  <c r="E27" i="1"/>
  <c r="D27" i="1"/>
  <c r="E26" i="1"/>
  <c r="D26" i="1"/>
  <c r="D5" i="1"/>
  <c r="E5" i="1"/>
  <c r="D6" i="1"/>
  <c r="E6" i="1"/>
  <c r="D7" i="1"/>
  <c r="E7" i="1"/>
  <c r="D8" i="1"/>
  <c r="E8" i="1"/>
  <c r="D9" i="1"/>
  <c r="E9" i="1"/>
  <c r="D10" i="1"/>
  <c r="E10" i="1"/>
  <c r="D11" i="1"/>
  <c r="E11" i="1"/>
  <c r="D12" i="1"/>
  <c r="E12" i="1"/>
  <c r="D13" i="1"/>
  <c r="E13" i="1"/>
  <c r="D14" i="1"/>
  <c r="E14" i="1"/>
  <c r="D15" i="1"/>
  <c r="E15" i="1"/>
  <c r="D16" i="1"/>
  <c r="E16" i="1"/>
  <c r="D17" i="1"/>
  <c r="E17" i="1"/>
  <c r="D18" i="1"/>
  <c r="E18" i="1"/>
  <c r="D19" i="1"/>
  <c r="E19" i="1"/>
  <c r="D20" i="1"/>
  <c r="E20" i="1"/>
  <c r="E4" i="1"/>
  <c r="D4" i="1"/>
  <c r="G10" i="2" l="1"/>
  <c r="C10" i="2"/>
  <c r="C11" i="2" s="1"/>
  <c r="E10" i="2"/>
  <c r="E11" i="2" s="1"/>
  <c r="F10" i="2"/>
  <c r="D10" i="2"/>
  <c r="D11" i="2" s="1"/>
  <c r="F6" i="1"/>
  <c r="G6" i="1"/>
  <c r="G7" i="1"/>
  <c r="F8" i="1"/>
  <c r="F9" i="1"/>
  <c r="G9" i="1"/>
  <c r="F10" i="1"/>
  <c r="G10" i="1"/>
  <c r="F12" i="1"/>
  <c r="G12" i="1"/>
  <c r="F15" i="1"/>
  <c r="G15" i="1"/>
  <c r="F16" i="1"/>
  <c r="F17" i="1"/>
  <c r="F18" i="1"/>
  <c r="F19" i="1"/>
  <c r="F20" i="1"/>
  <c r="G4" i="1"/>
  <c r="H28" i="1"/>
  <c r="F28" i="1" s="1"/>
  <c r="I28" i="1"/>
  <c r="G28" i="1" s="1"/>
  <c r="I29" i="1"/>
  <c r="G29" i="1" s="1"/>
  <c r="H31" i="1"/>
  <c r="F31" i="1" s="1"/>
  <c r="I31" i="1"/>
  <c r="G31" i="1" s="1"/>
  <c r="H32" i="1"/>
  <c r="F32" i="1" s="1"/>
  <c r="I32" i="1"/>
  <c r="G32" i="1" s="1"/>
  <c r="H34" i="1"/>
  <c r="F34" i="1" s="1"/>
  <c r="I34" i="1"/>
  <c r="G34" i="1" s="1"/>
  <c r="H37" i="1"/>
  <c r="F37" i="1" s="1"/>
  <c r="I37" i="1"/>
  <c r="G37" i="1" s="1"/>
  <c r="H38" i="1"/>
  <c r="F38" i="1" s="1"/>
  <c r="I26" i="1"/>
  <c r="G26" i="1" s="1"/>
  <c r="I20" i="1"/>
  <c r="G20" i="1" s="1"/>
  <c r="I19" i="1"/>
  <c r="G19" i="1" s="1"/>
  <c r="I18" i="1"/>
  <c r="G18" i="1" s="1"/>
  <c r="I17" i="1"/>
  <c r="G17" i="1" s="1"/>
  <c r="I16" i="1"/>
  <c r="G16" i="1" s="1"/>
  <c r="I14" i="1"/>
  <c r="G14" i="1" s="1"/>
  <c r="H14" i="1"/>
  <c r="H36" i="1" s="1"/>
  <c r="F36" i="1" s="1"/>
  <c r="H13" i="1"/>
  <c r="I13" i="1" s="1"/>
  <c r="I35" i="1" s="1"/>
  <c r="G35" i="1" s="1"/>
  <c r="I11" i="1"/>
  <c r="I33" i="1" s="1"/>
  <c r="G33" i="1" s="1"/>
  <c r="H11" i="1"/>
  <c r="F11" i="1" s="1"/>
  <c r="H8" i="1"/>
  <c r="H30" i="1" s="1"/>
  <c r="F30" i="1" s="1"/>
  <c r="H7" i="1"/>
  <c r="F7" i="1" s="1"/>
  <c r="I5" i="1"/>
  <c r="I27" i="1" s="1"/>
  <c r="G27" i="1" s="1"/>
  <c r="H5" i="1"/>
  <c r="F5" i="1" s="1"/>
  <c r="C15" i="2"/>
  <c r="D15" i="2" s="1"/>
  <c r="E15" i="2" s="1"/>
  <c r="F15" i="2" s="1"/>
  <c r="G15" i="2" s="1"/>
  <c r="C16" i="2"/>
  <c r="D16" i="2" s="1"/>
  <c r="E16" i="2" s="1"/>
  <c r="F16" i="2" s="1"/>
  <c r="G16" i="2" s="1"/>
  <c r="C17" i="2"/>
  <c r="D17" i="2" s="1"/>
  <c r="E17" i="2" s="1"/>
  <c r="F17" i="2" s="1"/>
  <c r="G17" i="2" s="1"/>
  <c r="C13" i="2"/>
  <c r="D13" i="2" s="1"/>
  <c r="E13" i="2" s="1"/>
  <c r="F13" i="2" s="1"/>
  <c r="G13" i="2" s="1"/>
  <c r="A14" i="2"/>
  <c r="A15" i="2"/>
  <c r="A16" i="2"/>
  <c r="A17" i="2"/>
  <c r="A13" i="2"/>
  <c r="B47" i="1"/>
  <c r="C14" i="2" s="1"/>
  <c r="D14" i="2" s="1"/>
  <c r="E14" i="2" s="1"/>
  <c r="F14" i="2" s="1"/>
  <c r="G14" i="2" s="1"/>
  <c r="H4" i="1"/>
  <c r="B29" i="1"/>
  <c r="D29" i="1" s="1"/>
  <c r="F11" i="2" l="1"/>
  <c r="F12" i="2" s="1"/>
  <c r="F18" i="2" s="1"/>
  <c r="F19" i="2" s="1"/>
  <c r="F20" i="2" s="1"/>
  <c r="F23" i="2" s="1"/>
  <c r="G11" i="2"/>
  <c r="G12" i="2" s="1"/>
  <c r="G18" i="2" s="1"/>
  <c r="G19" i="2" s="1"/>
  <c r="G20" i="2" s="1"/>
  <c r="D12" i="2"/>
  <c r="D18" i="2" s="1"/>
  <c r="E12" i="2"/>
  <c r="E18" i="2" s="1"/>
  <c r="F14" i="1"/>
  <c r="H26" i="1"/>
  <c r="F26" i="1" s="1"/>
  <c r="H33" i="1"/>
  <c r="F33" i="1" s="1"/>
  <c r="H27" i="1"/>
  <c r="F27" i="1" s="1"/>
  <c r="H29" i="1"/>
  <c r="F29" i="1" s="1"/>
  <c r="I38" i="1"/>
  <c r="G38" i="1" s="1"/>
  <c r="I36" i="1"/>
  <c r="G36" i="1" s="1"/>
  <c r="F4" i="1"/>
  <c r="G13" i="1"/>
  <c r="G11" i="1"/>
  <c r="G5" i="1"/>
  <c r="H35" i="1"/>
  <c r="F35" i="1" s="1"/>
  <c r="F13" i="1"/>
  <c r="B51" i="1"/>
  <c r="B42" i="1" s="1"/>
  <c r="I8" i="1"/>
  <c r="G22" i="2" l="1"/>
  <c r="G23" i="2" s="1"/>
  <c r="E19" i="2"/>
  <c r="E20" i="2" s="1"/>
  <c r="E23" i="2" s="1"/>
  <c r="D19" i="2"/>
  <c r="D20" i="2" s="1"/>
  <c r="D23" i="2" s="1"/>
  <c r="G8" i="1"/>
  <c r="I30" i="1"/>
  <c r="L1" i="1" l="1"/>
  <c r="L4" i="1"/>
  <c r="L2" i="1" s="1"/>
  <c r="G30" i="1"/>
  <c r="B41" i="1" s="1"/>
  <c r="B43" i="1" s="1"/>
  <c r="C12" i="2"/>
  <c r="C18" i="2" l="1"/>
  <c r="L3" i="1"/>
  <c r="C19" i="2" l="1"/>
  <c r="C20" i="2" s="1"/>
  <c r="C23" i="2" s="1"/>
  <c r="B26" i="2" s="1"/>
  <c r="B92" i="2" s="1"/>
  <c r="C24" i="2" l="1"/>
  <c r="D24" i="2" s="1"/>
  <c r="E24" i="2" s="1"/>
  <c r="F24" i="2" s="1"/>
  <c r="G24" i="2" s="1"/>
  <c r="B60" i="2"/>
  <c r="B76" i="2"/>
  <c r="B32" i="2"/>
  <c r="B48" i="2"/>
  <c r="B27" i="2" l="1"/>
  <c r="E27" i="2" s="1"/>
</calcChain>
</file>

<file path=xl/sharedStrings.xml><?xml version="1.0" encoding="utf-8"?>
<sst xmlns="http://schemas.openxmlformats.org/spreadsheetml/2006/main" count="122" uniqueCount="94">
  <si>
    <t>GASTOS MENSUALES</t>
  </si>
  <si>
    <t>Arriendo</t>
  </si>
  <si>
    <t>Salarios</t>
  </si>
  <si>
    <t>Publicidad</t>
  </si>
  <si>
    <t>Servicios</t>
  </si>
  <si>
    <t>Varios</t>
  </si>
  <si>
    <t>Inventario inicial</t>
  </si>
  <si>
    <t>Gastos x 6 meses</t>
  </si>
  <si>
    <t>INVERSION TOTAL</t>
  </si>
  <si>
    <t>Ventas en unidades</t>
  </si>
  <si>
    <t>Precio Venta Promedio</t>
  </si>
  <si>
    <t>Costo promedio ($)</t>
  </si>
  <si>
    <t>Costo promedio (%)</t>
  </si>
  <si>
    <t>Crecimiento en ventas</t>
  </si>
  <si>
    <t>Incremento Precio de Venta</t>
  </si>
  <si>
    <t>Incremento en gastos</t>
  </si>
  <si>
    <t>Tasa de Impuestos</t>
  </si>
  <si>
    <t>años</t>
  </si>
  <si>
    <t>meses</t>
  </si>
  <si>
    <t>Creado por andres montes gomez el 7/06/2020</t>
  </si>
  <si>
    <t>Creado por andres montes gomez el 7/06/2020
Modificado por andres montes gomez el 7/06/2020</t>
  </si>
  <si>
    <t>COST</t>
  </si>
  <si>
    <t>SALE PRICE</t>
  </si>
  <si>
    <t>INI. INVENTORY</t>
  </si>
  <si>
    <t>SALES (UNITS)</t>
  </si>
  <si>
    <t>MAN</t>
  </si>
  <si>
    <t>WOMEN</t>
  </si>
  <si>
    <t>Product 1</t>
  </si>
  <si>
    <t>Product 2</t>
  </si>
  <si>
    <t>Product 3</t>
  </si>
  <si>
    <t>Product 4</t>
  </si>
  <si>
    <t>Product 5</t>
  </si>
  <si>
    <t>Product 6</t>
  </si>
  <si>
    <t>Product 7</t>
  </si>
  <si>
    <t>Product 8</t>
  </si>
  <si>
    <t>Product 9</t>
  </si>
  <si>
    <t>Product 10</t>
  </si>
  <si>
    <t>Product 11</t>
  </si>
  <si>
    <t>Product 12</t>
  </si>
  <si>
    <t>Product 13</t>
  </si>
  <si>
    <t>Product 14</t>
  </si>
  <si>
    <t>Product 15</t>
  </si>
  <si>
    <t>Product 16</t>
  </si>
  <si>
    <t>Product 17</t>
  </si>
  <si>
    <t>Average price ($)</t>
  </si>
  <si>
    <t>Average cost ($)</t>
  </si>
  <si>
    <t>Average cost (%)</t>
  </si>
  <si>
    <t>Total Sales (units)</t>
  </si>
  <si>
    <t>LOW COST PRODUCTS</t>
  </si>
  <si>
    <t>PREMIUN LINE</t>
  </si>
  <si>
    <t>Product 18</t>
  </si>
  <si>
    <t>Product 19</t>
  </si>
  <si>
    <t>Product 20</t>
  </si>
  <si>
    <t>Product 21</t>
  </si>
  <si>
    <t>Product 22</t>
  </si>
  <si>
    <t>Product 23</t>
  </si>
  <si>
    <t>Product 24</t>
  </si>
  <si>
    <t>Product 25</t>
  </si>
  <si>
    <t>Product 26</t>
  </si>
  <si>
    <t>Product 27</t>
  </si>
  <si>
    <t>Product 28</t>
  </si>
  <si>
    <t>Product 29</t>
  </si>
  <si>
    <t>Product 30</t>
  </si>
  <si>
    <t>Year</t>
  </si>
  <si>
    <t>Average sale price</t>
  </si>
  <si>
    <t>Sales (units)</t>
  </si>
  <si>
    <t>Cost (%)</t>
  </si>
  <si>
    <t>Sales Growth</t>
  </si>
  <si>
    <t>Sale price Growth</t>
  </si>
  <si>
    <t>Expenses Growth</t>
  </si>
  <si>
    <t>Sales</t>
  </si>
  <si>
    <t>Cost</t>
  </si>
  <si>
    <t>GROSS MARGIN</t>
  </si>
  <si>
    <t>OPERATING MARGIN</t>
  </si>
  <si>
    <t>TAXES</t>
  </si>
  <si>
    <t>NET INCOME</t>
  </si>
  <si>
    <t>Initial Investment</t>
  </si>
  <si>
    <t>Continuity Value</t>
  </si>
  <si>
    <t>CASH FLOW</t>
  </si>
  <si>
    <t>Profitability</t>
  </si>
  <si>
    <t>Recovery Period</t>
  </si>
  <si>
    <t>Sale price</t>
  </si>
  <si>
    <t>COST (%)</t>
  </si>
  <si>
    <t>Sales Growth (%)</t>
  </si>
  <si>
    <t>Expenses Growth (%)</t>
  </si>
  <si>
    <t>Sale price growth (%)</t>
  </si>
  <si>
    <t>Average Cost (%)</t>
  </si>
  <si>
    <t>Sales growth (%)</t>
  </si>
  <si>
    <t>Sales price growth (%)</t>
  </si>
  <si>
    <t>Actual Values</t>
  </si>
  <si>
    <t>Pessimistic</t>
  </si>
  <si>
    <t>Expected</t>
  </si>
  <si>
    <t>Optimistic</t>
  </si>
  <si>
    <t>Recovery period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</si>
</sst>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42" formatCode="_-&quot;$&quot;\ * #,##0_-;\-&quot;$&quot;\ * #,##0_-;_-&quot;$&quot;\ * &quot;-&quot;_-;_-@_-"/>
    <numFmt numFmtId="41" formatCode="_-* #,##0_-;\-* #,##0_-;_-* &quot;-&quot;_-;_-@_-"/>
    <numFmt numFmtId="44" formatCode="_-&quot;$&quot;\ * #,##0.00_-;\-&quot;$&quot;\ * #,##0.00_-;_-&quot;$&quot;\ * &quot;-&quot;??_-;_-@_-"/>
    <numFmt numFmtId="164" formatCode="_-&quot;$&quot;\ * #,##0_-;\-&quot;$&quot;\ * #,##0_-;_-&quot;$&quot;\ * &quot;-&quot;??_-;_-@_-"/>
    <numFmt numFmtId="165" formatCode="0.0%"/>
    <numFmt numFmtId="166" formatCode="_-* #,##0.00_-;\-* #,##0.00_-;_-* &quot;-&quot;_-;_-@_-"/>
  </numFmts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2"/>
      <color indexed="9"/>
      <name val="Calibri"/>
      <family val="2"/>
      <scheme val="minor"/>
    </font>
    <font>
      <b/>
      <sz val="11"/>
      <color indexed="8"/>
      <name val="Calibri"/>
      <family val="2"/>
      <scheme val="minor"/>
    </font>
    <font>
      <b/>
      <sz val="11"/>
      <color indexed="18"/>
      <name val="Calibri"/>
      <family val="2"/>
      <scheme val="minor"/>
    </font>
    <font>
      <sz val="10"/>
      <color indexed="9"/>
      <name val="Calibri"/>
      <family val="2"/>
      <scheme val="minor"/>
    </font>
    <font>
      <sz val="8"/>
      <color theme="1"/>
      <name val="Calibri"/>
      <family val="2"/>
      <scheme val="minor"/>
    </font>
    <font>
      <sz val="8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1" tint="0.14999847407452621"/>
        <bgColor indexed="64"/>
      </patternFill>
    </fill>
    <fill>
      <patternFill patternType="solid">
        <fgColor indexed="20"/>
        <bgColor indexed="24"/>
      </patternFill>
    </fill>
    <fill>
      <patternFill patternType="solid">
        <fgColor indexed="22"/>
        <bgColor indexed="24"/>
      </patternFill>
    </fill>
    <fill>
      <patternFill patternType="solid">
        <fgColor indexed="22"/>
        <bgColor indexed="7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41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72">
    <xf numFmtId="0" fontId="0" fillId="0" borderId="0" xfId="0"/>
    <xf numFmtId="0" fontId="2" fillId="0" borderId="0" xfId="0" applyFont="1"/>
    <xf numFmtId="0" fontId="0" fillId="0" borderId="0" xfId="0" applyAlignment="1">
      <alignment horizontal="center"/>
    </xf>
    <xf numFmtId="0" fontId="0" fillId="0" borderId="1" xfId="0" applyBorder="1"/>
    <xf numFmtId="0" fontId="2" fillId="0" borderId="1" xfId="0" applyFont="1" applyBorder="1" applyAlignment="1">
      <alignment horizontal="center"/>
    </xf>
    <xf numFmtId="42" fontId="0" fillId="0" borderId="1" xfId="2" applyFont="1" applyBorder="1" applyAlignment="1">
      <alignment horizontal="center"/>
    </xf>
    <xf numFmtId="42" fontId="0" fillId="0" borderId="1" xfId="2" applyFont="1" applyBorder="1"/>
    <xf numFmtId="41" fontId="0" fillId="0" borderId="1" xfId="1" applyFont="1" applyBorder="1"/>
    <xf numFmtId="164" fontId="0" fillId="0" borderId="0" xfId="3" applyNumberFormat="1" applyFont="1" applyAlignment="1">
      <alignment horizontal="center"/>
    </xf>
    <xf numFmtId="9" fontId="0" fillId="0" borderId="0" xfId="4" applyFont="1"/>
    <xf numFmtId="44" fontId="0" fillId="0" borderId="0" xfId="3" applyFont="1"/>
    <xf numFmtId="42" fontId="0" fillId="0" borderId="0" xfId="4" applyNumberFormat="1" applyFont="1"/>
    <xf numFmtId="164" fontId="0" fillId="0" borderId="0" xfId="3" applyNumberFormat="1" applyFont="1"/>
    <xf numFmtId="164" fontId="2" fillId="0" borderId="0" xfId="3" applyNumberFormat="1" applyFont="1"/>
    <xf numFmtId="164" fontId="2" fillId="0" borderId="0" xfId="0" applyNumberFormat="1" applyFont="1" applyAlignment="1">
      <alignment horizontal="center"/>
    </xf>
    <xf numFmtId="42" fontId="0" fillId="0" borderId="0" xfId="0" applyNumberFormat="1" applyAlignment="1">
      <alignment horizontal="center"/>
    </xf>
    <xf numFmtId="42" fontId="2" fillId="0" borderId="0" xfId="0" applyNumberFormat="1" applyFont="1" applyAlignment="1">
      <alignment horizontal="center"/>
    </xf>
    <xf numFmtId="42" fontId="0" fillId="0" borderId="1" xfId="2" applyFont="1" applyFill="1" applyBorder="1" applyAlignment="1">
      <alignment horizontal="center"/>
    </xf>
    <xf numFmtId="41" fontId="0" fillId="0" borderId="1" xfId="1" applyFont="1" applyFill="1" applyBorder="1"/>
    <xf numFmtId="41" fontId="0" fillId="0" borderId="0" xfId="0" applyNumberFormat="1"/>
    <xf numFmtId="42" fontId="0" fillId="0" borderId="0" xfId="2" applyFont="1"/>
    <xf numFmtId="42" fontId="0" fillId="0" borderId="0" xfId="0" applyNumberFormat="1"/>
    <xf numFmtId="42" fontId="0" fillId="0" borderId="0" xfId="2" applyFont="1" applyAlignment="1">
      <alignment horizontal="center"/>
    </xf>
    <xf numFmtId="41" fontId="0" fillId="0" borderId="0" xfId="1" applyFont="1" applyAlignment="1">
      <alignment horizontal="center"/>
    </xf>
    <xf numFmtId="9" fontId="0" fillId="0" borderId="0" xfId="4" applyFont="1" applyAlignment="1">
      <alignment horizontal="right"/>
    </xf>
    <xf numFmtId="9" fontId="0" fillId="0" borderId="0" xfId="0" applyNumberFormat="1" applyAlignment="1">
      <alignment horizontal="right"/>
    </xf>
    <xf numFmtId="10" fontId="0" fillId="0" borderId="0" xfId="0" applyNumberFormat="1" applyAlignment="1">
      <alignment horizontal="right"/>
    </xf>
    <xf numFmtId="41" fontId="0" fillId="0" borderId="0" xfId="1" applyFont="1"/>
    <xf numFmtId="0" fontId="0" fillId="0" borderId="0" xfId="0" applyAlignment="1">
      <alignment horizontal="right"/>
    </xf>
    <xf numFmtId="0" fontId="0" fillId="0" borderId="0" xfId="0" applyFont="1"/>
    <xf numFmtId="10" fontId="2" fillId="0" borderId="0" xfId="0" applyNumberFormat="1" applyFont="1"/>
    <xf numFmtId="166" fontId="2" fillId="0" borderId="0" xfId="1" applyNumberFormat="1" applyFont="1"/>
    <xf numFmtId="10" fontId="0" fillId="0" borderId="1" xfId="4" applyNumberFormat="1" applyFont="1" applyBorder="1"/>
    <xf numFmtId="10" fontId="2" fillId="0" borderId="3" xfId="0" applyNumberFormat="1" applyFont="1" applyBorder="1"/>
    <xf numFmtId="41" fontId="3" fillId="7" borderId="5" xfId="1" applyFont="1" applyFill="1" applyBorder="1"/>
    <xf numFmtId="41" fontId="3" fillId="7" borderId="5" xfId="0" applyNumberFormat="1" applyFont="1" applyFill="1" applyBorder="1"/>
    <xf numFmtId="42" fontId="0" fillId="6" borderId="3" xfId="0" applyNumberFormat="1" applyFont="1" applyFill="1" applyBorder="1"/>
    <xf numFmtId="165" fontId="0" fillId="6" borderId="3" xfId="4" applyNumberFormat="1" applyFont="1" applyFill="1" applyBorder="1"/>
    <xf numFmtId="165" fontId="0" fillId="6" borderId="3" xfId="0" applyNumberFormat="1" applyFont="1" applyFill="1" applyBorder="1"/>
    <xf numFmtId="41" fontId="2" fillId="0" borderId="0" xfId="1" applyFont="1"/>
    <xf numFmtId="0" fontId="0" fillId="0" borderId="0" xfId="0" applyFill="1" applyBorder="1" applyAlignment="1"/>
    <xf numFmtId="9" fontId="0" fillId="0" borderId="0" xfId="0" applyNumberFormat="1" applyFill="1" applyBorder="1" applyAlignment="1"/>
    <xf numFmtId="10" fontId="0" fillId="0" borderId="0" xfId="0" applyNumberFormat="1" applyFill="1" applyBorder="1" applyAlignment="1"/>
    <xf numFmtId="42" fontId="0" fillId="0" borderId="0" xfId="0" applyNumberFormat="1" applyFill="1" applyBorder="1" applyAlignment="1"/>
    <xf numFmtId="41" fontId="0" fillId="0" borderId="0" xfId="0" applyNumberFormat="1" applyFill="1" applyBorder="1" applyAlignment="1"/>
    <xf numFmtId="166" fontId="0" fillId="0" borderId="13" xfId="0" applyNumberFormat="1" applyFill="1" applyBorder="1" applyAlignment="1"/>
    <xf numFmtId="0" fontId="4" fillId="8" borderId="4" xfId="0" applyFont="1" applyFill="1" applyBorder="1" applyAlignment="1">
      <alignment horizontal="left"/>
    </xf>
    <xf numFmtId="0" fontId="4" fillId="8" borderId="12" xfId="0" applyFont="1" applyFill="1" applyBorder="1" applyAlignment="1">
      <alignment horizontal="left"/>
    </xf>
    <xf numFmtId="0" fontId="0" fillId="0" borderId="14" xfId="0" applyFill="1" applyBorder="1" applyAlignment="1"/>
    <xf numFmtId="0" fontId="5" fillId="9" borderId="0" xfId="0" applyFont="1" applyFill="1" applyBorder="1" applyAlignment="1">
      <alignment horizontal="left"/>
    </xf>
    <xf numFmtId="0" fontId="6" fillId="9" borderId="14" xfId="0" applyFont="1" applyFill="1" applyBorder="1" applyAlignment="1">
      <alignment horizontal="left"/>
    </xf>
    <xf numFmtId="0" fontId="5" fillId="9" borderId="13" xfId="0" applyFont="1" applyFill="1" applyBorder="1" applyAlignment="1">
      <alignment horizontal="left"/>
    </xf>
    <xf numFmtId="0" fontId="7" fillId="8" borderId="12" xfId="0" applyFont="1" applyFill="1" applyBorder="1" applyAlignment="1">
      <alignment horizontal="right"/>
    </xf>
    <xf numFmtId="0" fontId="7" fillId="8" borderId="4" xfId="0" applyFont="1" applyFill="1" applyBorder="1" applyAlignment="1">
      <alignment horizontal="right"/>
    </xf>
    <xf numFmtId="9" fontId="0" fillId="10" borderId="0" xfId="0" applyNumberFormat="1" applyFill="1" applyBorder="1" applyAlignment="1"/>
    <xf numFmtId="10" fontId="0" fillId="10" borderId="0" xfId="0" applyNumberFormat="1" applyFill="1" applyBorder="1" applyAlignment="1"/>
    <xf numFmtId="42" fontId="0" fillId="10" borderId="0" xfId="0" applyNumberFormat="1" applyFill="1" applyBorder="1" applyAlignment="1"/>
    <xf numFmtId="41" fontId="0" fillId="10" borderId="0" xfId="0" applyNumberFormat="1" applyFill="1" applyBorder="1" applyAlignment="1"/>
    <xf numFmtId="0" fontId="8" fillId="0" borderId="0" xfId="0" applyFont="1" applyFill="1" applyBorder="1" applyAlignment="1">
      <alignment vertical="top" wrapText="1"/>
    </xf>
    <xf numFmtId="0" fontId="2" fillId="0" borderId="1" xfId="0" applyFont="1" applyBorder="1" applyAlignment="1">
      <alignment horizontal="center"/>
    </xf>
    <xf numFmtId="10" fontId="2" fillId="0" borderId="0" xfId="4" applyNumberFormat="1" applyFont="1"/>
    <xf numFmtId="0" fontId="2" fillId="0" borderId="1" xfId="0" applyFont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164" fontId="2" fillId="4" borderId="6" xfId="3" applyNumberFormat="1" applyFont="1" applyFill="1" applyBorder="1" applyAlignment="1">
      <alignment horizontal="center"/>
    </xf>
    <xf numFmtId="164" fontId="2" fillId="4" borderId="7" xfId="3" applyNumberFormat="1" applyFont="1" applyFill="1" applyBorder="1" applyAlignment="1">
      <alignment horizontal="center"/>
    </xf>
    <xf numFmtId="164" fontId="2" fillId="4" borderId="8" xfId="3" applyNumberFormat="1" applyFont="1" applyFill="1" applyBorder="1" applyAlignment="1">
      <alignment horizontal="center"/>
    </xf>
    <xf numFmtId="0" fontId="2" fillId="5" borderId="9" xfId="0" applyFont="1" applyFill="1" applyBorder="1" applyAlignment="1">
      <alignment horizontal="center" vertical="center" textRotation="135"/>
    </xf>
    <xf numFmtId="0" fontId="2" fillId="5" borderId="10" xfId="0" applyFont="1" applyFill="1" applyBorder="1" applyAlignment="1">
      <alignment horizontal="center" vertical="center" textRotation="135"/>
    </xf>
    <xf numFmtId="0" fontId="2" fillId="5" borderId="11" xfId="0" applyFont="1" applyFill="1" applyBorder="1" applyAlignment="1">
      <alignment horizontal="center" vertical="center" textRotation="135"/>
    </xf>
  </cellXfs>
  <cellStyles count="5">
    <cellStyle name="Millares [0]" xfId="1" builtinId="6"/>
    <cellStyle name="Moneda" xfId="3" builtinId="4"/>
    <cellStyle name="Moneda [0]" xfId="2" builtinId="7"/>
    <cellStyle name="Normal" xfId="0" builtinId="0"/>
    <cellStyle name="Porcentaje" xfId="4" builtinId="5"/>
  </cellStyles>
  <dxfs count="15"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52AB55-E7B9-4FD3-9D6F-7F2854F579AA}">
  <dimension ref="A1:L62"/>
  <sheetViews>
    <sheetView workbookViewId="0">
      <selection activeCell="A26" sqref="A26:A38"/>
    </sheetView>
  </sheetViews>
  <sheetFormatPr baseColWidth="10" defaultRowHeight="15" x14ac:dyDescent="0.25"/>
  <cols>
    <col min="1" max="1" width="26.42578125" bestFit="1" customWidth="1"/>
    <col min="2" max="2" width="13.85546875" style="2" bestFit="1" customWidth="1"/>
    <col min="3" max="3" width="9.28515625" style="2" bestFit="1" customWidth="1"/>
    <col min="4" max="5" width="9.28515625" bestFit="1" customWidth="1"/>
    <col min="6" max="9" width="10.28515625" customWidth="1"/>
    <col min="10" max="10" width="11.7109375" bestFit="1" customWidth="1"/>
    <col min="11" max="11" width="21.7109375" bestFit="1" customWidth="1"/>
  </cols>
  <sheetData>
    <row r="1" spans="1:12" x14ac:dyDescent="0.25">
      <c r="A1" s="1"/>
      <c r="B1" s="62" t="s">
        <v>48</v>
      </c>
      <c r="C1" s="62"/>
      <c r="D1" s="62"/>
      <c r="E1" s="62"/>
      <c r="F1" s="62"/>
      <c r="G1" s="62"/>
      <c r="H1" s="62"/>
      <c r="I1" s="62"/>
      <c r="K1" t="s">
        <v>44</v>
      </c>
      <c r="L1" s="20">
        <f>(SUMPRODUCT(D4:E20,H4:I20)+SUMPRODUCT(D26:E38,H26:I38))/L4</f>
        <v>18941.588143811176</v>
      </c>
    </row>
    <row r="2" spans="1:12" x14ac:dyDescent="0.25">
      <c r="B2" s="61" t="s">
        <v>21</v>
      </c>
      <c r="C2" s="61"/>
      <c r="D2" s="61" t="s">
        <v>22</v>
      </c>
      <c r="E2" s="61"/>
      <c r="F2" s="64" t="s">
        <v>23</v>
      </c>
      <c r="G2" s="65"/>
      <c r="H2" s="61" t="s">
        <v>24</v>
      </c>
      <c r="I2" s="61"/>
      <c r="K2" t="s">
        <v>45</v>
      </c>
      <c r="L2" s="20">
        <f>+(SUMPRODUCT(H4:I20,B4:C20)+SUMPRODUCT(B26:C38,H26:I38))/L4</f>
        <v>16100.349922239502</v>
      </c>
    </row>
    <row r="3" spans="1:12" x14ac:dyDescent="0.25">
      <c r="B3" s="4" t="s">
        <v>25</v>
      </c>
      <c r="C3" s="4" t="s">
        <v>26</v>
      </c>
      <c r="D3" s="59" t="s">
        <v>25</v>
      </c>
      <c r="E3" s="59" t="s">
        <v>26</v>
      </c>
      <c r="F3" s="59" t="s">
        <v>25</v>
      </c>
      <c r="G3" s="59" t="s">
        <v>26</v>
      </c>
      <c r="H3" s="59" t="s">
        <v>25</v>
      </c>
      <c r="I3" s="59" t="s">
        <v>26</v>
      </c>
      <c r="K3" t="s">
        <v>46</v>
      </c>
      <c r="L3" s="9">
        <f>+L2/L1</f>
        <v>0.8500000000000002</v>
      </c>
    </row>
    <row r="4" spans="1:12" x14ac:dyDescent="0.25">
      <c r="A4" s="3" t="s">
        <v>27</v>
      </c>
      <c r="B4" s="5">
        <v>28000</v>
      </c>
      <c r="C4" s="5">
        <v>26000</v>
      </c>
      <c r="D4" s="6">
        <f>+B4*(1+40%)/1.19</f>
        <v>32941.176470588238</v>
      </c>
      <c r="E4" s="6">
        <f>+C4*(1+40%)/1.19</f>
        <v>30588.235294117647</v>
      </c>
      <c r="F4" s="7">
        <f>+H4*10%</f>
        <v>60</v>
      </c>
      <c r="G4" s="7">
        <f>+I4*10%</f>
        <v>10</v>
      </c>
      <c r="H4" s="7">
        <f>50*12</f>
        <v>600</v>
      </c>
      <c r="I4" s="7">
        <v>100</v>
      </c>
      <c r="J4" s="10"/>
      <c r="K4" t="s">
        <v>47</v>
      </c>
      <c r="L4" s="19">
        <f>+SUM(H4:I20,H26:I38)</f>
        <v>185184</v>
      </c>
    </row>
    <row r="5" spans="1:12" x14ac:dyDescent="0.25">
      <c r="A5" s="3" t="s">
        <v>28</v>
      </c>
      <c r="B5" s="17">
        <v>32000</v>
      </c>
      <c r="C5" s="17">
        <v>30000</v>
      </c>
      <c r="D5" s="6">
        <f t="shared" ref="D5:D20" si="0">+B5*(1+40%)/1.19</f>
        <v>37647.058823529413</v>
      </c>
      <c r="E5" s="6">
        <f t="shared" ref="E5:E20" si="1">+C5*(1+40%)/1.19</f>
        <v>35294.117647058825</v>
      </c>
      <c r="F5" s="18">
        <f t="shared" ref="F5:F20" si="2">+H5*10%</f>
        <v>864</v>
      </c>
      <c r="G5" s="18">
        <f t="shared" ref="G5:G20" si="3">+I5*10%</f>
        <v>1080</v>
      </c>
      <c r="H5" s="18">
        <f>24*360</f>
        <v>8640</v>
      </c>
      <c r="I5" s="18">
        <f>30*360</f>
        <v>10800</v>
      </c>
      <c r="J5" s="9"/>
      <c r="K5" s="11"/>
      <c r="L5" s="11"/>
    </row>
    <row r="6" spans="1:12" x14ac:dyDescent="0.25">
      <c r="A6" s="3" t="s">
        <v>29</v>
      </c>
      <c r="B6" s="17">
        <v>17000</v>
      </c>
      <c r="C6" s="17">
        <v>16500</v>
      </c>
      <c r="D6" s="6">
        <f t="shared" si="0"/>
        <v>20000</v>
      </c>
      <c r="E6" s="6">
        <f t="shared" si="1"/>
        <v>19411.764705882353</v>
      </c>
      <c r="F6" s="18">
        <f t="shared" si="2"/>
        <v>500</v>
      </c>
      <c r="G6" s="18">
        <f t="shared" si="3"/>
        <v>300</v>
      </c>
      <c r="H6" s="18">
        <v>5000</v>
      </c>
      <c r="I6" s="18">
        <v>3000</v>
      </c>
      <c r="J6" s="9"/>
      <c r="K6" s="11"/>
      <c r="L6" s="11"/>
    </row>
    <row r="7" spans="1:12" x14ac:dyDescent="0.25">
      <c r="A7" s="3" t="s">
        <v>30</v>
      </c>
      <c r="B7" s="17">
        <v>18000</v>
      </c>
      <c r="C7" s="17">
        <v>16000</v>
      </c>
      <c r="D7" s="6">
        <f t="shared" si="0"/>
        <v>21176.470588235294</v>
      </c>
      <c r="E7" s="6">
        <f t="shared" si="1"/>
        <v>18823.529411764706</v>
      </c>
      <c r="F7" s="18">
        <f t="shared" si="2"/>
        <v>864</v>
      </c>
      <c r="G7" s="18">
        <f t="shared" si="3"/>
        <v>400</v>
      </c>
      <c r="H7" s="18">
        <f>24*360</f>
        <v>8640</v>
      </c>
      <c r="I7" s="18">
        <v>4000</v>
      </c>
      <c r="J7" s="9"/>
      <c r="K7" s="9"/>
    </row>
    <row r="8" spans="1:12" x14ac:dyDescent="0.25">
      <c r="A8" s="3" t="s">
        <v>31</v>
      </c>
      <c r="B8" s="17">
        <v>9500</v>
      </c>
      <c r="C8" s="17">
        <v>9000</v>
      </c>
      <c r="D8" s="6">
        <f t="shared" si="0"/>
        <v>11176.470588235296</v>
      </c>
      <c r="E8" s="6">
        <f t="shared" si="1"/>
        <v>10588.235294117647</v>
      </c>
      <c r="F8" s="18">
        <f t="shared" si="2"/>
        <v>1296</v>
      </c>
      <c r="G8" s="18">
        <f t="shared" si="3"/>
        <v>1296</v>
      </c>
      <c r="H8" s="18">
        <f>36*360</f>
        <v>12960</v>
      </c>
      <c r="I8" s="18">
        <f>+H8</f>
        <v>12960</v>
      </c>
      <c r="J8" s="9"/>
      <c r="K8" s="9"/>
    </row>
    <row r="9" spans="1:12" x14ac:dyDescent="0.25">
      <c r="A9" s="3" t="s">
        <v>32</v>
      </c>
      <c r="B9" s="17">
        <v>9500</v>
      </c>
      <c r="C9" s="17">
        <v>9500</v>
      </c>
      <c r="D9" s="6">
        <f t="shared" si="0"/>
        <v>11176.470588235296</v>
      </c>
      <c r="E9" s="6">
        <f t="shared" si="1"/>
        <v>11176.470588235296</v>
      </c>
      <c r="F9" s="18">
        <f t="shared" si="2"/>
        <v>250</v>
      </c>
      <c r="G9" s="18">
        <f t="shared" si="3"/>
        <v>300</v>
      </c>
      <c r="H9" s="18">
        <v>2500</v>
      </c>
      <c r="I9" s="18">
        <v>3000</v>
      </c>
      <c r="J9" s="9"/>
      <c r="K9" s="9"/>
    </row>
    <row r="10" spans="1:12" x14ac:dyDescent="0.25">
      <c r="A10" s="3" t="s">
        <v>33</v>
      </c>
      <c r="B10" s="17">
        <v>12000</v>
      </c>
      <c r="C10" s="17">
        <v>11000</v>
      </c>
      <c r="D10" s="6">
        <f t="shared" si="0"/>
        <v>14117.64705882353</v>
      </c>
      <c r="E10" s="6">
        <f t="shared" si="1"/>
        <v>12941.176470588234</v>
      </c>
      <c r="F10" s="18">
        <f t="shared" si="2"/>
        <v>150</v>
      </c>
      <c r="G10" s="18">
        <f t="shared" si="3"/>
        <v>100</v>
      </c>
      <c r="H10" s="18">
        <v>1500</v>
      </c>
      <c r="I10" s="18">
        <v>1000</v>
      </c>
      <c r="J10" s="9"/>
      <c r="K10" s="9"/>
    </row>
    <row r="11" spans="1:12" x14ac:dyDescent="0.25">
      <c r="A11" s="3" t="s">
        <v>34</v>
      </c>
      <c r="B11" s="17">
        <v>17000</v>
      </c>
      <c r="C11" s="17">
        <v>17000</v>
      </c>
      <c r="D11" s="6">
        <f t="shared" si="0"/>
        <v>20000</v>
      </c>
      <c r="E11" s="6">
        <f t="shared" si="1"/>
        <v>20000</v>
      </c>
      <c r="F11" s="18">
        <f t="shared" si="2"/>
        <v>1296</v>
      </c>
      <c r="G11" s="18">
        <f t="shared" si="3"/>
        <v>864</v>
      </c>
      <c r="H11" s="18">
        <f>36*360</f>
        <v>12960</v>
      </c>
      <c r="I11" s="18">
        <f>24*360</f>
        <v>8640</v>
      </c>
      <c r="J11" s="9"/>
      <c r="K11" s="9"/>
    </row>
    <row r="12" spans="1:12" x14ac:dyDescent="0.25">
      <c r="A12" s="3" t="s">
        <v>35</v>
      </c>
      <c r="B12" s="17">
        <v>16000</v>
      </c>
      <c r="C12" s="17">
        <v>16000</v>
      </c>
      <c r="D12" s="6">
        <f t="shared" si="0"/>
        <v>18823.529411764706</v>
      </c>
      <c r="E12" s="6">
        <f t="shared" si="1"/>
        <v>18823.529411764706</v>
      </c>
      <c r="F12" s="18">
        <f t="shared" si="2"/>
        <v>800</v>
      </c>
      <c r="G12" s="18">
        <f t="shared" si="3"/>
        <v>600</v>
      </c>
      <c r="H12" s="18">
        <v>8000</v>
      </c>
      <c r="I12" s="18">
        <v>6000</v>
      </c>
      <c r="J12" s="9"/>
      <c r="K12" s="9"/>
    </row>
    <row r="13" spans="1:12" x14ac:dyDescent="0.25">
      <c r="A13" s="3" t="s">
        <v>36</v>
      </c>
      <c r="B13" s="17">
        <v>16000</v>
      </c>
      <c r="C13" s="17">
        <v>14000</v>
      </c>
      <c r="D13" s="6">
        <f t="shared" si="0"/>
        <v>18823.529411764706</v>
      </c>
      <c r="E13" s="6">
        <f t="shared" si="1"/>
        <v>16470.588235294119</v>
      </c>
      <c r="F13" s="18">
        <f t="shared" si="2"/>
        <v>1296</v>
      </c>
      <c r="G13" s="18">
        <f t="shared" si="3"/>
        <v>648</v>
      </c>
      <c r="H13" s="18">
        <f>36*360</f>
        <v>12960</v>
      </c>
      <c r="I13" s="18">
        <f>+H13/2</f>
        <v>6480</v>
      </c>
      <c r="J13" s="9"/>
      <c r="K13" s="9"/>
    </row>
    <row r="14" spans="1:12" x14ac:dyDescent="0.25">
      <c r="A14" s="3" t="s">
        <v>37</v>
      </c>
      <c r="B14" s="17">
        <v>26000</v>
      </c>
      <c r="C14" s="17">
        <v>26000</v>
      </c>
      <c r="D14" s="6">
        <f t="shared" si="0"/>
        <v>30588.235294117647</v>
      </c>
      <c r="E14" s="6">
        <f t="shared" si="1"/>
        <v>30588.235294117647</v>
      </c>
      <c r="F14" s="18">
        <f t="shared" si="2"/>
        <v>432</v>
      </c>
      <c r="G14" s="18">
        <f t="shared" si="3"/>
        <v>144</v>
      </c>
      <c r="H14" s="18">
        <f>12*360</f>
        <v>4320</v>
      </c>
      <c r="I14" s="18">
        <f>4*360</f>
        <v>1440</v>
      </c>
      <c r="J14" s="9"/>
      <c r="K14" s="9"/>
    </row>
    <row r="15" spans="1:12" x14ac:dyDescent="0.25">
      <c r="A15" s="3" t="s">
        <v>38</v>
      </c>
      <c r="B15" s="17">
        <v>0</v>
      </c>
      <c r="C15" s="17">
        <v>9000</v>
      </c>
      <c r="D15" s="6">
        <f t="shared" si="0"/>
        <v>0</v>
      </c>
      <c r="E15" s="6">
        <f t="shared" si="1"/>
        <v>10588.235294117647</v>
      </c>
      <c r="F15" s="18">
        <f t="shared" si="2"/>
        <v>0</v>
      </c>
      <c r="G15" s="18">
        <f t="shared" si="3"/>
        <v>430</v>
      </c>
      <c r="H15" s="18"/>
      <c r="I15" s="18">
        <v>4300</v>
      </c>
      <c r="J15" s="9"/>
      <c r="K15" s="9"/>
    </row>
    <row r="16" spans="1:12" x14ac:dyDescent="0.25">
      <c r="A16" s="3" t="s">
        <v>39</v>
      </c>
      <c r="B16" s="17">
        <v>0</v>
      </c>
      <c r="C16" s="17">
        <v>17000</v>
      </c>
      <c r="D16" s="6">
        <f t="shared" si="0"/>
        <v>0</v>
      </c>
      <c r="E16" s="6">
        <f t="shared" si="1"/>
        <v>20000</v>
      </c>
      <c r="F16" s="18">
        <f t="shared" si="2"/>
        <v>0</v>
      </c>
      <c r="G16" s="18">
        <f t="shared" si="3"/>
        <v>432</v>
      </c>
      <c r="H16" s="18"/>
      <c r="I16" s="18">
        <f>12*360</f>
        <v>4320</v>
      </c>
      <c r="J16" s="9"/>
      <c r="K16" s="9"/>
    </row>
    <row r="17" spans="1:11" x14ac:dyDescent="0.25">
      <c r="A17" s="3" t="s">
        <v>40</v>
      </c>
      <c r="B17" s="17">
        <v>0</v>
      </c>
      <c r="C17" s="17">
        <v>13000</v>
      </c>
      <c r="D17" s="6">
        <f t="shared" si="0"/>
        <v>0</v>
      </c>
      <c r="E17" s="6">
        <f t="shared" si="1"/>
        <v>15294.117647058823</v>
      </c>
      <c r="F17" s="18">
        <f t="shared" si="2"/>
        <v>0</v>
      </c>
      <c r="G17" s="18">
        <f t="shared" si="3"/>
        <v>648</v>
      </c>
      <c r="H17" s="18"/>
      <c r="I17" s="18">
        <f>18*360</f>
        <v>6480</v>
      </c>
      <c r="J17" s="9"/>
      <c r="K17" s="9"/>
    </row>
    <row r="18" spans="1:11" x14ac:dyDescent="0.25">
      <c r="A18" s="3" t="s">
        <v>41</v>
      </c>
      <c r="B18" s="17">
        <v>0</v>
      </c>
      <c r="C18" s="17">
        <v>12000</v>
      </c>
      <c r="D18" s="6">
        <f t="shared" si="0"/>
        <v>0</v>
      </c>
      <c r="E18" s="6">
        <f t="shared" si="1"/>
        <v>14117.64705882353</v>
      </c>
      <c r="F18" s="18">
        <f t="shared" si="2"/>
        <v>0</v>
      </c>
      <c r="G18" s="18">
        <f t="shared" si="3"/>
        <v>216</v>
      </c>
      <c r="H18" s="18"/>
      <c r="I18" s="18">
        <f>6*360</f>
        <v>2160</v>
      </c>
      <c r="J18" s="9"/>
      <c r="K18" s="9"/>
    </row>
    <row r="19" spans="1:11" x14ac:dyDescent="0.25">
      <c r="A19" s="3" t="s">
        <v>42</v>
      </c>
      <c r="B19" s="17">
        <v>0</v>
      </c>
      <c r="C19" s="17">
        <v>8000</v>
      </c>
      <c r="D19" s="6">
        <f t="shared" si="0"/>
        <v>0</v>
      </c>
      <c r="E19" s="6">
        <f t="shared" si="1"/>
        <v>9411.7647058823532</v>
      </c>
      <c r="F19" s="18">
        <f t="shared" si="2"/>
        <v>0</v>
      </c>
      <c r="G19" s="18">
        <f t="shared" si="3"/>
        <v>216</v>
      </c>
      <c r="H19" s="18"/>
      <c r="I19" s="18">
        <f>6*360</f>
        <v>2160</v>
      </c>
      <c r="J19" s="9"/>
      <c r="K19" s="9"/>
    </row>
    <row r="20" spans="1:11" ht="15.6" customHeight="1" x14ac:dyDescent="0.25">
      <c r="A20" s="3" t="s">
        <v>43</v>
      </c>
      <c r="B20" s="17">
        <v>0</v>
      </c>
      <c r="C20" s="17">
        <v>9000</v>
      </c>
      <c r="D20" s="6">
        <f t="shared" si="0"/>
        <v>0</v>
      </c>
      <c r="E20" s="6">
        <f t="shared" si="1"/>
        <v>10588.235294117647</v>
      </c>
      <c r="F20" s="18">
        <f t="shared" si="2"/>
        <v>0</v>
      </c>
      <c r="G20" s="18">
        <f t="shared" si="3"/>
        <v>144</v>
      </c>
      <c r="H20" s="18"/>
      <c r="I20" s="18">
        <f>4*360</f>
        <v>1440</v>
      </c>
      <c r="J20" s="9"/>
      <c r="K20" s="9"/>
    </row>
    <row r="23" spans="1:11" x14ac:dyDescent="0.25">
      <c r="B23" s="63" t="s">
        <v>49</v>
      </c>
      <c r="C23" s="63"/>
      <c r="D23" s="63"/>
      <c r="E23" s="63"/>
      <c r="F23" s="63"/>
      <c r="G23" s="63"/>
      <c r="H23" s="63"/>
      <c r="I23" s="63"/>
    </row>
    <row r="24" spans="1:11" x14ac:dyDescent="0.25">
      <c r="B24" s="61" t="s">
        <v>21</v>
      </c>
      <c r="C24" s="61"/>
      <c r="D24" s="61" t="s">
        <v>22</v>
      </c>
      <c r="E24" s="61"/>
      <c r="F24" s="64" t="s">
        <v>23</v>
      </c>
      <c r="G24" s="65"/>
      <c r="H24" s="61" t="s">
        <v>24</v>
      </c>
      <c r="I24" s="61"/>
    </row>
    <row r="25" spans="1:11" x14ac:dyDescent="0.25">
      <c r="B25" s="59" t="s">
        <v>25</v>
      </c>
      <c r="C25" s="59" t="s">
        <v>26</v>
      </c>
      <c r="D25" s="59" t="s">
        <v>25</v>
      </c>
      <c r="E25" s="59" t="s">
        <v>26</v>
      </c>
      <c r="F25" s="59" t="s">
        <v>25</v>
      </c>
      <c r="G25" s="59" t="s">
        <v>26</v>
      </c>
      <c r="H25" s="59" t="s">
        <v>25</v>
      </c>
      <c r="I25" s="59" t="s">
        <v>26</v>
      </c>
    </row>
    <row r="26" spans="1:11" x14ac:dyDescent="0.25">
      <c r="A26" s="3" t="s">
        <v>50</v>
      </c>
      <c r="B26" s="5">
        <v>32000</v>
      </c>
      <c r="C26" s="5">
        <v>30000</v>
      </c>
      <c r="D26" s="6">
        <f>+B26*(1+40%)/1.19</f>
        <v>37647.058823529413</v>
      </c>
      <c r="E26" s="6">
        <f>+C26*(1+40%)/1.19</f>
        <v>35294.117647058825</v>
      </c>
      <c r="F26" s="7">
        <f t="shared" ref="F26" si="4">+H26*10%</f>
        <v>12</v>
      </c>
      <c r="G26" s="7">
        <f t="shared" ref="G26" si="5">+I26*10%</f>
        <v>2</v>
      </c>
      <c r="H26" s="7">
        <f>+H4*20%</f>
        <v>120</v>
      </c>
      <c r="I26" s="7">
        <f>+I4*20%</f>
        <v>20</v>
      </c>
    </row>
    <row r="27" spans="1:11" x14ac:dyDescent="0.25">
      <c r="A27" s="3" t="s">
        <v>51</v>
      </c>
      <c r="B27" s="5">
        <v>35000</v>
      </c>
      <c r="C27" s="5">
        <v>33000</v>
      </c>
      <c r="D27" s="6">
        <f t="shared" ref="D27:D38" si="6">+B27*(1+40%)/1.19</f>
        <v>41176.470588235294</v>
      </c>
      <c r="E27" s="6">
        <f t="shared" ref="E27:E38" si="7">+C27*(1+40%)/1.19</f>
        <v>38823.529411764706</v>
      </c>
      <c r="F27" s="7">
        <f t="shared" ref="F27:F38" si="8">+H27*10%</f>
        <v>172.8</v>
      </c>
      <c r="G27" s="7">
        <f t="shared" ref="G27:G38" si="9">+I27*10%</f>
        <v>216</v>
      </c>
      <c r="H27" s="7">
        <f t="shared" ref="H27:I27" si="10">+H5*20%</f>
        <v>1728</v>
      </c>
      <c r="I27" s="7">
        <f t="shared" si="10"/>
        <v>2160</v>
      </c>
    </row>
    <row r="28" spans="1:11" x14ac:dyDescent="0.25">
      <c r="A28" s="3" t="s">
        <v>52</v>
      </c>
      <c r="B28" s="5">
        <v>24000</v>
      </c>
      <c r="C28" s="5">
        <v>23000</v>
      </c>
      <c r="D28" s="6">
        <f t="shared" si="6"/>
        <v>28235.294117647059</v>
      </c>
      <c r="E28" s="6">
        <f t="shared" si="7"/>
        <v>27058.823529411762</v>
      </c>
      <c r="F28" s="7">
        <f t="shared" si="8"/>
        <v>100</v>
      </c>
      <c r="G28" s="7">
        <f t="shared" si="9"/>
        <v>60</v>
      </c>
      <c r="H28" s="7">
        <f t="shared" ref="H28:I28" si="11">+H6*20%</f>
        <v>1000</v>
      </c>
      <c r="I28" s="7">
        <f t="shared" si="11"/>
        <v>600</v>
      </c>
    </row>
    <row r="29" spans="1:11" x14ac:dyDescent="0.25">
      <c r="A29" s="3" t="s">
        <v>53</v>
      </c>
      <c r="B29" s="5">
        <f>450*34</f>
        <v>15300</v>
      </c>
      <c r="C29" s="5">
        <v>14000</v>
      </c>
      <c r="D29" s="6">
        <f t="shared" si="6"/>
        <v>18000</v>
      </c>
      <c r="E29" s="6">
        <f t="shared" si="7"/>
        <v>16470.588235294119</v>
      </c>
      <c r="F29" s="7">
        <f t="shared" si="8"/>
        <v>172.8</v>
      </c>
      <c r="G29" s="7">
        <f t="shared" si="9"/>
        <v>80</v>
      </c>
      <c r="H29" s="7">
        <f t="shared" ref="H29:I29" si="12">+H7*20%</f>
        <v>1728</v>
      </c>
      <c r="I29" s="7">
        <f t="shared" si="12"/>
        <v>800</v>
      </c>
    </row>
    <row r="30" spans="1:11" x14ac:dyDescent="0.25">
      <c r="A30" s="3" t="s">
        <v>54</v>
      </c>
      <c r="B30" s="5">
        <v>12900</v>
      </c>
      <c r="C30" s="5">
        <v>11000</v>
      </c>
      <c r="D30" s="6">
        <f t="shared" si="6"/>
        <v>15176.470588235296</v>
      </c>
      <c r="E30" s="6">
        <f t="shared" si="7"/>
        <v>12941.176470588234</v>
      </c>
      <c r="F30" s="7">
        <f t="shared" si="8"/>
        <v>259.2</v>
      </c>
      <c r="G30" s="7">
        <f t="shared" si="9"/>
        <v>259.2</v>
      </c>
      <c r="H30" s="7">
        <f t="shared" ref="H30:I30" si="13">+H8*20%</f>
        <v>2592</v>
      </c>
      <c r="I30" s="7">
        <f t="shared" si="13"/>
        <v>2592</v>
      </c>
    </row>
    <row r="31" spans="1:11" x14ac:dyDescent="0.25">
      <c r="A31" s="3" t="s">
        <v>55</v>
      </c>
      <c r="B31" s="5">
        <v>19000</v>
      </c>
      <c r="C31" s="5">
        <v>18000</v>
      </c>
      <c r="D31" s="6">
        <f t="shared" si="6"/>
        <v>22352.941176470591</v>
      </c>
      <c r="E31" s="6">
        <f t="shared" si="7"/>
        <v>21176.470588235294</v>
      </c>
      <c r="F31" s="7">
        <f t="shared" si="8"/>
        <v>50</v>
      </c>
      <c r="G31" s="7">
        <f t="shared" si="9"/>
        <v>60</v>
      </c>
      <c r="H31" s="7">
        <f t="shared" ref="H31:I31" si="14">+H9*20%</f>
        <v>500</v>
      </c>
      <c r="I31" s="7">
        <f t="shared" si="14"/>
        <v>600</v>
      </c>
    </row>
    <row r="32" spans="1:11" x14ac:dyDescent="0.25">
      <c r="A32" s="3" t="s">
        <v>56</v>
      </c>
      <c r="B32" s="5">
        <v>17000</v>
      </c>
      <c r="C32" s="5">
        <v>0</v>
      </c>
      <c r="D32" s="6">
        <f t="shared" si="6"/>
        <v>20000</v>
      </c>
      <c r="E32" s="6">
        <f t="shared" si="7"/>
        <v>0</v>
      </c>
      <c r="F32" s="7">
        <f t="shared" si="8"/>
        <v>30</v>
      </c>
      <c r="G32" s="7">
        <f t="shared" si="9"/>
        <v>20</v>
      </c>
      <c r="H32" s="7">
        <f t="shared" ref="H32:I32" si="15">+H10*20%</f>
        <v>300</v>
      </c>
      <c r="I32" s="7">
        <f t="shared" si="15"/>
        <v>200</v>
      </c>
    </row>
    <row r="33" spans="1:9" x14ac:dyDescent="0.25">
      <c r="A33" s="3" t="s">
        <v>57</v>
      </c>
      <c r="B33" s="5">
        <v>0</v>
      </c>
      <c r="C33" s="5">
        <v>10500</v>
      </c>
      <c r="D33" s="6">
        <f t="shared" si="6"/>
        <v>0</v>
      </c>
      <c r="E33" s="6">
        <f t="shared" si="7"/>
        <v>12352.941176470587</v>
      </c>
      <c r="F33" s="7">
        <f t="shared" si="8"/>
        <v>259.2</v>
      </c>
      <c r="G33" s="7">
        <f t="shared" si="9"/>
        <v>172.8</v>
      </c>
      <c r="H33" s="7">
        <f t="shared" ref="H33:I33" si="16">+H11*20%</f>
        <v>2592</v>
      </c>
      <c r="I33" s="7">
        <f t="shared" si="16"/>
        <v>1728</v>
      </c>
    </row>
    <row r="34" spans="1:9" x14ac:dyDescent="0.25">
      <c r="A34" s="3" t="s">
        <v>58</v>
      </c>
      <c r="B34" s="5">
        <v>0</v>
      </c>
      <c r="C34" s="5">
        <v>19000</v>
      </c>
      <c r="D34" s="6">
        <f t="shared" si="6"/>
        <v>0</v>
      </c>
      <c r="E34" s="6">
        <f t="shared" si="7"/>
        <v>22352.941176470591</v>
      </c>
      <c r="F34" s="7">
        <f t="shared" si="8"/>
        <v>160</v>
      </c>
      <c r="G34" s="7">
        <f t="shared" si="9"/>
        <v>120</v>
      </c>
      <c r="H34" s="7">
        <f t="shared" ref="H34:I34" si="17">+H12*20%</f>
        <v>1600</v>
      </c>
      <c r="I34" s="7">
        <f t="shared" si="17"/>
        <v>1200</v>
      </c>
    </row>
    <row r="35" spans="1:9" x14ac:dyDescent="0.25">
      <c r="A35" s="3" t="s">
        <v>59</v>
      </c>
      <c r="B35" s="5">
        <v>0</v>
      </c>
      <c r="C35" s="5">
        <v>20000</v>
      </c>
      <c r="D35" s="6">
        <f t="shared" si="6"/>
        <v>0</v>
      </c>
      <c r="E35" s="6">
        <f t="shared" si="7"/>
        <v>23529.411764705885</v>
      </c>
      <c r="F35" s="7">
        <f t="shared" si="8"/>
        <v>259.2</v>
      </c>
      <c r="G35" s="7">
        <f t="shared" si="9"/>
        <v>129.6</v>
      </c>
      <c r="H35" s="7">
        <f t="shared" ref="H35:I35" si="18">+H13*20%</f>
        <v>2592</v>
      </c>
      <c r="I35" s="7">
        <f t="shared" si="18"/>
        <v>1296</v>
      </c>
    </row>
    <row r="36" spans="1:9" x14ac:dyDescent="0.25">
      <c r="A36" s="3" t="s">
        <v>60</v>
      </c>
      <c r="B36" s="5">
        <v>0</v>
      </c>
      <c r="C36" s="5">
        <v>17500</v>
      </c>
      <c r="D36" s="6">
        <f t="shared" si="6"/>
        <v>0</v>
      </c>
      <c r="E36" s="6">
        <f t="shared" si="7"/>
        <v>20588.235294117647</v>
      </c>
      <c r="F36" s="7">
        <f t="shared" si="8"/>
        <v>86.4</v>
      </c>
      <c r="G36" s="7">
        <f t="shared" si="9"/>
        <v>28.8</v>
      </c>
      <c r="H36" s="7">
        <f t="shared" ref="H36:I36" si="19">+H14*20%</f>
        <v>864</v>
      </c>
      <c r="I36" s="7">
        <f t="shared" si="19"/>
        <v>288</v>
      </c>
    </row>
    <row r="37" spans="1:9" x14ac:dyDescent="0.25">
      <c r="A37" s="3" t="s">
        <v>61</v>
      </c>
      <c r="B37" s="5">
        <v>0</v>
      </c>
      <c r="C37" s="5">
        <v>11500</v>
      </c>
      <c r="D37" s="6">
        <f t="shared" si="6"/>
        <v>0</v>
      </c>
      <c r="E37" s="6">
        <f t="shared" si="7"/>
        <v>13529.411764705881</v>
      </c>
      <c r="F37" s="7">
        <f t="shared" si="8"/>
        <v>0</v>
      </c>
      <c r="G37" s="7">
        <f t="shared" si="9"/>
        <v>86</v>
      </c>
      <c r="H37" s="7">
        <f t="shared" ref="H37:I37" si="20">+H15*20%</f>
        <v>0</v>
      </c>
      <c r="I37" s="7">
        <f t="shared" si="20"/>
        <v>860</v>
      </c>
    </row>
    <row r="38" spans="1:9" x14ac:dyDescent="0.25">
      <c r="A38" s="3" t="s">
        <v>62</v>
      </c>
      <c r="B38" s="5">
        <v>0</v>
      </c>
      <c r="C38" s="5">
        <v>16500</v>
      </c>
      <c r="D38" s="6">
        <f t="shared" si="6"/>
        <v>0</v>
      </c>
      <c r="E38" s="6">
        <f t="shared" si="7"/>
        <v>19411.764705882353</v>
      </c>
      <c r="F38" s="7">
        <f t="shared" si="8"/>
        <v>0</v>
      </c>
      <c r="G38" s="7">
        <f t="shared" si="9"/>
        <v>86.4</v>
      </c>
      <c r="H38" s="7">
        <f t="shared" ref="H38:I38" si="21">+H16*20%</f>
        <v>0</v>
      </c>
      <c r="I38" s="7">
        <f t="shared" si="21"/>
        <v>864</v>
      </c>
    </row>
    <row r="41" spans="1:9" x14ac:dyDescent="0.25">
      <c r="A41" t="s">
        <v>6</v>
      </c>
      <c r="B41" s="15">
        <f>+SUMPRODUCT(F26:G38,B26:C38)+SUMPRODUCT(B4:C20,F4:G20)</f>
        <v>298152720</v>
      </c>
    </row>
    <row r="42" spans="1:9" x14ac:dyDescent="0.25">
      <c r="A42" t="s">
        <v>7</v>
      </c>
      <c r="B42" s="15">
        <f>+B51*6</f>
        <v>233400000</v>
      </c>
    </row>
    <row r="43" spans="1:9" x14ac:dyDescent="0.25">
      <c r="A43" s="1" t="s">
        <v>8</v>
      </c>
      <c r="B43" s="16">
        <f>SUM(B41:B42)</f>
        <v>531552720</v>
      </c>
    </row>
    <row r="45" spans="1:9" x14ac:dyDescent="0.25">
      <c r="A45" s="1" t="s">
        <v>0</v>
      </c>
    </row>
    <row r="46" spans="1:9" x14ac:dyDescent="0.25">
      <c r="A46" t="s">
        <v>1</v>
      </c>
      <c r="B46" s="8">
        <v>2000000</v>
      </c>
    </row>
    <row r="47" spans="1:9" x14ac:dyDescent="0.25">
      <c r="A47" t="s">
        <v>2</v>
      </c>
      <c r="B47" s="8">
        <f>8*1300000</f>
        <v>10400000</v>
      </c>
    </row>
    <row r="48" spans="1:9" x14ac:dyDescent="0.25">
      <c r="A48" t="s">
        <v>3</v>
      </c>
      <c r="B48" s="8">
        <v>15000000</v>
      </c>
    </row>
    <row r="49" spans="1:3" x14ac:dyDescent="0.25">
      <c r="A49" t="s">
        <v>4</v>
      </c>
      <c r="B49" s="8">
        <v>1500000</v>
      </c>
    </row>
    <row r="50" spans="1:3" x14ac:dyDescent="0.25">
      <c r="A50" t="s">
        <v>5</v>
      </c>
      <c r="B50" s="8">
        <v>10000000</v>
      </c>
    </row>
    <row r="51" spans="1:3" x14ac:dyDescent="0.25">
      <c r="B51" s="14">
        <f>SUM(B46:B50)</f>
        <v>38900000</v>
      </c>
      <c r="C51" s="8"/>
    </row>
    <row r="54" spans="1:3" x14ac:dyDescent="0.25">
      <c r="A54" t="s">
        <v>10</v>
      </c>
      <c r="B54" s="22">
        <v>19500</v>
      </c>
    </row>
    <row r="55" spans="1:3" x14ac:dyDescent="0.25">
      <c r="A55" t="s">
        <v>11</v>
      </c>
      <c r="B55" s="22">
        <f>+B54*85%</f>
        <v>16575</v>
      </c>
    </row>
    <row r="56" spans="1:3" x14ac:dyDescent="0.25">
      <c r="A56" t="s">
        <v>12</v>
      </c>
      <c r="B56" s="24">
        <v>0.8</v>
      </c>
    </row>
    <row r="57" spans="1:3" x14ac:dyDescent="0.25">
      <c r="A57" t="s">
        <v>9</v>
      </c>
      <c r="B57" s="23">
        <v>195000</v>
      </c>
    </row>
    <row r="58" spans="1:3" x14ac:dyDescent="0.25">
      <c r="A58" t="s">
        <v>13</v>
      </c>
      <c r="B58" s="25">
        <v>0.05</v>
      </c>
    </row>
    <row r="59" spans="1:3" x14ac:dyDescent="0.25">
      <c r="A59" t="s">
        <v>14</v>
      </c>
      <c r="B59" s="26">
        <v>2.5000000000000001E-2</v>
      </c>
    </row>
    <row r="60" spans="1:3" x14ac:dyDescent="0.25">
      <c r="A60" t="s">
        <v>15</v>
      </c>
      <c r="B60" s="26">
        <v>3.5000000000000003E-2</v>
      </c>
    </row>
    <row r="61" spans="1:3" x14ac:dyDescent="0.25">
      <c r="A61" t="s">
        <v>16</v>
      </c>
      <c r="B61" s="25">
        <v>0.35</v>
      </c>
    </row>
    <row r="62" spans="1:3" x14ac:dyDescent="0.25">
      <c r="B62" s="28"/>
    </row>
  </sheetData>
  <mergeCells count="10">
    <mergeCell ref="B24:C24"/>
    <mergeCell ref="D24:E24"/>
    <mergeCell ref="H24:I24"/>
    <mergeCell ref="B1:I1"/>
    <mergeCell ref="B23:I23"/>
    <mergeCell ref="F2:G2"/>
    <mergeCell ref="F24:G24"/>
    <mergeCell ref="B2:C2"/>
    <mergeCell ref="D2:E2"/>
    <mergeCell ref="H2:I2"/>
  </mergeCells>
  <phoneticPr fontId="9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F45D4D-3548-4DD7-88DA-A1A832DAD393}">
  <dimension ref="A1:K103"/>
  <sheetViews>
    <sheetView workbookViewId="0">
      <pane xSplit="1" ySplit="8" topLeftCell="B18" activePane="bottomRight" state="frozen"/>
      <selection pane="topRight" activeCell="B1" sqref="B1"/>
      <selection pane="bottomLeft" activeCell="A9" sqref="A9"/>
      <selection pane="bottomRight" activeCell="A104" sqref="A104"/>
    </sheetView>
  </sheetViews>
  <sheetFormatPr baseColWidth="10" defaultRowHeight="15" x14ac:dyDescent="0.25"/>
  <cols>
    <col min="1" max="1" width="29.140625" bestFit="1" customWidth="1"/>
    <col min="2" max="2" width="14" bestFit="1" customWidth="1"/>
    <col min="3" max="3" width="18" style="12" bestFit="1" customWidth="1"/>
    <col min="4" max="7" width="15.5703125" bestFit="1" customWidth="1"/>
  </cols>
  <sheetData>
    <row r="1" spans="1:8" x14ac:dyDescent="0.25">
      <c r="A1" t="s">
        <v>63</v>
      </c>
      <c r="B1" s="2">
        <v>0</v>
      </c>
      <c r="C1" s="2">
        <v>1</v>
      </c>
      <c r="D1" s="2">
        <v>2</v>
      </c>
      <c r="E1" s="2">
        <v>3</v>
      </c>
      <c r="F1" s="2">
        <v>4</v>
      </c>
      <c r="G1" s="2">
        <v>5</v>
      </c>
    </row>
    <row r="3" spans="1:8" x14ac:dyDescent="0.25">
      <c r="A3" t="s">
        <v>64</v>
      </c>
      <c r="C3" s="20">
        <v>18500</v>
      </c>
      <c r="D3" s="20">
        <f>+C3*(1+$B$7)</f>
        <v>18962.5</v>
      </c>
      <c r="E3" s="20">
        <f t="shared" ref="E3:G3" si="0">+D3*(1+$B$7)</f>
        <v>19436.5625</v>
      </c>
      <c r="F3" s="20">
        <f t="shared" si="0"/>
        <v>19922.4765625</v>
      </c>
      <c r="G3" s="20">
        <f t="shared" si="0"/>
        <v>20420.538476562499</v>
      </c>
    </row>
    <row r="4" spans="1:8" x14ac:dyDescent="0.25">
      <c r="A4" t="s">
        <v>65</v>
      </c>
      <c r="C4" s="27">
        <v>195000</v>
      </c>
      <c r="D4" s="27">
        <f>+C4*(1+$B$6)</f>
        <v>204750</v>
      </c>
      <c r="E4" s="27">
        <f>+D4*(1+Data!$B$59)</f>
        <v>209868.74999999997</v>
      </c>
      <c r="F4" s="27">
        <f>+E4*(1+Data!$B$59)</f>
        <v>215115.46874999994</v>
      </c>
      <c r="G4" s="27">
        <f>+F4*(1+Data!$B$59)</f>
        <v>220493.35546874991</v>
      </c>
    </row>
    <row r="5" spans="1:8" x14ac:dyDescent="0.25">
      <c r="A5" t="s">
        <v>66</v>
      </c>
      <c r="B5" s="24">
        <v>0.8</v>
      </c>
      <c r="C5" s="27"/>
      <c r="D5" s="27"/>
      <c r="E5" s="27"/>
      <c r="F5" s="27"/>
      <c r="G5" s="27"/>
    </row>
    <row r="6" spans="1:8" x14ac:dyDescent="0.25">
      <c r="A6" t="s">
        <v>67</v>
      </c>
      <c r="B6" s="25">
        <v>0.05</v>
      </c>
      <c r="C6" s="27"/>
      <c r="D6" s="27"/>
      <c r="E6" s="27"/>
      <c r="F6" s="27"/>
      <c r="G6" s="27"/>
    </row>
    <row r="7" spans="1:8" x14ac:dyDescent="0.25">
      <c r="A7" t="s">
        <v>68</v>
      </c>
      <c r="B7" s="26">
        <v>2.5000000000000001E-2</v>
      </c>
      <c r="C7" s="27"/>
      <c r="D7" s="27"/>
      <c r="E7" s="27"/>
      <c r="F7" s="27"/>
      <c r="G7" s="27"/>
    </row>
    <row r="8" spans="1:8" x14ac:dyDescent="0.25">
      <c r="A8" t="s">
        <v>69</v>
      </c>
      <c r="B8" s="26">
        <v>3.5000000000000003E-2</v>
      </c>
      <c r="C8" s="27"/>
      <c r="D8" s="27"/>
      <c r="E8" s="27"/>
      <c r="F8" s="27"/>
      <c r="G8" s="27"/>
    </row>
    <row r="10" spans="1:8" x14ac:dyDescent="0.25">
      <c r="A10" t="s">
        <v>70</v>
      </c>
      <c r="C10" s="12">
        <f>+C3*C4</f>
        <v>3607500000</v>
      </c>
      <c r="D10" s="12">
        <f>+D3*D4</f>
        <v>3882571875</v>
      </c>
      <c r="E10" s="12">
        <f>+E3*E4</f>
        <v>4079127076.1718745</v>
      </c>
      <c r="F10" s="12">
        <f>+F3*F4</f>
        <v>4285632884.4030752</v>
      </c>
      <c r="G10" s="12">
        <f>+G3*G4</f>
        <v>4502593049.1759796</v>
      </c>
    </row>
    <row r="11" spans="1:8" x14ac:dyDescent="0.25">
      <c r="A11" t="s">
        <v>71</v>
      </c>
      <c r="C11" s="12">
        <f>+C10*$B$5</f>
        <v>2886000000</v>
      </c>
      <c r="D11" s="12">
        <f t="shared" ref="D11:G11" si="1">+D10*$B$5</f>
        <v>3106057500</v>
      </c>
      <c r="E11" s="12">
        <f t="shared" si="1"/>
        <v>3263301660.9375</v>
      </c>
      <c r="F11" s="12">
        <f t="shared" si="1"/>
        <v>3428506307.5224605</v>
      </c>
      <c r="G11" s="12">
        <f t="shared" si="1"/>
        <v>3602074439.3407841</v>
      </c>
    </row>
    <row r="12" spans="1:8" s="1" customFormat="1" x14ac:dyDescent="0.25">
      <c r="A12" s="1" t="s">
        <v>72</v>
      </c>
      <c r="C12" s="13">
        <f>+C10-C11</f>
        <v>721500000</v>
      </c>
      <c r="D12" s="13">
        <f t="shared" ref="D12:G12" si="2">+D10-D11</f>
        <v>776514375</v>
      </c>
      <c r="E12" s="13">
        <f t="shared" si="2"/>
        <v>815825415.23437452</v>
      </c>
      <c r="F12" s="13">
        <f t="shared" si="2"/>
        <v>857126576.88061476</v>
      </c>
      <c r="G12" s="13">
        <f t="shared" si="2"/>
        <v>900518609.83519554</v>
      </c>
      <c r="H12" s="60"/>
    </row>
    <row r="13" spans="1:8" x14ac:dyDescent="0.25">
      <c r="A13" t="str">
        <f>+Data!A46</f>
        <v>Arriendo</v>
      </c>
      <c r="C13" s="12">
        <f>+Data!B46*12</f>
        <v>24000000</v>
      </c>
      <c r="D13" s="12">
        <f>+C13*(1+$B$8)</f>
        <v>24839999.999999996</v>
      </c>
      <c r="E13" s="12">
        <f t="shared" ref="E13:G13" si="3">+D13*(1+$B$8)</f>
        <v>25709399.999999993</v>
      </c>
      <c r="F13" s="12">
        <f t="shared" si="3"/>
        <v>26609228.999999989</v>
      </c>
      <c r="G13" s="12">
        <f t="shared" si="3"/>
        <v>27540552.014999986</v>
      </c>
    </row>
    <row r="14" spans="1:8" x14ac:dyDescent="0.25">
      <c r="A14" t="str">
        <f>+Data!A47</f>
        <v>Salarios</v>
      </c>
      <c r="C14" s="12">
        <f>+Data!B47*12</f>
        <v>124800000</v>
      </c>
      <c r="D14" s="12">
        <f t="shared" ref="D14:G14" si="4">+C14*(1+$B$8)</f>
        <v>129167999.99999999</v>
      </c>
      <c r="E14" s="12">
        <f t="shared" si="4"/>
        <v>133688879.99999997</v>
      </c>
      <c r="F14" s="12">
        <f t="shared" si="4"/>
        <v>138367990.79999995</v>
      </c>
      <c r="G14" s="12">
        <f t="shared" si="4"/>
        <v>143210870.47799993</v>
      </c>
    </row>
    <row r="15" spans="1:8" x14ac:dyDescent="0.25">
      <c r="A15" t="str">
        <f>+Data!A48</f>
        <v>Publicidad</v>
      </c>
      <c r="C15" s="12">
        <f>+Data!B48*12</f>
        <v>180000000</v>
      </c>
      <c r="D15" s="12">
        <f t="shared" ref="D15:G15" si="5">+C15*(1+$B$8)</f>
        <v>186300000</v>
      </c>
      <c r="E15" s="12">
        <f t="shared" si="5"/>
        <v>192820500</v>
      </c>
      <c r="F15" s="12">
        <f t="shared" si="5"/>
        <v>199569217.49999997</v>
      </c>
      <c r="G15" s="12">
        <f t="shared" si="5"/>
        <v>206554140.11249995</v>
      </c>
    </row>
    <row r="16" spans="1:8" x14ac:dyDescent="0.25">
      <c r="A16" t="str">
        <f>+Data!A49</f>
        <v>Servicios</v>
      </c>
      <c r="C16" s="12">
        <f>+Data!B49*12</f>
        <v>18000000</v>
      </c>
      <c r="D16" s="12">
        <f t="shared" ref="D16:G16" si="6">+C16*(1+$B$8)</f>
        <v>18630000</v>
      </c>
      <c r="E16" s="12">
        <f t="shared" si="6"/>
        <v>19282050</v>
      </c>
      <c r="F16" s="12">
        <f t="shared" si="6"/>
        <v>19956921.75</v>
      </c>
      <c r="G16" s="12">
        <f t="shared" si="6"/>
        <v>20655414.011249997</v>
      </c>
    </row>
    <row r="17" spans="1:11" x14ac:dyDescent="0.25">
      <c r="A17" t="str">
        <f>+Data!A50</f>
        <v>Varios</v>
      </c>
      <c r="C17" s="12">
        <f>+Data!B50*12</f>
        <v>120000000</v>
      </c>
      <c r="D17" s="12">
        <f t="shared" ref="D17:G17" si="7">+C17*(1+$B$8)</f>
        <v>124199999.99999999</v>
      </c>
      <c r="E17" s="12">
        <f t="shared" si="7"/>
        <v>128546999.99999997</v>
      </c>
      <c r="F17" s="12">
        <f t="shared" si="7"/>
        <v>133046144.99999996</v>
      </c>
      <c r="G17" s="12">
        <f t="shared" si="7"/>
        <v>137702760.07499993</v>
      </c>
    </row>
    <row r="18" spans="1:11" s="1" customFormat="1" x14ac:dyDescent="0.25">
      <c r="A18" s="1" t="s">
        <v>73</v>
      </c>
      <c r="C18" s="13">
        <f>+C12-SUM(C13:C17)</f>
        <v>254700000</v>
      </c>
      <c r="D18" s="13">
        <f t="shared" ref="D18:G18" si="8">+D12-SUM(D13:D17)</f>
        <v>293376375</v>
      </c>
      <c r="E18" s="13">
        <f t="shared" si="8"/>
        <v>315777585.23437452</v>
      </c>
      <c r="F18" s="13">
        <f t="shared" si="8"/>
        <v>339577072.83061486</v>
      </c>
      <c r="G18" s="13">
        <f t="shared" si="8"/>
        <v>364854873.14344573</v>
      </c>
      <c r="H18" s="60"/>
    </row>
    <row r="19" spans="1:11" x14ac:dyDescent="0.25">
      <c r="A19" t="s">
        <v>74</v>
      </c>
      <c r="C19" s="12">
        <f>+C18*Data!$B$61</f>
        <v>89145000</v>
      </c>
      <c r="D19" s="12">
        <f>+D18*Data!$B$61</f>
        <v>102681731.25</v>
      </c>
      <c r="E19" s="12">
        <f>+E18*Data!$B$61</f>
        <v>110522154.83203107</v>
      </c>
      <c r="F19" s="12">
        <f>+F18*Data!$B$61</f>
        <v>118851975.49071519</v>
      </c>
      <c r="G19" s="12">
        <f>+G18*Data!$B$61</f>
        <v>127699205.600206</v>
      </c>
    </row>
    <row r="20" spans="1:11" x14ac:dyDescent="0.25">
      <c r="A20" s="1" t="s">
        <v>75</v>
      </c>
      <c r="B20" s="1"/>
      <c r="C20" s="13">
        <f>+C18-C19</f>
        <v>165555000</v>
      </c>
      <c r="D20" s="13">
        <f t="shared" ref="D20:G20" si="9">+D18-D19</f>
        <v>190694643.75</v>
      </c>
      <c r="E20" s="13">
        <f t="shared" si="9"/>
        <v>205255430.40234345</v>
      </c>
      <c r="F20" s="13">
        <f t="shared" si="9"/>
        <v>220725097.33989966</v>
      </c>
      <c r="G20" s="13">
        <f t="shared" si="9"/>
        <v>237155667.54323971</v>
      </c>
    </row>
    <row r="21" spans="1:11" x14ac:dyDescent="0.25">
      <c r="A21" t="s">
        <v>76</v>
      </c>
      <c r="B21" s="21">
        <f>-Data!B43</f>
        <v>-531552720</v>
      </c>
    </row>
    <row r="22" spans="1:11" x14ac:dyDescent="0.25">
      <c r="A22" s="29" t="s">
        <v>77</v>
      </c>
      <c r="B22" s="21"/>
      <c r="G22" s="20">
        <f>+G20/(30%+5%)</f>
        <v>677587621.55211353</v>
      </c>
    </row>
    <row r="23" spans="1:11" x14ac:dyDescent="0.25">
      <c r="A23" s="1" t="s">
        <v>78</v>
      </c>
      <c r="B23" s="20">
        <f>+SUM(B20:B22)</f>
        <v>-531552720</v>
      </c>
      <c r="C23" s="20">
        <f t="shared" ref="C23:G23" si="10">+SUM(C20:C22)</f>
        <v>165555000</v>
      </c>
      <c r="D23" s="20">
        <f t="shared" si="10"/>
        <v>190694643.75</v>
      </c>
      <c r="E23" s="20">
        <f t="shared" si="10"/>
        <v>205255430.40234345</v>
      </c>
      <c r="F23" s="20">
        <f t="shared" si="10"/>
        <v>220725097.33989966</v>
      </c>
      <c r="G23" s="20">
        <f t="shared" si="10"/>
        <v>914743289.09535325</v>
      </c>
    </row>
    <row r="24" spans="1:11" x14ac:dyDescent="0.25">
      <c r="A24" s="1"/>
      <c r="B24" s="20">
        <f>+B23</f>
        <v>-531552720</v>
      </c>
      <c r="C24" s="20">
        <f>+B24+C23</f>
        <v>-365997720</v>
      </c>
      <c r="D24" s="20">
        <f t="shared" ref="D24:G24" si="11">+C24+D23</f>
        <v>-175303076.25</v>
      </c>
      <c r="E24" s="20">
        <f t="shared" si="11"/>
        <v>29952354.152343452</v>
      </c>
      <c r="F24" s="20">
        <f t="shared" si="11"/>
        <v>250677451.49224311</v>
      </c>
      <c r="G24" s="20">
        <f t="shared" si="11"/>
        <v>1165420740.5875964</v>
      </c>
    </row>
    <row r="26" spans="1:11" x14ac:dyDescent="0.25">
      <c r="A26" s="1" t="s">
        <v>79</v>
      </c>
      <c r="B26" s="30">
        <f>+IRR(B23:G23)</f>
        <v>0.38841229094643515</v>
      </c>
    </row>
    <row r="27" spans="1:11" x14ac:dyDescent="0.25">
      <c r="A27" s="1" t="s">
        <v>80</v>
      </c>
      <c r="B27" s="31">
        <f>+D1+(E23-E24)/E23</f>
        <v>2.8540727809557556</v>
      </c>
      <c r="C27" s="39">
        <v>2</v>
      </c>
      <c r="D27" s="39" t="s">
        <v>17</v>
      </c>
      <c r="E27" s="39">
        <f>+(B27-C27)*12</f>
        <v>10.248873371469067</v>
      </c>
      <c r="F27" s="39" t="s">
        <v>18</v>
      </c>
    </row>
    <row r="28" spans="1:11" x14ac:dyDescent="0.25">
      <c r="A28" s="1"/>
      <c r="B28" s="31"/>
    </row>
    <row r="29" spans="1:11" x14ac:dyDescent="0.25">
      <c r="A29" s="1"/>
      <c r="B29" s="31"/>
    </row>
    <row r="30" spans="1:11" ht="15.75" thickBot="1" x14ac:dyDescent="0.3"/>
    <row r="31" spans="1:11" ht="15.75" thickBot="1" x14ac:dyDescent="0.3">
      <c r="C31" s="66" t="s">
        <v>65</v>
      </c>
      <c r="D31" s="67"/>
      <c r="E31" s="67"/>
      <c r="F31" s="67"/>
      <c r="G31" s="67"/>
      <c r="H31" s="67"/>
      <c r="I31" s="67"/>
      <c r="J31" s="67"/>
      <c r="K31" s="68"/>
    </row>
    <row r="32" spans="1:11" ht="15" customHeight="1" x14ac:dyDescent="0.25">
      <c r="A32" s="69" t="s">
        <v>81</v>
      </c>
      <c r="B32" s="33">
        <f>+B26</f>
        <v>0.38841229094643515</v>
      </c>
      <c r="C32" s="34">
        <v>170000</v>
      </c>
      <c r="D32" s="35">
        <f>+C32+5000</f>
        <v>175000</v>
      </c>
      <c r="E32" s="35">
        <f t="shared" ref="E32:K32" si="12">+D32+5000</f>
        <v>180000</v>
      </c>
      <c r="F32" s="35">
        <f t="shared" si="12"/>
        <v>185000</v>
      </c>
      <c r="G32" s="35">
        <f t="shared" si="12"/>
        <v>190000</v>
      </c>
      <c r="H32" s="35">
        <f t="shared" si="12"/>
        <v>195000</v>
      </c>
      <c r="I32" s="35">
        <f t="shared" si="12"/>
        <v>200000</v>
      </c>
      <c r="J32" s="35">
        <f t="shared" si="12"/>
        <v>205000</v>
      </c>
      <c r="K32" s="35">
        <f t="shared" si="12"/>
        <v>210000</v>
      </c>
    </row>
    <row r="33" spans="1:11" x14ac:dyDescent="0.25">
      <c r="A33" s="70"/>
      <c r="B33" s="36">
        <v>18000</v>
      </c>
      <c r="C33" s="32">
        <f t="dataTable" ref="C33:K43" dt2D="1" dtr="1" r1="C4" r2="C3" ca="1"/>
        <v>0.19624724946812755</v>
      </c>
      <c r="D33" s="32">
        <v>0.2309103462466533</v>
      </c>
      <c r="E33" s="32">
        <v>0.26410336632453202</v>
      </c>
      <c r="F33" s="32">
        <v>0.29604965326813404</v>
      </c>
      <c r="G33" s="32">
        <v>0.32692635187958308</v>
      </c>
      <c r="H33" s="32">
        <v>0.35687647760408425</v>
      </c>
      <c r="I33" s="32">
        <v>0.38601725283193322</v>
      </c>
      <c r="J33" s="32">
        <v>0.41444602213752035</v>
      </c>
      <c r="K33" s="32">
        <v>0.44224454839663485</v>
      </c>
    </row>
    <row r="34" spans="1:11" x14ac:dyDescent="0.25">
      <c r="A34" s="70"/>
      <c r="B34" s="36">
        <f>+B33+500</f>
        <v>18500</v>
      </c>
      <c r="C34" s="32">
        <v>0.22902551123208315</v>
      </c>
      <c r="D34" s="32">
        <v>0.26319908717725671</v>
      </c>
      <c r="E34" s="32">
        <v>0.29604965326813404</v>
      </c>
      <c r="F34" s="32">
        <v>0.32777021668563999</v>
      </c>
      <c r="G34" s="32">
        <v>0.35851566391686318</v>
      </c>
      <c r="H34" s="32">
        <v>0.38841229094643515</v>
      </c>
      <c r="I34" s="32">
        <v>0.41756450455840266</v>
      </c>
      <c r="J34" s="32">
        <v>0.44605965126219527</v>
      </c>
      <c r="K34" s="32">
        <v>0.47397157181808725</v>
      </c>
    </row>
    <row r="35" spans="1:11" x14ac:dyDescent="0.25">
      <c r="A35" s="70"/>
      <c r="B35" s="36">
        <f t="shared" ref="B35:B43" si="13">+B34+500</f>
        <v>19000</v>
      </c>
      <c r="C35" s="32">
        <v>0.26048045291953303</v>
      </c>
      <c r="D35" s="32">
        <v>0.29430438353046173</v>
      </c>
      <c r="E35" s="32">
        <v>0.32692635187958285</v>
      </c>
      <c r="F35" s="32">
        <v>0.35851566391686296</v>
      </c>
      <c r="G35" s="32">
        <v>0.38920954900527116</v>
      </c>
      <c r="H35" s="32">
        <v>0.41912086454459851</v>
      </c>
      <c r="I35" s="32">
        <v>0.44834359773285271</v>
      </c>
      <c r="J35" s="32">
        <v>0.47695688346109266</v>
      </c>
      <c r="K35" s="32">
        <v>0.50502799668546494</v>
      </c>
    </row>
    <row r="36" spans="1:11" x14ac:dyDescent="0.25">
      <c r="A36" s="70"/>
      <c r="B36" s="36">
        <f t="shared" si="13"/>
        <v>19500</v>
      </c>
      <c r="C36" s="32">
        <v>0.29080385726475133</v>
      </c>
      <c r="D36" s="32">
        <v>0.32439046654157222</v>
      </c>
      <c r="E36" s="32">
        <v>0.35687647760408425</v>
      </c>
      <c r="F36" s="32">
        <v>0.38841229094643515</v>
      </c>
      <c r="G36" s="32">
        <v>0.41912086454459851</v>
      </c>
      <c r="H36" s="32">
        <v>0.44910406870120823</v>
      </c>
      <c r="I36" s="32">
        <v>0.47844728523995905</v>
      </c>
      <c r="J36" s="32">
        <v>0.50722280582181312</v>
      </c>
      <c r="K36" s="32">
        <v>0.53549238911646113</v>
      </c>
    </row>
    <row r="37" spans="1:11" x14ac:dyDescent="0.25">
      <c r="A37" s="70"/>
      <c r="B37" s="36">
        <f t="shared" si="13"/>
        <v>20000</v>
      </c>
      <c r="C37" s="32">
        <v>0.32014952049623857</v>
      </c>
      <c r="D37" s="32">
        <v>0.35359060784451701</v>
      </c>
      <c r="E37" s="32">
        <v>0.386017252831933</v>
      </c>
      <c r="F37" s="32">
        <v>0.41756450455840266</v>
      </c>
      <c r="G37" s="32">
        <v>0.44834359773285248</v>
      </c>
      <c r="H37" s="32">
        <v>0.47844728523995905</v>
      </c>
      <c r="I37" s="32">
        <v>0.50795374324509024</v>
      </c>
      <c r="J37" s="32">
        <v>0.53692948665549123</v>
      </c>
      <c r="K37" s="32">
        <v>0.56543158312936237</v>
      </c>
    </row>
    <row r="38" spans="1:11" x14ac:dyDescent="0.25">
      <c r="A38" s="70"/>
      <c r="B38" s="36">
        <f t="shared" si="13"/>
        <v>20500</v>
      </c>
      <c r="C38" s="32">
        <v>0.34864278335574062</v>
      </c>
      <c r="D38" s="32">
        <v>0.38201452912375111</v>
      </c>
      <c r="E38" s="32">
        <v>0.41444602213752013</v>
      </c>
      <c r="F38" s="32">
        <v>0.44605965126219504</v>
      </c>
      <c r="G38" s="32">
        <v>0.47695688346109244</v>
      </c>
      <c r="H38" s="32">
        <v>0.50722280582181289</v>
      </c>
      <c r="I38" s="32">
        <v>0.53692948665549123</v>
      </c>
      <c r="J38" s="32">
        <v>0.56613850802929377</v>
      </c>
      <c r="K38" s="32">
        <v>0.59490290478481889</v>
      </c>
    </row>
    <row r="39" spans="1:11" x14ac:dyDescent="0.25">
      <c r="A39" s="70"/>
      <c r="B39" s="36">
        <f t="shared" si="13"/>
        <v>21000</v>
      </c>
      <c r="C39" s="32">
        <v>0.37638722370706112</v>
      </c>
      <c r="D39" s="32">
        <v>0.40975370065214056</v>
      </c>
      <c r="E39" s="32">
        <v>0.44224454839663463</v>
      </c>
      <c r="F39" s="32">
        <v>0.4739715718180868</v>
      </c>
      <c r="G39" s="32">
        <v>0.50502799668546428</v>
      </c>
      <c r="H39" s="32">
        <v>0.53549238911646091</v>
      </c>
      <c r="I39" s="32">
        <v>0.56543158312936237</v>
      </c>
      <c r="J39" s="32">
        <v>0.59490290478481889</v>
      </c>
      <c r="K39" s="32">
        <v>0.62395588767475596</v>
      </c>
    </row>
    <row r="40" spans="1:11" x14ac:dyDescent="0.25">
      <c r="A40" s="70"/>
      <c r="B40" s="36">
        <f t="shared" si="13"/>
        <v>21500</v>
      </c>
      <c r="C40" s="32">
        <v>0.40346947339816319</v>
      </c>
      <c r="D40" s="32">
        <v>0.43688521546059067</v>
      </c>
      <c r="E40" s="32">
        <v>0.46948219691986792</v>
      </c>
      <c r="F40" s="32">
        <v>0.50136326698151623</v>
      </c>
      <c r="G40" s="32">
        <v>0.53261461992463222</v>
      </c>
      <c r="H40" s="32">
        <v>0.56330921634872477</v>
      </c>
      <c r="I40" s="32">
        <v>0.59350936007538602</v>
      </c>
      <c r="J40" s="32">
        <v>0.62326867051543355</v>
      </c>
      <c r="K40" s="32">
        <v>0.65263361413730858</v>
      </c>
    </row>
    <row r="41" spans="1:11" x14ac:dyDescent="0.25">
      <c r="A41" s="70"/>
      <c r="B41" s="36">
        <f t="shared" si="13"/>
        <v>22000</v>
      </c>
      <c r="C41" s="32">
        <v>0.4299627601573266</v>
      </c>
      <c r="D41" s="32">
        <v>0.463474677713821</v>
      </c>
      <c r="E41" s="32">
        <v>0.49621833793373327</v>
      </c>
      <c r="F41" s="32">
        <v>0.52828892998221244</v>
      </c>
      <c r="G41" s="32">
        <v>0.55976658810333424</v>
      </c>
      <c r="H41" s="32">
        <v>0.59071940846976001</v>
      </c>
      <c r="I41" s="32">
        <v>0.6212057387372476</v>
      </c>
      <c r="J41" s="32">
        <v>0.65127594234176289</v>
      </c>
      <c r="K41" s="32">
        <v>0.68097377674299975</v>
      </c>
    </row>
    <row r="42" spans="1:11" x14ac:dyDescent="0.25">
      <c r="A42" s="70"/>
      <c r="B42" s="36">
        <f t="shared" si="13"/>
        <v>22500</v>
      </c>
      <c r="C42" s="32">
        <v>0.45592956136893359</v>
      </c>
      <c r="D42" s="32">
        <v>0.48957839342633114</v>
      </c>
      <c r="E42" s="32">
        <v>0.52250418822705669</v>
      </c>
      <c r="F42" s="32">
        <v>0.55479551914556313</v>
      </c>
      <c r="G42" s="32">
        <v>0.58652724981759485</v>
      </c>
      <c r="H42" s="32">
        <v>0.61776321855803573</v>
      </c>
      <c r="I42" s="32">
        <v>0.64855828966610507</v>
      </c>
      <c r="J42" s="32">
        <v>0.67895994388378544</v>
      </c>
      <c r="K42" s="32">
        <v>0.70900952774813586</v>
      </c>
    </row>
    <row r="43" spans="1:11" ht="15.75" thickBot="1" x14ac:dyDescent="0.3">
      <c r="A43" s="71"/>
      <c r="B43" s="36">
        <f t="shared" si="13"/>
        <v>23000</v>
      </c>
      <c r="C43" s="32">
        <v>0.48142362571826403</v>
      </c>
      <c r="D43" s="32">
        <v>0.51524505759155903</v>
      </c>
      <c r="E43" s="32">
        <v>0.5483842429963548</v>
      </c>
      <c r="F43" s="32">
        <v>0.58092399086906443</v>
      </c>
      <c r="G43" s="32">
        <v>0.61293454258679914</v>
      </c>
      <c r="H43" s="32">
        <v>0.64447597999421036</v>
      </c>
      <c r="I43" s="32">
        <v>0.67560007707638503</v>
      </c>
      <c r="J43" s="32">
        <v>0.70635174374404852</v>
      </c>
      <c r="K43" s="32">
        <v>0.73677016576119736</v>
      </c>
    </row>
    <row r="46" spans="1:11" ht="15.75" thickBot="1" x14ac:dyDescent="0.3"/>
    <row r="47" spans="1:11" ht="15.75" thickBot="1" x14ac:dyDescent="0.3">
      <c r="C47" s="66" t="s">
        <v>65</v>
      </c>
      <c r="D47" s="67"/>
      <c r="E47" s="67"/>
      <c r="F47" s="67"/>
      <c r="G47" s="67"/>
      <c r="H47" s="67"/>
      <c r="I47" s="67"/>
      <c r="J47" s="67"/>
      <c r="K47" s="68"/>
    </row>
    <row r="48" spans="1:11" x14ac:dyDescent="0.25">
      <c r="A48" s="69" t="s">
        <v>82</v>
      </c>
      <c r="B48" s="33">
        <f>+B26</f>
        <v>0.38841229094643515</v>
      </c>
      <c r="C48" s="34">
        <v>170000</v>
      </c>
      <c r="D48" s="35">
        <f>+C48+5000</f>
        <v>175000</v>
      </c>
      <c r="E48" s="35">
        <f t="shared" ref="E48:K48" si="14">+D48+5000</f>
        <v>180000</v>
      </c>
      <c r="F48" s="35">
        <f t="shared" si="14"/>
        <v>185000</v>
      </c>
      <c r="G48" s="35">
        <f t="shared" si="14"/>
        <v>190000</v>
      </c>
      <c r="H48" s="35">
        <f t="shared" si="14"/>
        <v>195000</v>
      </c>
      <c r="I48" s="35">
        <f t="shared" si="14"/>
        <v>200000</v>
      </c>
      <c r="J48" s="35">
        <f t="shared" si="14"/>
        <v>205000</v>
      </c>
      <c r="K48" s="35">
        <f t="shared" si="14"/>
        <v>210000</v>
      </c>
    </row>
    <row r="49" spans="1:11" x14ac:dyDescent="0.25">
      <c r="A49" s="70"/>
      <c r="B49" s="38">
        <v>0.7</v>
      </c>
      <c r="C49" s="32">
        <f t="dataTable" ref="C49:K55" dt2D="1" dtr="1" r1="C4" r2="B5"/>
        <v>0.70701642475746862</v>
      </c>
      <c r="D49" s="32">
        <v>0.74367045176695479</v>
      </c>
      <c r="E49" s="32">
        <v>0.77989974888379066</v>
      </c>
      <c r="F49" s="32">
        <v>0.81575544218253593</v>
      </c>
      <c r="G49" s="32">
        <v>0.85128174293595205</v>
      </c>
      <c r="H49" s="32">
        <v>0.88651708648034777</v>
      </c>
      <c r="I49" s="32">
        <v>0.9214950442940224</v>
      </c>
      <c r="J49" s="32">
        <v>0.95624506195551651</v>
      </c>
      <c r="K49" s="32">
        <v>0.99079306183644311</v>
      </c>
    </row>
    <row r="50" spans="1:11" x14ac:dyDescent="0.25">
      <c r="A50" s="70"/>
      <c r="B50" s="37">
        <f>+B49+2.5%</f>
        <v>0.72499999999999998</v>
      </c>
      <c r="C50" s="32">
        <v>0.60029398668715439</v>
      </c>
      <c r="D50" s="32">
        <v>0.63535015152964713</v>
      </c>
      <c r="E50" s="32">
        <v>0.669878188902431</v>
      </c>
      <c r="F50" s="32">
        <v>0.7039409536953205</v>
      </c>
      <c r="G50" s="32">
        <v>0.73759243659532103</v>
      </c>
      <c r="H50" s="32">
        <v>0.77087931903668538</v>
      </c>
      <c r="I50" s="32">
        <v>0.80384219817205316</v>
      </c>
      <c r="J50" s="32">
        <v>0.83651656316239009</v>
      </c>
      <c r="K50" s="32">
        <v>0.86893358153624778</v>
      </c>
    </row>
    <row r="51" spans="1:11" x14ac:dyDescent="0.25">
      <c r="A51" s="70"/>
      <c r="B51" s="37">
        <f t="shared" ref="B51:B55" si="15">+B50+2.5%</f>
        <v>0.75</v>
      </c>
      <c r="C51" s="32">
        <v>0.48772887440640478</v>
      </c>
      <c r="D51" s="32">
        <v>0.52159852567492848</v>
      </c>
      <c r="E51" s="32">
        <v>0.5547955191455638</v>
      </c>
      <c r="F51" s="32">
        <v>0.58740133731234168</v>
      </c>
      <c r="G51" s="32">
        <v>0.61948515376443436</v>
      </c>
      <c r="H51" s="32">
        <v>0.65110617941665216</v>
      </c>
      <c r="I51" s="32">
        <v>0.68231546934154719</v>
      </c>
      <c r="J51" s="32">
        <v>0.71315733347374644</v>
      </c>
      <c r="K51" s="32">
        <v>0.74367045176695457</v>
      </c>
    </row>
    <row r="52" spans="1:11" x14ac:dyDescent="0.25">
      <c r="A52" s="70"/>
      <c r="B52" s="37">
        <f t="shared" si="15"/>
        <v>0.77500000000000002</v>
      </c>
      <c r="C52" s="32">
        <v>0.36606498764543982</v>
      </c>
      <c r="D52" s="32">
        <v>0.39942658489493965</v>
      </c>
      <c r="E52" s="32">
        <v>0.43188931453298474</v>
      </c>
      <c r="F52" s="32">
        <v>0.46356873850673286</v>
      </c>
      <c r="G52" s="32">
        <v>0.49456101625317683</v>
      </c>
      <c r="H52" s="32">
        <v>0.52494704104700673</v>
      </c>
      <c r="I52" s="32">
        <v>0.55479551914556358</v>
      </c>
      <c r="J52" s="32">
        <v>0.58416530210962625</v>
      </c>
      <c r="K52" s="32">
        <v>0.61310718092739602</v>
      </c>
    </row>
    <row r="53" spans="1:11" x14ac:dyDescent="0.25">
      <c r="A53" s="70"/>
      <c r="B53" s="37">
        <f t="shared" si="15"/>
        <v>0.8</v>
      </c>
      <c r="C53" s="32">
        <v>0.22902551123208315</v>
      </c>
      <c r="D53" s="32">
        <v>0.26319908717725671</v>
      </c>
      <c r="E53" s="32">
        <v>0.29604965326813404</v>
      </c>
      <c r="F53" s="32">
        <v>0.32777021668563999</v>
      </c>
      <c r="G53" s="32">
        <v>0.35851566391686318</v>
      </c>
      <c r="H53" s="32">
        <v>0.38841229094643515</v>
      </c>
      <c r="I53" s="32">
        <v>0.41756450455840266</v>
      </c>
      <c r="J53" s="32">
        <v>0.44605965126219527</v>
      </c>
      <c r="K53" s="32">
        <v>0.47397157181808725</v>
      </c>
    </row>
    <row r="54" spans="1:11" x14ac:dyDescent="0.25">
      <c r="A54" s="70"/>
      <c r="B54" s="37">
        <f t="shared" si="15"/>
        <v>0.82500000000000007</v>
      </c>
      <c r="C54" s="32">
        <v>6.1628042099467706E-2</v>
      </c>
      <c r="D54" s="32">
        <v>0.10003125517468581</v>
      </c>
      <c r="E54" s="32">
        <v>0.13600725014572879</v>
      </c>
      <c r="F54" s="32">
        <v>0.17001155145492031</v>
      </c>
      <c r="G54" s="32">
        <v>0.20238217181277562</v>
      </c>
      <c r="H54" s="32">
        <v>0.23337733778744507</v>
      </c>
      <c r="I54" s="32">
        <v>0.26319908717725649</v>
      </c>
      <c r="J54" s="32">
        <v>0.29200867466567115</v>
      </c>
      <c r="K54" s="32">
        <v>0.31993699328085867</v>
      </c>
    </row>
    <row r="55" spans="1:11" ht="15.75" thickBot="1" x14ac:dyDescent="0.3">
      <c r="A55" s="71"/>
      <c r="B55" s="37">
        <f t="shared" si="15"/>
        <v>0.85000000000000009</v>
      </c>
      <c r="C55" s="32">
        <v>-0.19528273562656584</v>
      </c>
      <c r="D55" s="32">
        <v>-0.13504409601143452</v>
      </c>
      <c r="E55" s="32">
        <v>-8.4056075122711071E-2</v>
      </c>
      <c r="F55" s="32">
        <v>-3.9209676332259136E-2</v>
      </c>
      <c r="G55" s="32">
        <v>1.2353069951809292E-3</v>
      </c>
      <c r="H55" s="32">
        <v>3.8358875422987104E-2</v>
      </c>
      <c r="I55" s="32">
        <v>7.2880900548420557E-2</v>
      </c>
      <c r="J55" s="32">
        <v>0.10530707599267553</v>
      </c>
      <c r="K55" s="32">
        <v>0.13600725014572834</v>
      </c>
    </row>
    <row r="58" spans="1:11" ht="15.75" thickBot="1" x14ac:dyDescent="0.3"/>
    <row r="59" spans="1:11" ht="15.75" thickBot="1" x14ac:dyDescent="0.3">
      <c r="C59" s="66" t="s">
        <v>65</v>
      </c>
      <c r="D59" s="67"/>
      <c r="E59" s="67"/>
      <c r="F59" s="67"/>
      <c r="G59" s="67"/>
      <c r="H59" s="67"/>
      <c r="I59" s="67"/>
      <c r="J59" s="67"/>
      <c r="K59" s="68"/>
    </row>
    <row r="60" spans="1:11" x14ac:dyDescent="0.25">
      <c r="A60" s="69" t="s">
        <v>83</v>
      </c>
      <c r="B60" s="33">
        <f>+$B$26</f>
        <v>0.38841229094643515</v>
      </c>
      <c r="C60" s="34">
        <v>170000</v>
      </c>
      <c r="D60" s="35">
        <f>+C60+5000</f>
        <v>175000</v>
      </c>
      <c r="E60" s="35">
        <f t="shared" ref="E60:K60" si="16">+D60+5000</f>
        <v>180000</v>
      </c>
      <c r="F60" s="35">
        <f t="shared" si="16"/>
        <v>185000</v>
      </c>
      <c r="G60" s="35">
        <f t="shared" si="16"/>
        <v>190000</v>
      </c>
      <c r="H60" s="35">
        <f t="shared" si="16"/>
        <v>195000</v>
      </c>
      <c r="I60" s="35">
        <f t="shared" si="16"/>
        <v>200000</v>
      </c>
      <c r="J60" s="35">
        <f t="shared" si="16"/>
        <v>205000</v>
      </c>
      <c r="K60" s="35">
        <f t="shared" si="16"/>
        <v>210000</v>
      </c>
    </row>
    <row r="61" spans="1:11" x14ac:dyDescent="0.25">
      <c r="A61" s="70"/>
      <c r="B61" s="37">
        <v>-0.05</v>
      </c>
      <c r="C61" s="32">
        <f t="dataTable" ref="C61:K71" dt2D="1" dtr="1" r1="C4" r2="B6" ca="1"/>
        <v>0.12581870322847966</v>
      </c>
      <c r="D61" s="32">
        <v>0.16372104255809239</v>
      </c>
      <c r="E61" s="32">
        <v>0.19960574901105232</v>
      </c>
      <c r="F61" s="32">
        <v>0.23382703275343575</v>
      </c>
      <c r="G61" s="32">
        <v>0.26665451095117398</v>
      </c>
      <c r="H61" s="32">
        <v>0.29829848204096865</v>
      </c>
      <c r="I61" s="32">
        <v>0.32892634253080955</v>
      </c>
      <c r="J61" s="32">
        <v>0.35867364533149382</v>
      </c>
      <c r="K61" s="32">
        <v>0.38765178034389614</v>
      </c>
    </row>
    <row r="62" spans="1:11" x14ac:dyDescent="0.25">
      <c r="A62" s="70"/>
      <c r="B62" s="37">
        <f>+B61+1.5%</f>
        <v>-3.5000000000000003E-2</v>
      </c>
      <c r="C62" s="32">
        <v>0.14299789031233412</v>
      </c>
      <c r="D62" s="32">
        <v>0.18014567143406635</v>
      </c>
      <c r="E62" s="32">
        <v>0.21542341315236557</v>
      </c>
      <c r="F62" s="32">
        <v>0.24914862209515443</v>
      </c>
      <c r="G62" s="32">
        <v>0.28156548928355818</v>
      </c>
      <c r="H62" s="32">
        <v>0.31286611920014074</v>
      </c>
      <c r="I62" s="32">
        <v>0.34320453212937418</v>
      </c>
      <c r="J62" s="32">
        <v>0.37270621822062044</v>
      </c>
      <c r="K62" s="32">
        <v>0.40147484635437891</v>
      </c>
    </row>
    <row r="63" spans="1:11" x14ac:dyDescent="0.25">
      <c r="A63" s="70"/>
      <c r="B63" s="37">
        <f t="shared" ref="B63:B71" si="17">+B62+1.5%</f>
        <v>-2.0000000000000004E-2</v>
      </c>
      <c r="C63" s="32">
        <v>0.15948473479659775</v>
      </c>
      <c r="D63" s="32">
        <v>0.19596366818589384</v>
      </c>
      <c r="E63" s="32">
        <v>0.23070024082935681</v>
      </c>
      <c r="F63" s="32">
        <v>0.26398122637263555</v>
      </c>
      <c r="G63" s="32">
        <v>0.29602923718882201</v>
      </c>
      <c r="H63" s="32">
        <v>0.3270207632155846</v>
      </c>
      <c r="I63" s="32">
        <v>0.35709823594499768</v>
      </c>
      <c r="J63" s="32">
        <v>0.3863783566654817</v>
      </c>
      <c r="K63" s="32">
        <v>0.41495800333326915</v>
      </c>
    </row>
    <row r="64" spans="1:11" x14ac:dyDescent="0.25">
      <c r="A64" s="70"/>
      <c r="B64" s="37">
        <f t="shared" si="17"/>
        <v>-5.0000000000000044E-3</v>
      </c>
      <c r="C64" s="32">
        <v>0.17534731172734475</v>
      </c>
      <c r="D64" s="32">
        <v>0.21123032846369116</v>
      </c>
      <c r="E64" s="32">
        <v>0.24548233815902898</v>
      </c>
      <c r="F64" s="32">
        <v>0.27836411422821272</v>
      </c>
      <c r="G64" s="32">
        <v>0.31007979080112458</v>
      </c>
      <c r="H64" s="32">
        <v>0.3407923505100654</v>
      </c>
      <c r="I64" s="32">
        <v>0.3706341133443547</v>
      </c>
      <c r="J64" s="32">
        <v>0.39971405514004599</v>
      </c>
      <c r="K64" s="32">
        <v>0.4281230460879355</v>
      </c>
    </row>
    <row r="65" spans="1:11" x14ac:dyDescent="0.25">
      <c r="A65" s="70"/>
      <c r="B65" s="37">
        <f t="shared" si="17"/>
        <v>9.999999999999995E-3</v>
      </c>
      <c r="C65" s="32">
        <v>0.19064369419560534</v>
      </c>
      <c r="D65" s="32">
        <v>0.22599338054736129</v>
      </c>
      <c r="E65" s="32">
        <v>0.2598098860933058</v>
      </c>
      <c r="F65" s="32">
        <v>0.29233178362394319</v>
      </c>
      <c r="G65" s="32">
        <v>0.32374725535272453</v>
      </c>
      <c r="H65" s="32">
        <v>0.35420751518388105</v>
      </c>
      <c r="I65" s="32">
        <v>0.38383600343742108</v>
      </c>
      <c r="J65" s="32">
        <v>0.41273486536366688</v>
      </c>
      <c r="K65" s="32">
        <v>0.44098962769600725</v>
      </c>
    </row>
    <row r="66" spans="1:11" x14ac:dyDescent="0.25">
      <c r="A66" s="70"/>
      <c r="B66" s="37">
        <f t="shared" si="17"/>
        <v>2.4999999999999994E-2</v>
      </c>
      <c r="C66" s="32">
        <v>0.20542385647340455</v>
      </c>
      <c r="D66" s="32">
        <v>0.24029433153265689</v>
      </c>
      <c r="E66" s="32">
        <v>0.27371813333238681</v>
      </c>
      <c r="F66" s="32">
        <v>0.30591471963568662</v>
      </c>
      <c r="G66" s="32">
        <v>0.33705840014424693</v>
      </c>
      <c r="H66" s="32">
        <v>0.36729006740583459</v>
      </c>
      <c r="I66" s="32">
        <v>0.39672531760101637</v>
      </c>
      <c r="J66" s="32">
        <v>0.42546022401908501</v>
      </c>
      <c r="K66" s="32">
        <v>0.45357553726860234</v>
      </c>
    </row>
    <row r="67" spans="1:11" x14ac:dyDescent="0.25">
      <c r="A67" s="70"/>
      <c r="B67" s="37">
        <f t="shared" si="17"/>
        <v>3.9999999999999994E-2</v>
      </c>
      <c r="C67" s="32">
        <v>0.21973114063224775</v>
      </c>
      <c r="D67" s="32">
        <v>0.25416952389936154</v>
      </c>
      <c r="E67" s="32">
        <v>0.28723818746060537</v>
      </c>
      <c r="F67" s="32">
        <v>0.3191400059315288</v>
      </c>
      <c r="G67" s="32">
        <v>0.35003714382935947</v>
      </c>
      <c r="H67" s="32">
        <v>0.38006138724291794</v>
      </c>
      <c r="I67" s="32">
        <v>0.40932136523666895</v>
      </c>
      <c r="J67" s="32">
        <v>0.43790772666281708</v>
      </c>
      <c r="K67" s="32">
        <v>0.46589693357079964</v>
      </c>
    </row>
    <row r="68" spans="1:11" x14ac:dyDescent="0.25">
      <c r="A68" s="70"/>
      <c r="B68" s="37">
        <f t="shared" si="17"/>
        <v>5.4999999999999993E-2</v>
      </c>
      <c r="C68" s="32">
        <v>0.23360340224861709</v>
      </c>
      <c r="D68" s="32">
        <v>0.26765097461437581</v>
      </c>
      <c r="E68" s="32">
        <v>0.30039765190522649</v>
      </c>
      <c r="F68" s="32">
        <v>0.33203182279880994</v>
      </c>
      <c r="G68" s="32">
        <v>0.36270495358021404</v>
      </c>
      <c r="H68" s="32">
        <v>0.39254075137673672</v>
      </c>
      <c r="I68" s="32">
        <v>0.42164162603810418</v>
      </c>
      <c r="J68" s="32">
        <v>0.45009335816845564</v>
      </c>
      <c r="K68" s="32">
        <v>0.47796854271979661</v>
      </c>
    </row>
    <row r="69" spans="1:11" x14ac:dyDescent="0.25">
      <c r="A69" s="70"/>
      <c r="B69" s="37">
        <f t="shared" si="17"/>
        <v>6.9999999999999993E-2</v>
      </c>
      <c r="C69" s="32">
        <v>0.24707391644684118</v>
      </c>
      <c r="D69" s="32">
        <v>0.28076704869881608</v>
      </c>
      <c r="E69" s="32">
        <v>0.31322114365666631</v>
      </c>
      <c r="F69" s="32">
        <v>0.34461185624440716</v>
      </c>
      <c r="G69" s="32">
        <v>0.37508117597008228</v>
      </c>
      <c r="H69" s="32">
        <v>0.40474560607457089</v>
      </c>
      <c r="I69" s="32">
        <v>0.43370197904827235</v>
      </c>
      <c r="J69" s="32">
        <v>0.46203168778569981</v>
      </c>
      <c r="K69" s="32">
        <v>0.48980382644016429</v>
      </c>
    </row>
    <row r="70" spans="1:11" x14ac:dyDescent="0.25">
      <c r="A70" s="70"/>
      <c r="B70" s="37">
        <f t="shared" si="17"/>
        <v>8.4999999999999992E-2</v>
      </c>
      <c r="C70" s="32">
        <v>0.2601721024016912</v>
      </c>
      <c r="D70" s="32">
        <v>0.29354300521287247</v>
      </c>
      <c r="E70" s="32">
        <v>0.32573071774692375</v>
      </c>
      <c r="F70" s="32">
        <v>0.35689963669499947</v>
      </c>
      <c r="G70" s="32">
        <v>0.38718331322359512</v>
      </c>
      <c r="H70" s="32">
        <v>0.41669179676163548</v>
      </c>
      <c r="I70" s="32">
        <v>0.44551689654134785</v>
      </c>
      <c r="J70" s="32">
        <v>0.47373603518850982</v>
      </c>
      <c r="K70" s="32">
        <v>0.50141512602506988</v>
      </c>
    </row>
    <row r="71" spans="1:11" ht="15.75" thickBot="1" x14ac:dyDescent="0.3">
      <c r="A71" s="71"/>
      <c r="B71" s="37">
        <f t="shared" si="17"/>
        <v>9.9999999999999992E-2</v>
      </c>
      <c r="C71" s="32">
        <v>0.27292410854732041</v>
      </c>
      <c r="D71" s="32">
        <v>0.30600144378927596</v>
      </c>
      <c r="E71" s="32">
        <v>0.33794621807271774</v>
      </c>
      <c r="F71" s="32">
        <v>0.36891282145136883</v>
      </c>
      <c r="G71" s="32">
        <v>0.3990272553890768</v>
      </c>
      <c r="H71" s="32">
        <v>0.42839376227843196</v>
      </c>
      <c r="I71" s="32">
        <v>0.457099609065726</v>
      </c>
      <c r="J71" s="32">
        <v>0.48521861257886578</v>
      </c>
      <c r="K71" s="32">
        <v>0.51281378612632733</v>
      </c>
    </row>
    <row r="74" spans="1:11" ht="15.75" thickBot="1" x14ac:dyDescent="0.3"/>
    <row r="75" spans="1:11" ht="15.75" thickBot="1" x14ac:dyDescent="0.3">
      <c r="C75" s="66" t="s">
        <v>65</v>
      </c>
      <c r="D75" s="67"/>
      <c r="E75" s="67"/>
      <c r="F75" s="67"/>
      <c r="G75" s="67"/>
      <c r="H75" s="67"/>
      <c r="I75" s="67"/>
      <c r="J75" s="67"/>
      <c r="K75" s="68"/>
    </row>
    <row r="76" spans="1:11" x14ac:dyDescent="0.25">
      <c r="A76" s="69" t="s">
        <v>84</v>
      </c>
      <c r="B76" s="33">
        <f>+$B$26</f>
        <v>0.38841229094643515</v>
      </c>
      <c r="C76" s="34">
        <v>170000</v>
      </c>
      <c r="D76" s="35">
        <f>+C76+5000</f>
        <v>175000</v>
      </c>
      <c r="E76" s="35">
        <f t="shared" ref="E76:K76" si="18">+D76+5000</f>
        <v>180000</v>
      </c>
      <c r="F76" s="35">
        <f t="shared" si="18"/>
        <v>185000</v>
      </c>
      <c r="G76" s="35">
        <f t="shared" si="18"/>
        <v>190000</v>
      </c>
      <c r="H76" s="35">
        <f t="shared" si="18"/>
        <v>195000</v>
      </c>
      <c r="I76" s="35">
        <f t="shared" si="18"/>
        <v>200000</v>
      </c>
      <c r="J76" s="35">
        <f t="shared" si="18"/>
        <v>205000</v>
      </c>
      <c r="K76" s="35">
        <f t="shared" si="18"/>
        <v>210000</v>
      </c>
    </row>
    <row r="77" spans="1:11" x14ac:dyDescent="0.25">
      <c r="A77" s="70"/>
      <c r="B77" s="37">
        <v>0.01</v>
      </c>
      <c r="C77" s="32">
        <f t="dataTable" ref="C77:K87" dt2D="1" dtr="1" r1="C4" r2="B8" ca="1"/>
        <v>0.27172496292363357</v>
      </c>
      <c r="D77" s="32">
        <v>0.30321700160506815</v>
      </c>
      <c r="E77" s="32">
        <v>0.33373581124832619</v>
      </c>
      <c r="F77" s="32">
        <v>0.36340736823753983</v>
      </c>
      <c r="G77" s="32">
        <v>0.39233589001211988</v>
      </c>
      <c r="H77" s="32">
        <v>0.42060861833685226</v>
      </c>
      <c r="I77" s="32">
        <v>0.44829934483652889</v>
      </c>
      <c r="J77" s="32">
        <v>0.47547105793500855</v>
      </c>
      <c r="K77" s="32">
        <v>0.50217796290980155</v>
      </c>
    </row>
    <row r="78" spans="1:11" x14ac:dyDescent="0.25">
      <c r="A78" s="70"/>
      <c r="B78" s="37">
        <f>+B77+1%</f>
        <v>0.02</v>
      </c>
      <c r="C78" s="32">
        <v>0.25555372679644717</v>
      </c>
      <c r="D78" s="32">
        <v>0.2880087780703795</v>
      </c>
      <c r="E78" s="32">
        <v>0.31937117067985898</v>
      </c>
      <c r="F78" s="32">
        <v>0.34978869999486273</v>
      </c>
      <c r="G78" s="32">
        <v>0.37938231637780317</v>
      </c>
      <c r="H78" s="32">
        <v>0.40825231974028053</v>
      </c>
      <c r="I78" s="32">
        <v>0.43648284895686573</v>
      </c>
      <c r="J78" s="32">
        <v>0.4641452029705071</v>
      </c>
      <c r="K78" s="32">
        <v>0.49130034237587727</v>
      </c>
    </row>
    <row r="79" spans="1:11" x14ac:dyDescent="0.25">
      <c r="A79" s="70"/>
      <c r="B79" s="37">
        <f t="shared" ref="B79:B87" si="19">+B78+1%</f>
        <v>0.03</v>
      </c>
      <c r="C79" s="32">
        <v>0.23820023387476663</v>
      </c>
      <c r="D79" s="32">
        <v>0.27175897675002614</v>
      </c>
      <c r="E79" s="32">
        <v>0.30407966792893704</v>
      </c>
      <c r="F79" s="32">
        <v>0.33533817839266966</v>
      </c>
      <c r="G79" s="32">
        <v>0.36567664033536618</v>
      </c>
      <c r="H79" s="32">
        <v>0.39521165082776899</v>
      </c>
      <c r="I79" s="32">
        <v>0.424040103136889</v>
      </c>
      <c r="J79" s="32">
        <v>0.45224342829185682</v>
      </c>
      <c r="K79" s="32">
        <v>0.47989074292366363</v>
      </c>
    </row>
    <row r="80" spans="1:11" x14ac:dyDescent="0.25">
      <c r="A80" s="70"/>
      <c r="B80" s="37">
        <f t="shared" si="19"/>
        <v>0.04</v>
      </c>
      <c r="C80" s="32">
        <v>0.21948425905518754</v>
      </c>
      <c r="D80" s="32">
        <v>0.25432148640154373</v>
      </c>
      <c r="E80" s="32">
        <v>0.28774080483916409</v>
      </c>
      <c r="F80" s="32">
        <v>0.31995497239492043</v>
      </c>
      <c r="G80" s="32">
        <v>0.35113342597258734</v>
      </c>
      <c r="H80" s="32">
        <v>0.38141342969562442</v>
      </c>
      <c r="I80" s="32">
        <v>0.41090782285582583</v>
      </c>
      <c r="J80" s="32">
        <v>0.43971054708536528</v>
      </c>
      <c r="K80" s="32">
        <v>0.46790067933987256</v>
      </c>
    </row>
    <row r="81" spans="1:11" x14ac:dyDescent="0.25">
      <c r="A81" s="70"/>
      <c r="B81" s="37">
        <f t="shared" si="19"/>
        <v>0.05</v>
      </c>
      <c r="C81" s="32">
        <v>0.19917747302097211</v>
      </c>
      <c r="D81" s="32">
        <v>0.23551458322718255</v>
      </c>
      <c r="E81" s="32">
        <v>0.27020704305752696</v>
      </c>
      <c r="F81" s="32">
        <v>0.30351727625642155</v>
      </c>
      <c r="G81" s="32">
        <v>0.33565066761818541</v>
      </c>
      <c r="H81" s="32">
        <v>0.36677117626783717</v>
      </c>
      <c r="I81" s="32">
        <v>0.39701190314139945</v>
      </c>
      <c r="J81" s="32">
        <v>0.4264824609979887</v>
      </c>
      <c r="K81" s="32">
        <v>0.45527424800648997</v>
      </c>
    </row>
    <row r="82" spans="1:11" x14ac:dyDescent="0.25">
      <c r="A82" s="70"/>
      <c r="B82" s="37">
        <f t="shared" si="19"/>
        <v>6.0000000000000005E-2</v>
      </c>
      <c r="C82" s="32">
        <v>0.1769838368746961</v>
      </c>
      <c r="D82" s="32">
        <v>0.21510779192977814</v>
      </c>
      <c r="E82" s="32">
        <v>0.25129468365748209</v>
      </c>
      <c r="F82" s="32">
        <v>0.28587578943109548</v>
      </c>
      <c r="G82" s="32">
        <v>0.31910501064192998</v>
      </c>
      <c r="H82" s="32">
        <v>0.35118153308379174</v>
      </c>
      <c r="I82" s="32">
        <v>0.38226468760374699</v>
      </c>
      <c r="J82" s="32">
        <v>0.41248404210912004</v>
      </c>
      <c r="K82" s="32">
        <v>0.44194646043293351</v>
      </c>
    </row>
    <row r="83" spans="1:11" x14ac:dyDescent="0.25">
      <c r="A83" s="70"/>
      <c r="B83" s="37">
        <f t="shared" si="19"/>
        <v>7.0000000000000007E-2</v>
      </c>
      <c r="C83" s="32">
        <v>0.15250856559335113</v>
      </c>
      <c r="D83" s="32">
        <v>0.19280189153451133</v>
      </c>
      <c r="E83" s="32">
        <v>0.23077043677539133</v>
      </c>
      <c r="F83" s="32">
        <v>0.26684437846227405</v>
      </c>
      <c r="G83" s="32">
        <v>0.30134506793304294</v>
      </c>
      <c r="H83" s="32">
        <v>0.33451936246843084</v>
      </c>
      <c r="I83" s="32">
        <v>0.3665612948596717</v>
      </c>
      <c r="J83" s="32">
        <v>0.39762632927642927</v>
      </c>
      <c r="K83" s="32">
        <v>0.42784106873470584</v>
      </c>
    </row>
    <row r="84" spans="1:11" x14ac:dyDescent="0.25">
      <c r="A84" s="70"/>
      <c r="B84" s="37">
        <f t="shared" si="19"/>
        <v>0.08</v>
      </c>
      <c r="C84" s="32">
        <v>0.12520640753942947</v>
      </c>
      <c r="D84" s="32">
        <v>0.16819717437221082</v>
      </c>
      <c r="E84" s="32">
        <v>0.20833092834502343</v>
      </c>
      <c r="F84" s="32">
        <v>0.24618629021900063</v>
      </c>
      <c r="G84" s="32">
        <v>0.28218182410137116</v>
      </c>
      <c r="H84" s="32">
        <v>0.31663087414216373</v>
      </c>
      <c r="I84" s="32">
        <v>0.3497745754048871</v>
      </c>
      <c r="J84" s="32">
        <v>0.38180274901066413</v>
      </c>
      <c r="K84" s="32">
        <v>0.41286768163185439</v>
      </c>
    </row>
    <row r="85" spans="1:11" x14ac:dyDescent="0.25">
      <c r="A85" s="70"/>
      <c r="B85" s="37">
        <f t="shared" si="19"/>
        <v>0.09</v>
      </c>
      <c r="C85" s="32">
        <v>9.4289689735109095E-2</v>
      </c>
      <c r="D85" s="32">
        <v>0.14074036225102282</v>
      </c>
      <c r="E85" s="32">
        <v>0.18357005686800387</v>
      </c>
      <c r="F85" s="32">
        <v>0.22359304823078108</v>
      </c>
      <c r="G85" s="32">
        <v>0.26137442642484365</v>
      </c>
      <c r="H85" s="32">
        <v>0.297323731116655</v>
      </c>
      <c r="I85" s="32">
        <v>0.3317480244716482</v>
      </c>
      <c r="J85" s="32">
        <v>0.36488391509418427</v>
      </c>
      <c r="K85" s="32">
        <v>0.39691786840854482</v>
      </c>
    </row>
    <row r="86" spans="1:11" x14ac:dyDescent="0.25">
      <c r="A86" s="70"/>
      <c r="B86" s="37">
        <f t="shared" si="19"/>
        <v>9.9999999999999992E-2</v>
      </c>
      <c r="C86" s="32">
        <v>5.8550405913294856E-2</v>
      </c>
      <c r="D86" s="32">
        <v>0.10962978400395884</v>
      </c>
      <c r="E86" s="32">
        <v>0.15592416619621119</v>
      </c>
      <c r="F86" s="32">
        <v>0.19865070520960337</v>
      </c>
      <c r="G86" s="32">
        <v>0.23860835665892877</v>
      </c>
      <c r="H86" s="32">
        <v>0.27635235069599084</v>
      </c>
      <c r="I86" s="32">
        <v>0.31228554790872498</v>
      </c>
      <c r="J86" s="32">
        <v>0.34671030013187432</v>
      </c>
      <c r="K86" s="32">
        <v>0.37985978391502795</v>
      </c>
    </row>
    <row r="87" spans="1:11" ht="15.75" thickBot="1" x14ac:dyDescent="0.3">
      <c r="A87" s="71"/>
      <c r="B87" s="37">
        <f t="shared" si="19"/>
        <v>0.10999999999999999</v>
      </c>
      <c r="C87" s="32">
        <v>1.5973731724135298E-2</v>
      </c>
      <c r="D87" s="32">
        <v>7.3630734302243317E-2</v>
      </c>
      <c r="E87" s="32">
        <v>0.12457355694420591</v>
      </c>
      <c r="F87" s="32">
        <v>0.17078287826553873</v>
      </c>
      <c r="G87" s="32">
        <v>0.21346036938723101</v>
      </c>
      <c r="H87" s="32">
        <v>0.25339523316760593</v>
      </c>
      <c r="I87" s="32">
        <v>0.2911362030092628</v>
      </c>
      <c r="J87" s="32">
        <v>0.32708161820892911</v>
      </c>
      <c r="K87" s="32">
        <v>0.36153057138027678</v>
      </c>
    </row>
    <row r="90" spans="1:11" ht="15.75" thickBot="1" x14ac:dyDescent="0.3"/>
    <row r="91" spans="1:11" ht="15.75" thickBot="1" x14ac:dyDescent="0.3">
      <c r="C91" s="66" t="s">
        <v>65</v>
      </c>
      <c r="D91" s="67"/>
      <c r="E91" s="67"/>
      <c r="F91" s="67"/>
      <c r="G91" s="67"/>
      <c r="H91" s="67"/>
      <c r="I91" s="67"/>
      <c r="J91" s="67"/>
      <c r="K91" s="68"/>
    </row>
    <row r="92" spans="1:11" x14ac:dyDescent="0.25">
      <c r="A92" s="69" t="s">
        <v>85</v>
      </c>
      <c r="B92" s="33">
        <f>+$B$26</f>
        <v>0.38841229094643515</v>
      </c>
      <c r="C92" s="34">
        <v>170000</v>
      </c>
      <c r="D92" s="35">
        <f>+C92+5000</f>
        <v>175000</v>
      </c>
      <c r="E92" s="35">
        <f t="shared" ref="E92:K92" si="20">+D92+5000</f>
        <v>180000</v>
      </c>
      <c r="F92" s="35">
        <f t="shared" si="20"/>
        <v>185000</v>
      </c>
      <c r="G92" s="35">
        <f t="shared" si="20"/>
        <v>190000</v>
      </c>
      <c r="H92" s="35">
        <f t="shared" si="20"/>
        <v>195000</v>
      </c>
      <c r="I92" s="35">
        <f t="shared" si="20"/>
        <v>200000</v>
      </c>
      <c r="J92" s="35">
        <f t="shared" si="20"/>
        <v>205000</v>
      </c>
      <c r="K92" s="35">
        <f t="shared" si="20"/>
        <v>210000</v>
      </c>
    </row>
    <row r="93" spans="1:11" x14ac:dyDescent="0.25">
      <c r="A93" s="70"/>
      <c r="B93" s="37">
        <v>-0.05</v>
      </c>
      <c r="C93" s="32">
        <f t="dataTable" ref="C93:K103" dt2D="1" dtr="1" r1="C4" r2="B7" ca="1"/>
        <v>-6.7524530938248839E-2</v>
      </c>
      <c r="D93" s="32">
        <v>-6.662955510691515E-3</v>
      </c>
      <c r="E93" s="32">
        <v>4.5938186067866038E-2</v>
      </c>
      <c r="F93" s="32">
        <v>9.3016491883721075E-2</v>
      </c>
      <c r="G93" s="32">
        <v>0.13611729196349298</v>
      </c>
      <c r="H93" s="32">
        <v>0.1762070817141228</v>
      </c>
      <c r="I93" s="32">
        <v>0.21393446161908214</v>
      </c>
      <c r="J93" s="32">
        <v>0.24975774564388509</v>
      </c>
      <c r="K93" s="32">
        <v>0.28401383124170931</v>
      </c>
    </row>
    <row r="94" spans="1:11" x14ac:dyDescent="0.25">
      <c r="A94" s="70"/>
      <c r="B94" s="37">
        <f>+B93+1.5%</f>
        <v>-3.5000000000000003E-2</v>
      </c>
      <c r="C94" s="32">
        <v>1.7516926708129876E-2</v>
      </c>
      <c r="D94" s="32">
        <v>6.6497414539535837E-2</v>
      </c>
      <c r="E94" s="32">
        <v>0.1110236815099046</v>
      </c>
      <c r="F94" s="32">
        <v>0.15222011125811497</v>
      </c>
      <c r="G94" s="32">
        <v>0.19082826777975881</v>
      </c>
      <c r="H94" s="32">
        <v>0.22736529458814125</v>
      </c>
      <c r="I94" s="32">
        <v>0.26220741308660211</v>
      </c>
      <c r="J94" s="32">
        <v>0.29563756497998939</v>
      </c>
      <c r="K94" s="32">
        <v>0.32787431287009428</v>
      </c>
    </row>
    <row r="95" spans="1:11" x14ac:dyDescent="0.25">
      <c r="A95" s="70"/>
      <c r="B95" s="37">
        <f t="shared" ref="B95:B103" si="21">+B94+1.5%</f>
        <v>-2.0000000000000004E-2</v>
      </c>
      <c r="C95" s="32">
        <v>8.3075646409568105E-2</v>
      </c>
      <c r="D95" s="32">
        <v>0.12580448123308963</v>
      </c>
      <c r="E95" s="32">
        <v>0.16562369143764832</v>
      </c>
      <c r="F95" s="32">
        <v>0.20313878498766713</v>
      </c>
      <c r="G95" s="32">
        <v>0.23878369820768475</v>
      </c>
      <c r="H95" s="32">
        <v>0.27288088087127038</v>
      </c>
      <c r="I95" s="32">
        <v>0.30567697873533306</v>
      </c>
      <c r="J95" s="32">
        <v>0.33736517487431894</v>
      </c>
      <c r="K95" s="32">
        <v>0.36809979151624739</v>
      </c>
    </row>
    <row r="96" spans="1:11" x14ac:dyDescent="0.25">
      <c r="A96" s="70"/>
      <c r="B96" s="37">
        <f t="shared" si="21"/>
        <v>-5.0000000000000044E-3</v>
      </c>
      <c r="C96" s="32">
        <v>0.13793118541092309</v>
      </c>
      <c r="D96" s="32">
        <v>0.17675196849837072</v>
      </c>
      <c r="E96" s="32">
        <v>0.21346365151760338</v>
      </c>
      <c r="F96" s="32">
        <v>0.24844542424079497</v>
      </c>
      <c r="G96" s="32">
        <v>0.28198349990240423</v>
      </c>
      <c r="H96" s="32">
        <v>0.31429960224997111</v>
      </c>
      <c r="I96" s="32">
        <v>0.34556922668071377</v>
      </c>
      <c r="J96" s="32">
        <v>0.37593380850304148</v>
      </c>
      <c r="K96" s="32">
        <v>0.40550909847996364</v>
      </c>
    </row>
    <row r="97" spans="1:11" x14ac:dyDescent="0.25">
      <c r="A97" s="70"/>
      <c r="B97" s="37">
        <f t="shared" si="21"/>
        <v>9.999999999999995E-3</v>
      </c>
      <c r="C97" s="32">
        <v>0.18590133061269087</v>
      </c>
      <c r="D97" s="32">
        <v>0.22203588448879397</v>
      </c>
      <c r="E97" s="32">
        <v>0.25653762350357856</v>
      </c>
      <c r="F97" s="32">
        <v>0.28966812026519362</v>
      </c>
      <c r="G97" s="32">
        <v>0.32163194179393706</v>
      </c>
      <c r="H97" s="32">
        <v>0.35259229072785847</v>
      </c>
      <c r="I97" s="32">
        <v>0.38268158041585876</v>
      </c>
      <c r="J97" s="32">
        <v>0.41200880356883141</v>
      </c>
      <c r="K97" s="32">
        <v>0.44066480077721581</v>
      </c>
    </row>
    <row r="98" spans="1:11" x14ac:dyDescent="0.25">
      <c r="A98" s="70"/>
      <c r="B98" s="37">
        <f t="shared" si="21"/>
        <v>2.4999999999999994E-2</v>
      </c>
      <c r="C98" s="32">
        <v>0.22902551123208315</v>
      </c>
      <c r="D98" s="32">
        <v>0.26319908717725671</v>
      </c>
      <c r="E98" s="32">
        <v>0.29604965326813404</v>
      </c>
      <c r="F98" s="32">
        <v>0.32777021668563999</v>
      </c>
      <c r="G98" s="32">
        <v>0.35851566391686318</v>
      </c>
      <c r="H98" s="32">
        <v>0.38841229094643515</v>
      </c>
      <c r="I98" s="32">
        <v>0.41756450455840266</v>
      </c>
      <c r="J98" s="32">
        <v>0.44605965126219527</v>
      </c>
      <c r="K98" s="32">
        <v>0.47397157181808725</v>
      </c>
    </row>
    <row r="99" spans="1:11" x14ac:dyDescent="0.25">
      <c r="A99" s="70"/>
      <c r="B99" s="37">
        <f t="shared" si="21"/>
        <v>3.9999999999999994E-2</v>
      </c>
      <c r="C99" s="32">
        <v>0.26853312219303027</v>
      </c>
      <c r="D99" s="32">
        <v>0.30121459372105663</v>
      </c>
      <c r="E99" s="32">
        <v>0.33278754954166256</v>
      </c>
      <c r="F99" s="32">
        <v>0.36340163985295804</v>
      </c>
      <c r="G99" s="32">
        <v>0.3931793292393948</v>
      </c>
      <c r="H99" s="32">
        <v>0.42222217217848934</v>
      </c>
      <c r="I99" s="32">
        <v>0.45061536055163787</v>
      </c>
      <c r="J99" s="32">
        <v>0.47843108735610151</v>
      </c>
      <c r="K99" s="32">
        <v>0.50573108013152401</v>
      </c>
    </row>
    <row r="100" spans="1:11" x14ac:dyDescent="0.25">
      <c r="A100" s="70"/>
      <c r="B100" s="37">
        <f t="shared" si="21"/>
        <v>5.4999999999999993E-2</v>
      </c>
      <c r="C100" s="32">
        <v>0.30522742787666424</v>
      </c>
      <c r="D100" s="32">
        <v>0.33673890256674799</v>
      </c>
      <c r="E100" s="32">
        <v>0.36729736761738829</v>
      </c>
      <c r="F100" s="32">
        <v>0.39702334306003251</v>
      </c>
      <c r="G100" s="32">
        <v>0.42601697798615157</v>
      </c>
      <c r="H100" s="32">
        <v>0.45436243854732039</v>
      </c>
      <c r="I100" s="32">
        <v>0.48213116419852708</v>
      </c>
      <c r="J100" s="32">
        <v>0.50938432714671888</v>
      </c>
      <c r="K100" s="32">
        <v>0.53617471933687599</v>
      </c>
    </row>
    <row r="101" spans="1:11" x14ac:dyDescent="0.25">
      <c r="A101" s="70"/>
      <c r="B101" s="37">
        <f t="shared" si="21"/>
        <v>6.9999999999999993E-2</v>
      </c>
      <c r="C101" s="32">
        <v>0.33966452412718962</v>
      </c>
      <c r="D101" s="32">
        <v>0.37023758747163726</v>
      </c>
      <c r="E101" s="32">
        <v>0.399974433308109</v>
      </c>
      <c r="F101" s="32">
        <v>0.4289750701868642</v>
      </c>
      <c r="G101" s="32">
        <v>0.45732363231374351</v>
      </c>
      <c r="H101" s="32">
        <v>0.48509159766847931</v>
      </c>
      <c r="I101" s="32">
        <v>0.51234022248262279</v>
      </c>
      <c r="J101" s="32">
        <v>0.53912241165222263</v>
      </c>
      <c r="K101" s="32">
        <v>0.56548417583357646</v>
      </c>
    </row>
    <row r="102" spans="1:11" x14ac:dyDescent="0.25">
      <c r="A102" s="70"/>
      <c r="B102" s="37">
        <f t="shared" si="21"/>
        <v>8.4999999999999992E-2</v>
      </c>
      <c r="C102" s="32">
        <v>0.37224658235033736</v>
      </c>
      <c r="D102" s="32">
        <v>0.40205373892582319</v>
      </c>
      <c r="E102" s="32">
        <v>0.43111487064390341</v>
      </c>
      <c r="F102" s="32">
        <v>0.45951499411629593</v>
      </c>
      <c r="G102" s="32">
        <v>0.48732635722833373</v>
      </c>
      <c r="H102" s="32">
        <v>0.51461089247434555</v>
      </c>
      <c r="I102" s="32">
        <v>0.54142210255563428</v>
      </c>
      <c r="J102" s="32">
        <v>0.56780652977172585</v>
      </c>
      <c r="K102" s="32">
        <v>0.59380491539680436</v>
      </c>
    </row>
    <row r="103" spans="1:11" ht="15.75" thickBot="1" x14ac:dyDescent="0.3">
      <c r="A103" s="71"/>
      <c r="B103" s="37">
        <f t="shared" si="21"/>
        <v>9.9999999999999992E-2</v>
      </c>
      <c r="C103" s="32">
        <v>0.40327457511918885</v>
      </c>
      <c r="D103" s="32">
        <v>0.43244801641591812</v>
      </c>
      <c r="E103" s="32">
        <v>0.46094666436451015</v>
      </c>
      <c r="F103" s="32">
        <v>0.4888442402718558</v>
      </c>
      <c r="G103" s="32">
        <v>0.51620392305615082</v>
      </c>
      <c r="H103" s="32">
        <v>0.54308028034219524</v>
      </c>
      <c r="I103" s="32">
        <v>0.56952077252341149</v>
      </c>
      <c r="J103" s="32">
        <v>0.59556693892160584</v>
      </c>
      <c r="K103" s="32">
        <v>0.62125534385511072</v>
      </c>
    </row>
  </sheetData>
  <scenarios current="0" sqref="B26:B27">
    <scenario name="PESIMISTA" locked="1" count="6" user="andres montes gomez" comment="Creado por andres montes gomez el 7/06/2020_x000a_Modificado por andres montes gomez el 7/06/2020">
      <inputCells r="B5" val="0.8" numFmtId="9"/>
      <inputCells r="B6" val="-0.01" numFmtId="9"/>
      <inputCells r="B7" val="-0.01" numFmtId="10"/>
      <inputCells r="B8" val="0.04" numFmtId="10"/>
      <inputCells r="C3" val="18000" numFmtId="42"/>
      <inputCells r="C4" val="175000" numFmtId="41"/>
    </scenario>
    <scenario name="ESPERADO" locked="1" count="6" user="andres montes gomez" comment="Creado por andres montes gomez el 7/06/2020">
      <inputCells r="B5" val="0.75" numFmtId="9"/>
      <inputCells r="B6" val="0.05" numFmtId="9"/>
      <inputCells r="B7" val="0.035" numFmtId="10"/>
      <inputCells r="B8" val="0.03" numFmtId="10"/>
      <inputCells r="C3" val="19500" numFmtId="42"/>
      <inputCells r="C4" val="200000" numFmtId="41"/>
    </scenario>
    <scenario name="OPTIMISTA" locked="1" count="6" user="andres montes gomez" comment="Creado por andres montes gomez el 7/06/2020">
      <inputCells r="B5" val="0.65" numFmtId="9"/>
      <inputCells r="B6" val="0.1" numFmtId="9"/>
      <inputCells r="B7" val="0.05" numFmtId="10"/>
      <inputCells r="B8" val="0.025" numFmtId="10"/>
      <inputCells r="C3" val="22500" numFmtId="42"/>
      <inputCells r="C4" val="250000" numFmtId="41"/>
    </scenario>
  </scenarios>
  <mergeCells count="10">
    <mergeCell ref="C75:K75"/>
    <mergeCell ref="A76:A87"/>
    <mergeCell ref="C91:K91"/>
    <mergeCell ref="A92:A103"/>
    <mergeCell ref="C31:K31"/>
    <mergeCell ref="A32:A43"/>
    <mergeCell ref="C47:K47"/>
    <mergeCell ref="A48:A55"/>
    <mergeCell ref="C59:K59"/>
    <mergeCell ref="A60:A71"/>
  </mergeCells>
  <conditionalFormatting sqref="C33:K43">
    <cfRule type="cellIs" dxfId="14" priority="13" operator="greaterThan">
      <formula>0.5</formula>
    </cfRule>
    <cfRule type="cellIs" dxfId="13" priority="14" operator="between">
      <formula>0.3</formula>
      <formula>0.5</formula>
    </cfRule>
    <cfRule type="cellIs" dxfId="12" priority="15" operator="lessThan">
      <formula>0.3</formula>
    </cfRule>
  </conditionalFormatting>
  <conditionalFormatting sqref="C49:K55">
    <cfRule type="cellIs" dxfId="11" priority="10" operator="greaterThan">
      <formula>0.5</formula>
    </cfRule>
    <cfRule type="cellIs" dxfId="10" priority="11" operator="between">
      <formula>0.3</formula>
      <formula>0.5</formula>
    </cfRule>
    <cfRule type="cellIs" dxfId="9" priority="12" operator="lessThan">
      <formula>0.3</formula>
    </cfRule>
  </conditionalFormatting>
  <conditionalFormatting sqref="C61:K71">
    <cfRule type="cellIs" dxfId="8" priority="7" operator="greaterThan">
      <formula>0.5</formula>
    </cfRule>
    <cfRule type="cellIs" dxfId="7" priority="8" operator="between">
      <formula>0.3</formula>
      <formula>0.5</formula>
    </cfRule>
    <cfRule type="cellIs" dxfId="6" priority="9" operator="lessThan">
      <formula>0.3</formula>
    </cfRule>
  </conditionalFormatting>
  <conditionalFormatting sqref="C77:K87">
    <cfRule type="cellIs" dxfId="5" priority="4" operator="greaterThan">
      <formula>0.5</formula>
    </cfRule>
    <cfRule type="cellIs" dxfId="4" priority="5" operator="between">
      <formula>0.3</formula>
      <formula>0.5</formula>
    </cfRule>
    <cfRule type="cellIs" dxfId="3" priority="6" operator="lessThan">
      <formula>0.3</formula>
    </cfRule>
  </conditionalFormatting>
  <conditionalFormatting sqref="C93:K103">
    <cfRule type="cellIs" dxfId="2" priority="1" operator="greaterThan">
      <formula>0.5</formula>
    </cfRule>
    <cfRule type="cellIs" dxfId="1" priority="2" operator="between">
      <formula>0.3</formula>
      <formula>0.5</formula>
    </cfRule>
    <cfRule type="cellIs" dxfId="0" priority="3" operator="lessThan">
      <formula>0.3</formula>
    </cfRule>
  </conditionalFormatting>
  <pageMargins left="0.7" right="0.7" top="0.75" bottom="0.75" header="0.3" footer="0.3"/>
  <pageSetup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7273FC-B5D4-4348-A1E4-FC035671B16F}">
  <sheetPr>
    <outlinePr summaryBelow="0"/>
  </sheetPr>
  <dimension ref="B1:G14"/>
  <sheetViews>
    <sheetView showGridLines="0" tabSelected="1" workbookViewId="0">
      <selection activeCell="C15" sqref="C15"/>
    </sheetView>
  </sheetViews>
  <sheetFormatPr baseColWidth="10" defaultRowHeight="15" outlineLevelRow="1" outlineLevelCol="1" x14ac:dyDescent="0.25"/>
  <cols>
    <col min="3" max="3" width="24.42578125" bestFit="1" customWidth="1"/>
    <col min="4" max="7" width="14.5703125" bestFit="1" customWidth="1" outlineLevel="1"/>
  </cols>
  <sheetData>
    <row r="1" spans="2:7" ht="15.75" thickBot="1" x14ac:dyDescent="0.3"/>
    <row r="2" spans="2:7" ht="15.75" x14ac:dyDescent="0.25">
      <c r="B2" s="47"/>
      <c r="C2" s="47"/>
      <c r="D2" s="52"/>
      <c r="E2" s="52"/>
      <c r="F2" s="52"/>
      <c r="G2" s="52"/>
    </row>
    <row r="3" spans="2:7" ht="15.75" collapsed="1" x14ac:dyDescent="0.25">
      <c r="B3" s="46"/>
      <c r="C3" s="46"/>
      <c r="D3" s="53" t="s">
        <v>89</v>
      </c>
      <c r="E3" s="53" t="s">
        <v>90</v>
      </c>
      <c r="F3" s="53" t="s">
        <v>91</v>
      </c>
      <c r="G3" s="53" t="s">
        <v>92</v>
      </c>
    </row>
    <row r="4" spans="2:7" ht="67.5" hidden="1" outlineLevel="1" x14ac:dyDescent="0.25">
      <c r="B4" s="49"/>
      <c r="C4" s="49"/>
      <c r="D4" s="40"/>
      <c r="E4" s="58" t="s">
        <v>20</v>
      </c>
      <c r="F4" s="58" t="s">
        <v>19</v>
      </c>
      <c r="G4" s="58" t="s">
        <v>19</v>
      </c>
    </row>
    <row r="5" spans="2:7" x14ac:dyDescent="0.25">
      <c r="B5" s="50"/>
      <c r="C5" s="50"/>
      <c r="D5" s="48"/>
      <c r="E5" s="48"/>
      <c r="F5" s="48"/>
      <c r="G5" s="48"/>
    </row>
    <row r="6" spans="2:7" outlineLevel="1" x14ac:dyDescent="0.25">
      <c r="B6" s="49"/>
      <c r="C6" s="49" t="s">
        <v>86</v>
      </c>
      <c r="D6" s="41">
        <v>0.8</v>
      </c>
      <c r="E6" s="54">
        <v>0.8</v>
      </c>
      <c r="F6" s="54">
        <v>0.75</v>
      </c>
      <c r="G6" s="54">
        <v>0.65</v>
      </c>
    </row>
    <row r="7" spans="2:7" outlineLevel="1" x14ac:dyDescent="0.25">
      <c r="B7" s="49"/>
      <c r="C7" s="49" t="s">
        <v>87</v>
      </c>
      <c r="D7" s="41">
        <v>0.05</v>
      </c>
      <c r="E7" s="54">
        <v>-0.01</v>
      </c>
      <c r="F7" s="54">
        <v>0.05</v>
      </c>
      <c r="G7" s="54">
        <v>0.1</v>
      </c>
    </row>
    <row r="8" spans="2:7" outlineLevel="1" x14ac:dyDescent="0.25">
      <c r="B8" s="49"/>
      <c r="C8" s="49" t="s">
        <v>88</v>
      </c>
      <c r="D8" s="42">
        <v>2.5000000000000001E-2</v>
      </c>
      <c r="E8" s="55">
        <v>-0.01</v>
      </c>
      <c r="F8" s="55">
        <v>3.5000000000000003E-2</v>
      </c>
      <c r="G8" s="55">
        <v>0.05</v>
      </c>
    </row>
    <row r="9" spans="2:7" outlineLevel="1" x14ac:dyDescent="0.25">
      <c r="B9" s="49"/>
      <c r="C9" s="49" t="s">
        <v>84</v>
      </c>
      <c r="D9" s="42">
        <v>3.5000000000000003E-2</v>
      </c>
      <c r="E9" s="55">
        <v>0.04</v>
      </c>
      <c r="F9" s="55">
        <v>0.03</v>
      </c>
      <c r="G9" s="55">
        <v>2.5000000000000001E-2</v>
      </c>
    </row>
    <row r="10" spans="2:7" outlineLevel="1" x14ac:dyDescent="0.25">
      <c r="B10" s="49"/>
      <c r="C10" s="49" t="s">
        <v>81</v>
      </c>
      <c r="D10" s="43">
        <v>18500</v>
      </c>
      <c r="E10" s="56">
        <v>18000</v>
      </c>
      <c r="F10" s="56">
        <v>19500</v>
      </c>
      <c r="G10" s="56">
        <v>22500</v>
      </c>
    </row>
    <row r="11" spans="2:7" outlineLevel="1" x14ac:dyDescent="0.25">
      <c r="B11" s="49"/>
      <c r="C11" s="49" t="s">
        <v>65</v>
      </c>
      <c r="D11" s="44">
        <v>195000</v>
      </c>
      <c r="E11" s="57">
        <v>175000</v>
      </c>
      <c r="F11" s="57">
        <v>200000</v>
      </c>
      <c r="G11" s="57">
        <v>250000</v>
      </c>
    </row>
    <row r="12" spans="2:7" x14ac:dyDescent="0.25">
      <c r="B12" s="50"/>
      <c r="C12" s="50"/>
      <c r="D12" s="48"/>
      <c r="E12" s="48"/>
      <c r="F12" s="48"/>
      <c r="G12" s="48"/>
    </row>
    <row r="13" spans="2:7" outlineLevel="1" x14ac:dyDescent="0.25">
      <c r="B13" s="49"/>
      <c r="C13" s="49" t="s">
        <v>79</v>
      </c>
      <c r="D13" s="42">
        <v>0.38841229094643498</v>
      </c>
      <c r="E13" s="42">
        <v>3.1690265687191403E-2</v>
      </c>
      <c r="F13" s="42">
        <v>0.77106129109375998</v>
      </c>
      <c r="G13" s="42">
        <v>2.0391773574010301</v>
      </c>
    </row>
    <row r="14" spans="2:7" ht="15.75" outlineLevel="1" thickBot="1" x14ac:dyDescent="0.3">
      <c r="B14" s="51"/>
      <c r="C14" s="51" t="s">
        <v>93</v>
      </c>
      <c r="D14" s="45">
        <v>2.85407278095576</v>
      </c>
      <c r="E14" s="45">
        <v>6.2947378946995203</v>
      </c>
      <c r="F14" s="45">
        <v>1.57191439157613</v>
      </c>
      <c r="G14" s="45">
        <v>0.73286130703970398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3</vt:i4>
      </vt:variant>
      <vt:variant>
        <vt:lpstr>Rangos con nombre</vt:lpstr>
      </vt:variant>
      <vt:variant>
        <vt:i4>8</vt:i4>
      </vt:variant>
    </vt:vector>
  </HeadingPairs>
  <TitlesOfParts>
    <vt:vector size="11" baseType="lpstr">
      <vt:lpstr>Data</vt:lpstr>
      <vt:lpstr>Cash Flows</vt:lpstr>
      <vt:lpstr>Scenarios</vt:lpstr>
      <vt:lpstr>Costo_Promedio</vt:lpstr>
      <vt:lpstr>Crecimiento_Ventas</vt:lpstr>
      <vt:lpstr>Incremento_Gastos</vt:lpstr>
      <vt:lpstr>Incremento_Precio_Venta</vt:lpstr>
      <vt:lpstr>Periodo_Recuperacion</vt:lpstr>
      <vt:lpstr>Precio_Venta</vt:lpstr>
      <vt:lpstr>Rentabilidad</vt:lpstr>
      <vt:lpstr>Ventas_Unidades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andres montes gomez</dc:creator>
  <cp:lastModifiedBy>andres montes gomez</cp:lastModifiedBy>
  <dcterms:created xsi:type="dcterms:W3CDTF">2020-06-03T18:36:35Z</dcterms:created>
  <dcterms:modified xsi:type="dcterms:W3CDTF">2020-08-28T20:41:47Z</dcterms:modified>
</cp:coreProperties>
</file>