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203e22\Desktop\"/>
    </mc:Choice>
  </mc:AlternateContent>
  <bookViews>
    <workbookView xWindow="0" yWindow="0" windowWidth="21600" windowHeight="7845" activeTab="2"/>
  </bookViews>
  <sheets>
    <sheet name="Formulación" sheetId="1" r:id="rId1"/>
    <sheet name="Resumen del escenario" sheetId="5" r:id="rId2"/>
    <sheet name="v_Financiera VIDA FINITA Riesgo" sheetId="4" r:id="rId3"/>
  </sheets>
  <definedNames>
    <definedName name="_xlnm.Print_Area" localSheetId="0">Formulación!$A$1:$L$48</definedName>
    <definedName name="_xlnm.Print_Area" localSheetId="2">'v_Financiera VIDA FINITA Riesgo'!$A$1:$I$151</definedName>
    <definedName name="Mano_de_Obra">'v_Financiera VIDA FINITA Riesgo'!$D$11</definedName>
    <definedName name="Precio">'v_Financiera VIDA FINITA Riesgo'!$D$10</definedName>
    <definedName name="Tasa_interes">'v_Financiera VIDA FINITA Riesgo'!$C$86</definedName>
    <definedName name="VPN">'v_Financiera VIDA FINITA Riesgo'!$C$145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2" i="4" l="1"/>
  <c r="C227" i="4" l="1"/>
  <c r="C226" i="4"/>
  <c r="C225" i="4"/>
  <c r="E223" i="4"/>
  <c r="D223" i="4"/>
  <c r="C223" i="4"/>
  <c r="C224" i="4"/>
  <c r="E222" i="4"/>
  <c r="D222" i="4"/>
  <c r="C222" i="4"/>
  <c r="C210" i="4"/>
  <c r="C209" i="4"/>
  <c r="C192" i="4"/>
  <c r="C191" i="4"/>
  <c r="C174" i="4"/>
  <c r="C173" i="4"/>
  <c r="B152" i="4"/>
  <c r="C211" i="4" l="1"/>
  <c r="C175" i="4"/>
  <c r="D219" i="4"/>
  <c r="D218" i="4"/>
  <c r="J10" i="4"/>
  <c r="B179" i="4" l="1"/>
  <c r="D12" i="4"/>
  <c r="D14" i="4" l="1"/>
  <c r="E14" i="4" l="1"/>
  <c r="F14" i="4" s="1"/>
  <c r="D16" i="4"/>
  <c r="D17" i="4" s="1"/>
  <c r="E10" i="4" l="1"/>
  <c r="F10" i="4" s="1"/>
  <c r="B138" i="4" l="1"/>
  <c r="C130" i="4"/>
  <c r="C129" i="4"/>
  <c r="C128" i="4"/>
  <c r="C127" i="4"/>
  <c r="G116" i="4"/>
  <c r="B116" i="4"/>
  <c r="B137" i="4" s="1"/>
  <c r="B115" i="4"/>
  <c r="B136" i="4" s="1"/>
  <c r="C103" i="4"/>
  <c r="C94" i="4"/>
  <c r="C91" i="4"/>
  <c r="C87" i="4"/>
  <c r="B196" i="4"/>
  <c r="B79" i="4"/>
  <c r="C78" i="4"/>
  <c r="B78" i="4"/>
  <c r="F68" i="4"/>
  <c r="E68" i="4"/>
  <c r="D68" i="4"/>
  <c r="C68" i="4"/>
  <c r="C56" i="4"/>
  <c r="E52" i="4"/>
  <c r="D52" i="4"/>
  <c r="C52" i="4"/>
  <c r="F26" i="4"/>
  <c r="E26" i="4"/>
  <c r="D26" i="4"/>
  <c r="B26" i="4"/>
  <c r="F25" i="4"/>
  <c r="E25" i="4"/>
  <c r="D25" i="4"/>
  <c r="B25" i="4"/>
  <c r="B24" i="4"/>
  <c r="F23" i="4"/>
  <c r="E23" i="4"/>
  <c r="D23" i="4"/>
  <c r="B23" i="4"/>
  <c r="E27" i="4" l="1"/>
  <c r="E33" i="4" s="1"/>
  <c r="E37" i="4" s="1"/>
  <c r="C53" i="4"/>
  <c r="C54" i="4" s="1"/>
  <c r="C57" i="4" s="1"/>
  <c r="C58" i="4" s="1"/>
  <c r="C59" i="4" s="1"/>
  <c r="C62" i="4" s="1"/>
  <c r="F30" i="4"/>
  <c r="D31" i="4"/>
  <c r="C131" i="4"/>
  <c r="E123" i="4" s="1"/>
  <c r="D53" i="4"/>
  <c r="D54" i="4" s="1"/>
  <c r="E53" i="4"/>
  <c r="E54" i="4" s="1"/>
  <c r="E30" i="4"/>
  <c r="D32" i="4"/>
  <c r="F27" i="4"/>
  <c r="F33" i="4" s="1"/>
  <c r="F37" i="4" s="1"/>
  <c r="E31" i="4"/>
  <c r="F31" i="4"/>
  <c r="D27" i="4"/>
  <c r="D33" i="4" s="1"/>
  <c r="D37" i="4" s="1"/>
  <c r="D30" i="4"/>
  <c r="E17" i="4"/>
  <c r="C61" i="4"/>
  <c r="D45" i="4" l="1"/>
  <c r="D46" i="4" s="1"/>
  <c r="C47" i="4" s="1"/>
  <c r="C71" i="4" s="1"/>
  <c r="C73" i="4" s="1"/>
  <c r="C79" i="4" s="1"/>
  <c r="C80" i="4" s="1"/>
  <c r="F17" i="4"/>
  <c r="F32" i="4" s="1"/>
  <c r="E32" i="4"/>
  <c r="E34" i="4" s="1"/>
  <c r="E45" i="4"/>
  <c r="E46" i="4" s="1"/>
  <c r="D34" i="4"/>
  <c r="E56" i="4"/>
  <c r="E57" i="4"/>
  <c r="D56" i="4"/>
  <c r="D57" i="4"/>
  <c r="C63" i="4"/>
  <c r="F34" i="4" l="1"/>
  <c r="F35" i="4" s="1"/>
  <c r="F36" i="4" s="1"/>
  <c r="F38" i="4" s="1"/>
  <c r="F78" i="4" s="1"/>
  <c r="F45" i="4"/>
  <c r="F46" i="4" s="1"/>
  <c r="F47" i="4" s="1"/>
  <c r="F72" i="4" s="1"/>
  <c r="C85" i="4"/>
  <c r="C115" i="4"/>
  <c r="D61" i="4"/>
  <c r="D58" i="4"/>
  <c r="D59" i="4" s="1"/>
  <c r="D62" i="4" s="1"/>
  <c r="E35" i="4"/>
  <c r="E36" i="4" s="1"/>
  <c r="E38" i="4" s="1"/>
  <c r="E78" i="4" s="1"/>
  <c r="D35" i="4"/>
  <c r="D36" i="4" s="1"/>
  <c r="D38" i="4" s="1"/>
  <c r="D78" i="4" s="1"/>
  <c r="E61" i="4"/>
  <c r="E58" i="4"/>
  <c r="E59" i="4" s="1"/>
  <c r="E62" i="4" s="1"/>
  <c r="D47" i="4"/>
  <c r="D71" i="4" s="1"/>
  <c r="D73" i="4" s="1"/>
  <c r="D79" i="4" s="1"/>
  <c r="D80" i="4" l="1"/>
  <c r="D115" i="4" s="1"/>
  <c r="D136" i="4" s="1"/>
  <c r="D63" i="4"/>
  <c r="C136" i="4"/>
  <c r="E63" i="4"/>
  <c r="C96" i="4"/>
  <c r="C105" i="4"/>
  <c r="C92" i="4"/>
  <c r="E47" i="4"/>
  <c r="E71" i="4" s="1"/>
  <c r="E73" i="4" s="1"/>
  <c r="E79" i="4" s="1"/>
  <c r="E80" i="4" s="1"/>
  <c r="E115" i="4" s="1"/>
  <c r="C41" i="1"/>
  <c r="I27" i="1"/>
  <c r="I26" i="1"/>
  <c r="I25" i="1"/>
  <c r="E25" i="1"/>
  <c r="E27" i="1"/>
  <c r="G18" i="1"/>
  <c r="F69" i="4" l="1"/>
  <c r="F73" i="4" s="1"/>
  <c r="F79" i="4" s="1"/>
  <c r="F80" i="4" s="1"/>
  <c r="F115" i="4" s="1"/>
  <c r="E136" i="4"/>
  <c r="D107" i="4"/>
  <c r="D109" i="4" s="1"/>
  <c r="D106" i="4"/>
  <c r="C110" i="4"/>
  <c r="F106" i="4"/>
  <c r="E106" i="4"/>
  <c r="C101" i="4"/>
  <c r="D98" i="4"/>
  <c r="D100" i="4" s="1"/>
  <c r="F99" i="4"/>
  <c r="D99" i="4"/>
  <c r="E99" i="4"/>
  <c r="D108" i="4" l="1"/>
  <c r="D110" i="4" s="1"/>
  <c r="C116" i="4"/>
  <c r="D97" i="4"/>
  <c r="D96" i="4" s="1"/>
  <c r="D101" i="4"/>
  <c r="F136" i="4"/>
  <c r="C146" i="4" s="1"/>
  <c r="D105" i="4"/>
  <c r="D116" i="4" l="1"/>
  <c r="D117" i="4" s="1"/>
  <c r="D138" i="4" s="1"/>
  <c r="C122" i="4"/>
  <c r="C137" i="4"/>
  <c r="C117" i="4"/>
  <c r="E98" i="4"/>
  <c r="E107" i="4"/>
  <c r="E105" i="4"/>
  <c r="D137" i="4" l="1"/>
  <c r="E109" i="4"/>
  <c r="E108" i="4"/>
  <c r="E100" i="4"/>
  <c r="E97" i="4"/>
  <c r="E96" i="4" s="1"/>
  <c r="F105" i="4"/>
  <c r="F107" i="4"/>
  <c r="C123" i="4"/>
  <c r="C138" i="4"/>
  <c r="E101" i="4" l="1"/>
  <c r="F109" i="4"/>
  <c r="D89" i="4" s="1"/>
  <c r="F108" i="4"/>
  <c r="C124" i="4"/>
  <c r="D122" i="4" s="1"/>
  <c r="F98" i="4"/>
  <c r="E110" i="4"/>
  <c r="F100" i="4" l="1"/>
  <c r="C89" i="4" s="1"/>
  <c r="F97" i="4"/>
  <c r="F96" i="4" s="1"/>
  <c r="F122" i="4"/>
  <c r="E116" i="4"/>
  <c r="F110" i="4"/>
  <c r="D90" i="4" s="1"/>
  <c r="D123" i="4"/>
  <c r="F123" i="4" s="1"/>
  <c r="F124" i="4" l="1"/>
  <c r="E137" i="4"/>
  <c r="E117" i="4"/>
  <c r="E138" i="4" s="1"/>
  <c r="F101" i="4"/>
  <c r="C90" i="4" s="1"/>
  <c r="D124" i="4"/>
  <c r="C144" i="4" l="1"/>
  <c r="E141" i="4" s="1"/>
  <c r="C145" i="4"/>
  <c r="C196" i="4" s="1"/>
  <c r="F116" i="4"/>
  <c r="E140" i="4" l="1"/>
  <c r="D140" i="4"/>
  <c r="C141" i="4"/>
  <c r="C140" i="4"/>
  <c r="D141" i="4"/>
  <c r="F140" i="4"/>
  <c r="F141" i="4"/>
  <c r="C179" i="4"/>
  <c r="C152" i="4"/>
  <c r="C147" i="4"/>
  <c r="F137" i="4"/>
  <c r="F117" i="4"/>
  <c r="F138" i="4" s="1"/>
  <c r="H141" i="4" l="1"/>
  <c r="H140" i="4"/>
  <c r="H26" i="1"/>
  <c r="H27" i="1"/>
  <c r="C28" i="1"/>
  <c r="B28" i="1"/>
  <c r="H28" i="1" s="1"/>
  <c r="C193" i="4" l="1"/>
  <c r="F28" i="1"/>
  <c r="E28" i="1"/>
  <c r="I28" i="1"/>
  <c r="G17" i="1" l="1"/>
  <c r="C15" i="1"/>
  <c r="C14" i="1"/>
</calcChain>
</file>

<file path=xl/sharedStrings.xml><?xml version="1.0" encoding="utf-8"?>
<sst xmlns="http://schemas.openxmlformats.org/spreadsheetml/2006/main" count="217" uniqueCount="156">
  <si>
    <t>Costo Fijo</t>
  </si>
  <si>
    <t>Costo Variable</t>
  </si>
  <si>
    <t>Valor de la máquina</t>
  </si>
  <si>
    <t>Maquina A</t>
  </si>
  <si>
    <t>Costos</t>
  </si>
  <si>
    <t>Comportamiento</t>
  </si>
  <si>
    <t>Frecuencia</t>
  </si>
  <si>
    <t>Mano de Obra</t>
  </si>
  <si>
    <t>Monto</t>
  </si>
  <si>
    <t>Fijo</t>
  </si>
  <si>
    <t>Crecimiento</t>
  </si>
  <si>
    <t>Costo</t>
  </si>
  <si>
    <t>Vehículo</t>
  </si>
  <si>
    <t>Depreciación</t>
  </si>
  <si>
    <t>Valor Libros</t>
  </si>
  <si>
    <t>T</t>
  </si>
  <si>
    <t>UODI</t>
  </si>
  <si>
    <t>Valor Comercial</t>
  </si>
  <si>
    <t>Impuesto</t>
  </si>
  <si>
    <t>Año</t>
  </si>
  <si>
    <t>Valor de Desecho</t>
  </si>
  <si>
    <t>Demanda Proyectada (Unidades)</t>
  </si>
  <si>
    <t>Trimestral</t>
  </si>
  <si>
    <t>Semestral</t>
  </si>
  <si>
    <t>Arrendamiento, seguros y servicios públicos</t>
  </si>
  <si>
    <t>Máquina Z</t>
  </si>
  <si>
    <t>Anual</t>
  </si>
  <si>
    <t>Variable</t>
  </si>
  <si>
    <t>Costo Variable Unitario</t>
  </si>
  <si>
    <t>J (Margen sobre Precio)</t>
  </si>
  <si>
    <t>Activos</t>
  </si>
  <si>
    <t>Edificio</t>
  </si>
  <si>
    <t>Terreno</t>
  </si>
  <si>
    <t>Edificio (Con terreno)</t>
  </si>
  <si>
    <t>Venta activo</t>
  </si>
  <si>
    <t>Valor en Libros</t>
  </si>
  <si>
    <t>Capital de Trabajo</t>
  </si>
  <si>
    <t>Periodo Desfase (nd) / Días</t>
  </si>
  <si>
    <t>Recuperación</t>
  </si>
  <si>
    <t>Préstamo</t>
  </si>
  <si>
    <t>Fuente Financiación</t>
  </si>
  <si>
    <t>% Inversión</t>
  </si>
  <si>
    <t>Costo % -(Anual)</t>
  </si>
  <si>
    <t>Plazo (Años)</t>
  </si>
  <si>
    <t>1. Estudio de Mercado</t>
  </si>
  <si>
    <t>2. Estudio de Costos</t>
  </si>
  <si>
    <t>3. Estudio Técnico</t>
  </si>
  <si>
    <t>Vida Útil (Años)</t>
  </si>
  <si>
    <t>Período</t>
  </si>
  <si>
    <t>4. Financiación</t>
  </si>
  <si>
    <t>Sistema Amortización</t>
  </si>
  <si>
    <t>Recursos Propios</t>
  </si>
  <si>
    <t>Cuotas Iguales Anuales o Abonos Iguales Anuales e intereses Auales</t>
  </si>
  <si>
    <t>Rm</t>
  </si>
  <si>
    <t>Rf</t>
  </si>
  <si>
    <t>Beta</t>
  </si>
  <si>
    <t>Flujos de Caja de la Operación</t>
  </si>
  <si>
    <t>Flujos de Caja de la Inversión</t>
  </si>
  <si>
    <t>Inversión en Capital de Trabajo</t>
  </si>
  <si>
    <t>Valor de Desecho Activos Fijos</t>
  </si>
  <si>
    <t>Evaluación Financiera del Proyecto</t>
  </si>
  <si>
    <t>Flujos de Caja de la Financiación</t>
  </si>
  <si>
    <t>Monto Préstamo</t>
  </si>
  <si>
    <t>Kd = Tasa de Interés (Anual)</t>
  </si>
  <si>
    <t>Amortización</t>
  </si>
  <si>
    <t>Cuota</t>
  </si>
  <si>
    <t>Saldo</t>
  </si>
  <si>
    <t>Amortización de Capital</t>
  </si>
  <si>
    <t>Interés</t>
  </si>
  <si>
    <t>Beneficio Tributario (Inter*T)</t>
  </si>
  <si>
    <t>Flujo de Caja del Inversionista</t>
  </si>
  <si>
    <t>Costo Promedio Ponderado de Capital (WACC - CPPC)</t>
  </si>
  <si>
    <t>Fuente</t>
  </si>
  <si>
    <t>Participaciones</t>
  </si>
  <si>
    <t>Costo de la Fuente</t>
  </si>
  <si>
    <t>Participación * Costo de la Fuente</t>
  </si>
  <si>
    <t>Deuda</t>
  </si>
  <si>
    <t>Inversión</t>
  </si>
  <si>
    <t>WACC</t>
  </si>
  <si>
    <t>Modelo CAPM</t>
  </si>
  <si>
    <t>Ke = Tasa Mínima de Rendimiento Requerida por Accionistas</t>
  </si>
  <si>
    <t>TIR</t>
  </si>
  <si>
    <t>Precio</t>
  </si>
  <si>
    <t>Cantidades</t>
  </si>
  <si>
    <t>Ingresos</t>
  </si>
  <si>
    <t>TOTAL DEPRECIACIÓN</t>
  </si>
  <si>
    <t>UTILIDAD OPERATIVA</t>
  </si>
  <si>
    <t>Tasa de Impuestos</t>
  </si>
  <si>
    <t>Impuesto Operativa</t>
  </si>
  <si>
    <t>FLUJO DE CAJA OPERATIVO</t>
  </si>
  <si>
    <t>Costos TOTALES (Sin depreciación)</t>
  </si>
  <si>
    <t>Capital de Trabajo (KT)</t>
  </si>
  <si>
    <t>Inversión en Capital de Trabajo (ΔKT)</t>
  </si>
  <si>
    <t>Pérdida o Ganancia por venta de activos</t>
  </si>
  <si>
    <t>Costo Activo</t>
  </si>
  <si>
    <t>Depreciación Acumulada (Año 3)</t>
  </si>
  <si>
    <t>Edificio CON terreno</t>
  </si>
  <si>
    <t>Máquina</t>
  </si>
  <si>
    <t>Inversión en Activos Fijos</t>
  </si>
  <si>
    <t>Inversión en Activos Intangibles</t>
  </si>
  <si>
    <t>FLUJO DE CAJA INVERSIÓN</t>
  </si>
  <si>
    <t>Recuperación de Capital de Trabajo</t>
  </si>
  <si>
    <t>FLUJO DE CAJA PROYECTO</t>
  </si>
  <si>
    <t xml:space="preserve">Cuotas Iguales Anuales </t>
  </si>
  <si>
    <t>Abonos Iguales Anuales e intereses Auales</t>
  </si>
  <si>
    <t>Flujo de Caja del Proyecto (Vida Finita)</t>
  </si>
  <si>
    <t>Flujo de Caja de la Inversión (Vida Finita)</t>
  </si>
  <si>
    <t>FLUJO DE CAJA FINANCIACIÓN</t>
  </si>
  <si>
    <t>Beneficio Tributario (Intereses*T)</t>
  </si>
  <si>
    <t>Valor Presente Neto (VPN Ahorro Tributario)</t>
  </si>
  <si>
    <t>Valor Presente Neto (VPN FC Financiación)</t>
  </si>
  <si>
    <t>FLUJO DE CAJA INVERSIONISTA</t>
  </si>
  <si>
    <t>PROYECTO</t>
  </si>
  <si>
    <t>VPN</t>
  </si>
  <si>
    <t>Valor Terminal Neto (VTN)</t>
  </si>
  <si>
    <t>Valor Presente_FLUJO DE CAJA PROYECTO</t>
  </si>
  <si>
    <t>Valor Futuro_FLUJO DE CAJA PROYECTO</t>
  </si>
  <si>
    <t>VTN</t>
  </si>
  <si>
    <t>Costo Variable Unitario TOTAL</t>
  </si>
  <si>
    <t xml:space="preserve">Costo Variable </t>
  </si>
  <si>
    <t>Costo Variable Máquina</t>
  </si>
  <si>
    <t>J</t>
  </si>
  <si>
    <t>Crecimiento Precios</t>
  </si>
  <si>
    <t>Crecimiento Costos</t>
  </si>
  <si>
    <t>Análisis de Sensibilidad</t>
  </si>
  <si>
    <t>PRECIO 1</t>
  </si>
  <si>
    <t>COSTO MANO DE OBRA 1</t>
  </si>
  <si>
    <t>TASA DE INTERÉS</t>
  </si>
  <si>
    <t>VPN Proyecto</t>
  </si>
  <si>
    <t>Costo Fijo Máquina</t>
  </si>
  <si>
    <t>Costo Fijo TOTAL</t>
  </si>
  <si>
    <t>VPN Esperado</t>
  </si>
  <si>
    <t>Desviación Estándar</t>
  </si>
  <si>
    <t>Coeficiente de Variación</t>
  </si>
  <si>
    <t>Análisis de Escenarios</t>
  </si>
  <si>
    <t>ESCENARIO</t>
  </si>
  <si>
    <t>OPTIMISTA</t>
  </si>
  <si>
    <t>NEUTRO</t>
  </si>
  <si>
    <t>PESIMISTA</t>
  </si>
  <si>
    <t>PROBABILIDAD DE OCURRENCIA</t>
  </si>
  <si>
    <t>Varianza</t>
  </si>
  <si>
    <t>Tasa_interes</t>
  </si>
  <si>
    <t>Mano_de_Obra</t>
  </si>
  <si>
    <t>Optimista</t>
  </si>
  <si>
    <t>Creado por Ángela María Gómez Restrepo el 10/05/2017
Modificado por Ángela María Gómez Restrepo el 10/05/2017
Modificado por s203e22 el 12/05/2017</t>
  </si>
  <si>
    <t>Neutro</t>
  </si>
  <si>
    <t>Creado por Ángela María Gómez Restrepo el 10/05/2017
Modificado por Ángela María Gómez Restrepo el 10/05/2017</t>
  </si>
  <si>
    <t>Pesimista</t>
  </si>
  <si>
    <t>Resumen del escenario</t>
  </si>
  <si>
    <t>Celdas cambiantes:</t>
  </si>
  <si>
    <t>Valores actuales:</t>
  </si>
  <si>
    <t>Celdas de resultado:</t>
  </si>
  <si>
    <t>Notas: La columna de valores actuales representa los valores de las celdas cambiantes</t>
  </si>
  <si>
    <t>en el momento en que se creó el Informe resumen de escenario. Las celdas cambiantes de</t>
  </si>
  <si>
    <t>cada escenario se muestran en gris.</t>
  </si>
  <si>
    <t>VPN^2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</si>
</sst>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6" formatCode="&quot;$&quot;\ #,##0_);[Red]\(&quot;$&quot;\ #,##0\)"/>
    <numFmt numFmtId="164" formatCode="&quot;$&quot;#,##0;[Red]\-&quot;$&quot;#,##0"/>
    <numFmt numFmtId="165" formatCode="_-* #,##0.00_-;\-* #,##0.00_-;_-* &quot;-&quot;??_-;_-@_-"/>
    <numFmt numFmtId="166" formatCode="&quot;$&quot;#,##0.0"/>
    <numFmt numFmtId="167" formatCode="&quot;$&quot;#,##0"/>
    <numFmt numFmtId="168" formatCode="0.0%"/>
    <numFmt numFmtId="169" formatCode="0.0"/>
    <numFmt numFmtId="170" formatCode="&quot;$&quot;\ #,##0"/>
    <numFmt numFmtId="171" formatCode="&quot;$&quot;\ #,##0.0_);[Red]\(&quot;$&quot;\ #,##0.0\)"/>
    <numFmt numFmtId="172" formatCode="&quot;$&quot;#,##0.0;[Red]&quot;$&quot;#,##0.0"/>
  </numFmts>
  <fonts count="20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b/>
      <sz val="9"/>
      <color theme="1"/>
      <name val="Courier New"/>
      <family val="3"/>
    </font>
    <font>
      <sz val="8"/>
      <color theme="1"/>
      <name val="Courier New"/>
      <family val="3"/>
    </font>
    <font>
      <b/>
      <sz val="8"/>
      <color rgb="FF000000"/>
      <name val="Courier New"/>
      <family val="3"/>
    </font>
    <font>
      <sz val="8"/>
      <color rgb="FF000000"/>
      <name val="Courier New"/>
      <family val="3"/>
    </font>
    <font>
      <b/>
      <sz val="8"/>
      <color theme="1"/>
      <name val="Courier New"/>
      <family val="3"/>
    </font>
    <font>
      <sz val="11"/>
      <color theme="1"/>
      <name val="Calibri"/>
      <family val="2"/>
      <scheme val="minor"/>
    </font>
    <font>
      <sz val="9"/>
      <name val="Courier New"/>
      <family val="3"/>
    </font>
    <font>
      <b/>
      <sz val="9"/>
      <color theme="0"/>
      <name val="Courier New"/>
      <family val="3"/>
    </font>
    <font>
      <b/>
      <sz val="14"/>
      <color theme="0"/>
      <name val="Courier New"/>
      <family val="3"/>
    </font>
    <font>
      <sz val="8"/>
      <name val="Courier New"/>
      <family val="3"/>
    </font>
    <font>
      <b/>
      <sz val="9"/>
      <name val="Courier New"/>
      <family val="3"/>
    </font>
    <font>
      <sz val="9"/>
      <color rgb="FF000000"/>
      <name val="Courier New"/>
      <family val="3"/>
    </font>
    <font>
      <b/>
      <sz val="9"/>
      <color rgb="FF000000"/>
      <name val="Courier New"/>
      <family val="3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165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65">
    <xf numFmtId="0" fontId="0" fillId="0" borderId="0" xfId="0"/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167" fontId="5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167" fontId="5" fillId="0" borderId="0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9" fontId="4" fillId="0" borderId="0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10" fontId="1" fillId="3" borderId="0" xfId="2" applyNumberFormat="1" applyFont="1" applyFill="1" applyBorder="1" applyAlignment="1">
      <alignment horizontal="center" vertical="center"/>
    </xf>
    <xf numFmtId="169" fontId="1" fillId="3" borderId="1" xfId="0" applyNumberFormat="1" applyFont="1" applyFill="1" applyBorder="1" applyAlignment="1">
      <alignment horizontal="center" vertical="center"/>
    </xf>
    <xf numFmtId="0" fontId="2" fillId="7" borderId="0" xfId="0" applyFont="1" applyFill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3" fontId="1" fillId="3" borderId="0" xfId="0" applyNumberFormat="1" applyFont="1" applyFill="1" applyBorder="1" applyAlignment="1">
      <alignment horizontal="center" vertical="center"/>
    </xf>
    <xf numFmtId="170" fontId="1" fillId="3" borderId="0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left" vertical="center"/>
    </xf>
    <xf numFmtId="170" fontId="1" fillId="0" borderId="1" xfId="0" applyNumberFormat="1" applyFont="1" applyBorder="1" applyAlignment="1">
      <alignment horizontal="center" vertical="center"/>
    </xf>
    <xf numFmtId="0" fontId="2" fillId="7" borderId="2" xfId="0" applyFont="1" applyFill="1" applyBorder="1" applyAlignment="1">
      <alignment vertical="center"/>
    </xf>
    <xf numFmtId="6" fontId="1" fillId="0" borderId="1" xfId="0" applyNumberFormat="1" applyFont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6" fontId="1" fillId="3" borderId="0" xfId="0" applyNumberFormat="1" applyFont="1" applyFill="1" applyBorder="1"/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6" fontId="2" fillId="7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1" fillId="0" borderId="0" xfId="0" applyFont="1"/>
    <xf numFmtId="171" fontId="1" fillId="0" borderId="0" xfId="0" applyNumberFormat="1" applyFont="1" applyBorder="1" applyAlignment="1">
      <alignment horizontal="center" vertical="center"/>
    </xf>
    <xf numFmtId="171" fontId="1" fillId="0" borderId="0" xfId="0" applyNumberFormat="1" applyFont="1" applyAlignment="1">
      <alignment horizontal="center" vertical="center"/>
    </xf>
    <xf numFmtId="171" fontId="2" fillId="7" borderId="0" xfId="0" applyNumberFormat="1" applyFont="1" applyFill="1" applyAlignment="1">
      <alignment horizontal="center" vertical="center"/>
    </xf>
    <xf numFmtId="0" fontId="1" fillId="0" borderId="3" xfId="0" applyFont="1" applyBorder="1" applyAlignment="1">
      <alignment vertical="center"/>
    </xf>
    <xf numFmtId="171" fontId="1" fillId="0" borderId="3" xfId="0" applyNumberFormat="1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171" fontId="1" fillId="0" borderId="0" xfId="0" applyNumberFormat="1" applyFont="1" applyAlignment="1">
      <alignment vertical="center"/>
    </xf>
    <xf numFmtId="168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68" fontId="1" fillId="0" borderId="3" xfId="0" applyNumberFormat="1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3" fontId="2" fillId="8" borderId="1" xfId="0" applyNumberFormat="1" applyFont="1" applyFill="1" applyBorder="1" applyAlignment="1">
      <alignment horizontal="left" vertical="center"/>
    </xf>
    <xf numFmtId="0" fontId="12" fillId="3" borderId="0" xfId="0" applyFont="1" applyFill="1" applyBorder="1" applyAlignment="1">
      <alignment horizontal="center" vertical="center" wrapText="1"/>
    </xf>
    <xf numFmtId="170" fontId="2" fillId="3" borderId="0" xfId="0" applyNumberFormat="1" applyFont="1" applyFill="1" applyBorder="1" applyAlignment="1">
      <alignment horizontal="center" vertical="center"/>
    </xf>
    <xf numFmtId="6" fontId="1" fillId="3" borderId="0" xfId="0" applyNumberFormat="1" applyFont="1" applyFill="1" applyBorder="1" applyAlignment="1">
      <alignment horizontal="center" vertical="center"/>
    </xf>
    <xf numFmtId="167" fontId="1" fillId="3" borderId="1" xfId="0" applyNumberFormat="1" applyFont="1" applyFill="1" applyBorder="1" applyAlignment="1">
      <alignment horizontal="center" vertical="center"/>
    </xf>
    <xf numFmtId="164" fontId="8" fillId="3" borderId="1" xfId="0" applyNumberFormat="1" applyFont="1" applyFill="1" applyBorder="1" applyAlignment="1">
      <alignment horizontal="center" vertical="center" wrapText="1"/>
    </xf>
    <xf numFmtId="164" fontId="12" fillId="7" borderId="1" xfId="0" applyNumberFormat="1" applyFont="1" applyFill="1" applyBorder="1" applyAlignment="1">
      <alignment horizontal="center" vertical="center" wrapText="1"/>
    </xf>
    <xf numFmtId="164" fontId="1" fillId="3" borderId="0" xfId="0" applyNumberFormat="1" applyFont="1" applyFill="1" applyBorder="1"/>
    <xf numFmtId="164" fontId="1" fillId="0" borderId="1" xfId="0" applyNumberFormat="1" applyFont="1" applyBorder="1" applyAlignment="1">
      <alignment horizontal="center" vertical="center"/>
    </xf>
    <xf numFmtId="164" fontId="2" fillId="7" borderId="1" xfId="0" applyNumberFormat="1" applyFont="1" applyFill="1" applyBorder="1" applyAlignment="1">
      <alignment horizontal="center" vertical="center"/>
    </xf>
    <xf numFmtId="164" fontId="2" fillId="8" borderId="1" xfId="0" applyNumberFormat="1" applyFont="1" applyFill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164" fontId="14" fillId="7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171" fontId="1" fillId="0" borderId="1" xfId="0" applyNumberFormat="1" applyFont="1" applyBorder="1" applyAlignment="1">
      <alignment horizontal="center" vertical="center"/>
    </xf>
    <xf numFmtId="37" fontId="1" fillId="0" borderId="1" xfId="1" applyNumberFormat="1" applyFont="1" applyBorder="1" applyAlignment="1">
      <alignment horizontal="center" vertical="center"/>
    </xf>
    <xf numFmtId="171" fontId="1" fillId="0" borderId="1" xfId="0" applyNumberFormat="1" applyFont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171" fontId="2" fillId="3" borderId="0" xfId="0" applyNumberFormat="1" applyFont="1" applyFill="1" applyAlignment="1">
      <alignment horizontal="center" vertical="center"/>
    </xf>
    <xf numFmtId="0" fontId="1" fillId="0" borderId="1" xfId="0" applyFont="1" applyBorder="1"/>
    <xf numFmtId="171" fontId="1" fillId="0" borderId="0" xfId="0" applyNumberFormat="1" applyFont="1" applyBorder="1" applyAlignment="1">
      <alignment horizontal="center" vertical="center" wrapText="1"/>
    </xf>
    <xf numFmtId="9" fontId="1" fillId="0" borderId="1" xfId="2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170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70" fontId="1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164" fontId="13" fillId="2" borderId="1" xfId="0" applyNumberFormat="1" applyFont="1" applyFill="1" applyBorder="1" applyAlignment="1">
      <alignment horizontal="center" vertical="center"/>
    </xf>
    <xf numFmtId="164" fontId="14" fillId="2" borderId="1" xfId="0" applyNumberFormat="1" applyFont="1" applyFill="1" applyBorder="1" applyAlignment="1">
      <alignment horizontal="center" vertical="center"/>
    </xf>
    <xf numFmtId="171" fontId="2" fillId="2" borderId="1" xfId="0" applyNumberFormat="1" applyFont="1" applyFill="1" applyBorder="1" applyAlignment="1">
      <alignment horizontal="center" vertical="center" wrapText="1"/>
    </xf>
    <xf numFmtId="171" fontId="1" fillId="3" borderId="0" xfId="0" applyNumberFormat="1" applyFont="1" applyFill="1" applyBorder="1" applyAlignment="1">
      <alignment horizontal="left" vertical="center"/>
    </xf>
    <xf numFmtId="171" fontId="2" fillId="9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2" fillId="9" borderId="1" xfId="0" applyFont="1" applyFill="1" applyBorder="1" applyAlignment="1">
      <alignment horizontal="center" vertical="center" wrapText="1"/>
    </xf>
    <xf numFmtId="168" fontId="1" fillId="0" borderId="1" xfId="0" applyNumberFormat="1" applyFont="1" applyBorder="1" applyAlignment="1">
      <alignment horizontal="center" vertical="center"/>
    </xf>
    <xf numFmtId="171" fontId="1" fillId="0" borderId="1" xfId="0" applyNumberFormat="1" applyFont="1" applyBorder="1" applyAlignment="1">
      <alignment vertical="center"/>
    </xf>
    <xf numFmtId="10" fontId="1" fillId="3" borderId="1" xfId="0" applyNumberFormat="1" applyFont="1" applyFill="1" applyBorder="1" applyAlignment="1">
      <alignment horizontal="center" vertical="center"/>
    </xf>
    <xf numFmtId="172" fontId="1" fillId="3" borderId="1" xfId="0" applyNumberFormat="1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vertical="center"/>
    </xf>
    <xf numFmtId="171" fontId="2" fillId="11" borderId="1" xfId="0" applyNumberFormat="1" applyFont="1" applyFill="1" applyBorder="1" applyAlignment="1">
      <alignment vertical="center"/>
    </xf>
    <xf numFmtId="0" fontId="2" fillId="11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9" fontId="13" fillId="0" borderId="1" xfId="0" applyNumberFormat="1" applyFont="1" applyBorder="1" applyAlignment="1">
      <alignment horizontal="center" vertical="center"/>
    </xf>
    <xf numFmtId="172" fontId="1" fillId="3" borderId="0" xfId="0" applyNumberFormat="1" applyFont="1" applyFill="1" applyBorder="1" applyAlignment="1">
      <alignment horizontal="center" vertical="center"/>
    </xf>
    <xf numFmtId="9" fontId="1" fillId="3" borderId="0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71" fontId="2" fillId="2" borderId="1" xfId="0" applyNumberFormat="1" applyFont="1" applyFill="1" applyBorder="1" applyAlignment="1">
      <alignment horizontal="center" vertical="center"/>
    </xf>
    <xf numFmtId="172" fontId="1" fillId="2" borderId="1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vertical="center"/>
    </xf>
    <xf numFmtId="164" fontId="1" fillId="13" borderId="1" xfId="0" applyNumberFormat="1" applyFont="1" applyFill="1" applyBorder="1" applyAlignment="1">
      <alignment horizontal="center" vertical="center"/>
    </xf>
    <xf numFmtId="164" fontId="13" fillId="13" borderId="1" xfId="0" applyNumberFormat="1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vertical="center"/>
    </xf>
    <xf numFmtId="164" fontId="13" fillId="3" borderId="1" xfId="0" applyNumberFormat="1" applyFont="1" applyFill="1" applyBorder="1" applyAlignment="1">
      <alignment horizontal="center" vertical="center"/>
    </xf>
    <xf numFmtId="9" fontId="1" fillId="12" borderId="1" xfId="2" applyFont="1" applyFill="1" applyBorder="1" applyAlignment="1">
      <alignment horizontal="center" vertical="center"/>
    </xf>
    <xf numFmtId="9" fontId="1" fillId="3" borderId="0" xfId="2" applyFont="1" applyFill="1" applyBorder="1" applyAlignment="1">
      <alignment vertical="center"/>
    </xf>
    <xf numFmtId="172" fontId="1" fillId="7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172" fontId="2" fillId="3" borderId="0" xfId="0" applyNumberFormat="1" applyFont="1" applyFill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/>
    </xf>
    <xf numFmtId="171" fontId="1" fillId="2" borderId="1" xfId="0" applyNumberFormat="1" applyFont="1" applyFill="1" applyBorder="1" applyAlignment="1">
      <alignment horizontal="center" vertical="center"/>
    </xf>
    <xf numFmtId="10" fontId="1" fillId="7" borderId="1" xfId="2" applyNumberFormat="1" applyFont="1" applyFill="1" applyBorder="1" applyAlignment="1">
      <alignment horizontal="center" vertical="center"/>
    </xf>
    <xf numFmtId="0" fontId="0" fillId="0" borderId="0" xfId="0" applyFill="1" applyBorder="1" applyAlignment="1"/>
    <xf numFmtId="9" fontId="0" fillId="0" borderId="0" xfId="0" applyNumberFormat="1" applyFill="1" applyBorder="1" applyAlignment="1"/>
    <xf numFmtId="164" fontId="0" fillId="0" borderId="0" xfId="0" applyNumberFormat="1" applyFill="1" applyBorder="1" applyAlignment="1"/>
    <xf numFmtId="172" fontId="0" fillId="0" borderId="8" xfId="0" applyNumberFormat="1" applyFill="1" applyBorder="1" applyAlignment="1"/>
    <xf numFmtId="0" fontId="15" fillId="14" borderId="3" xfId="0" applyFont="1" applyFill="1" applyBorder="1" applyAlignment="1">
      <alignment horizontal="left"/>
    </xf>
    <xf numFmtId="0" fontId="15" fillId="14" borderId="7" xfId="0" applyFont="1" applyFill="1" applyBorder="1" applyAlignment="1">
      <alignment horizontal="left"/>
    </xf>
    <xf numFmtId="0" fontId="0" fillId="0" borderId="4" xfId="0" applyFill="1" applyBorder="1" applyAlignment="1"/>
    <xf numFmtId="0" fontId="16" fillId="15" borderId="0" xfId="0" applyFont="1" applyFill="1" applyBorder="1" applyAlignment="1">
      <alignment horizontal="left"/>
    </xf>
    <xf numFmtId="0" fontId="17" fillId="15" borderId="4" xfId="0" applyFont="1" applyFill="1" applyBorder="1" applyAlignment="1">
      <alignment horizontal="left"/>
    </xf>
    <xf numFmtId="0" fontId="16" fillId="15" borderId="8" xfId="0" applyFont="1" applyFill="1" applyBorder="1" applyAlignment="1">
      <alignment horizontal="left"/>
    </xf>
    <xf numFmtId="0" fontId="18" fillId="14" borderId="7" xfId="0" applyFont="1" applyFill="1" applyBorder="1" applyAlignment="1">
      <alignment horizontal="right"/>
    </xf>
    <xf numFmtId="0" fontId="18" fillId="14" borderId="3" xfId="0" applyFont="1" applyFill="1" applyBorder="1" applyAlignment="1">
      <alignment horizontal="right"/>
    </xf>
    <xf numFmtId="9" fontId="0" fillId="16" borderId="0" xfId="0" applyNumberFormat="1" applyFill="1" applyBorder="1" applyAlignment="1"/>
    <xf numFmtId="164" fontId="0" fillId="16" borderId="0" xfId="0" applyNumberFormat="1" applyFill="1" applyBorder="1" applyAlignment="1"/>
    <xf numFmtId="0" fontId="19" fillId="0" borderId="0" xfId="0" applyFont="1" applyFill="1" applyBorder="1" applyAlignment="1">
      <alignment vertical="top" wrapText="1"/>
    </xf>
    <xf numFmtId="10" fontId="2" fillId="8" borderId="1" xfId="2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0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171" fontId="2" fillId="10" borderId="1" xfId="0" applyNumberFormat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8"/>
  <sheetViews>
    <sheetView showGridLines="0" topLeftCell="A10" zoomScaleNormal="100" workbookViewId="0">
      <selection activeCell="D19" sqref="D19"/>
    </sheetView>
  </sheetViews>
  <sheetFormatPr baseColWidth="10" defaultRowHeight="12" x14ac:dyDescent="0.25"/>
  <cols>
    <col min="1" max="1" width="3.28515625" style="1" customWidth="1"/>
    <col min="2" max="2" width="24.28515625" style="1" bestFit="1" customWidth="1"/>
    <col min="3" max="3" width="13.28515625" style="1" customWidth="1"/>
    <col min="4" max="4" width="14.7109375" style="1" customWidth="1"/>
    <col min="5" max="6" width="13.140625" style="1" customWidth="1"/>
    <col min="7" max="7" width="12.42578125" style="1" customWidth="1"/>
    <col min="8" max="10" width="9.85546875" style="1" customWidth="1"/>
    <col min="11" max="11" width="8.5703125" style="1" customWidth="1"/>
    <col min="12" max="12" width="8.85546875" style="1" customWidth="1"/>
    <col min="13" max="16384" width="11.42578125" style="1"/>
  </cols>
  <sheetData>
    <row r="2" spans="2:13" ht="21.75" customHeight="1" x14ac:dyDescent="0.25">
      <c r="B2" s="154" t="s">
        <v>44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</row>
    <row r="4" spans="2:13" ht="19.5" customHeight="1" x14ac:dyDescent="0.25">
      <c r="B4" s="155" t="s">
        <v>21</v>
      </c>
      <c r="C4" s="155"/>
      <c r="D4" s="155"/>
      <c r="E4" s="155"/>
      <c r="F4" s="11"/>
    </row>
    <row r="5" spans="2:13" ht="27.75" customHeight="1" x14ac:dyDescent="0.25">
      <c r="B5" s="14" t="s">
        <v>48</v>
      </c>
      <c r="C5" s="15">
        <v>1</v>
      </c>
      <c r="D5" s="15">
        <v>2</v>
      </c>
      <c r="E5" s="15">
        <v>3</v>
      </c>
      <c r="F5" s="13"/>
    </row>
    <row r="6" spans="2:13" ht="27.75" customHeight="1" x14ac:dyDescent="0.25">
      <c r="B6" s="16" t="s">
        <v>21</v>
      </c>
      <c r="C6" s="17">
        <v>2250</v>
      </c>
      <c r="D6" s="17">
        <v>4550</v>
      </c>
      <c r="E6" s="17">
        <v>6800</v>
      </c>
      <c r="F6" s="13"/>
    </row>
    <row r="7" spans="2:13" s="2" customFormat="1" ht="27.75" customHeight="1" x14ac:dyDescent="0.25">
      <c r="B7" s="3"/>
      <c r="C7" s="4"/>
      <c r="D7" s="4"/>
      <c r="E7" s="4"/>
      <c r="F7" s="4"/>
    </row>
    <row r="8" spans="2:13" s="2" customFormat="1" ht="24" customHeight="1" x14ac:dyDescent="0.25">
      <c r="B8" s="154" t="s">
        <v>45</v>
      </c>
      <c r="C8" s="154"/>
      <c r="D8" s="154"/>
      <c r="E8" s="154"/>
      <c r="F8" s="154"/>
      <c r="G8" s="154"/>
      <c r="H8" s="154"/>
      <c r="I8" s="154"/>
      <c r="J8" s="154"/>
      <c r="K8" s="154"/>
      <c r="L8" s="154"/>
      <c r="M8" s="154"/>
    </row>
    <row r="9" spans="2:13" s="2" customFormat="1" ht="27.75" customHeight="1" x14ac:dyDescent="0.25">
      <c r="B9" s="3"/>
      <c r="C9" s="4"/>
      <c r="D9" s="4"/>
      <c r="E9" s="4"/>
      <c r="F9" s="4"/>
    </row>
    <row r="10" spans="2:13" s="5" customFormat="1" ht="27.75" customHeight="1" x14ac:dyDescent="0.25">
      <c r="B10" s="7"/>
      <c r="C10" s="19" t="s">
        <v>0</v>
      </c>
      <c r="D10" s="20" t="s">
        <v>1</v>
      </c>
      <c r="E10" s="20" t="s">
        <v>2</v>
      </c>
      <c r="F10" s="1"/>
    </row>
    <row r="11" spans="2:13" s="5" customFormat="1" ht="27.75" customHeight="1" x14ac:dyDescent="0.25">
      <c r="B11" s="7" t="s">
        <v>3</v>
      </c>
      <c r="C11" s="8">
        <v>10000</v>
      </c>
      <c r="D11" s="8">
        <v>5</v>
      </c>
      <c r="E11" s="8">
        <v>70000</v>
      </c>
      <c r="F11" s="1"/>
    </row>
    <row r="12" spans="2:13" s="5" customFormat="1" ht="27.75" customHeight="1" x14ac:dyDescent="0.25">
      <c r="B12" s="2"/>
      <c r="C12" s="2"/>
      <c r="D12" s="2"/>
      <c r="E12" s="2"/>
      <c r="F12" s="2"/>
    </row>
    <row r="13" spans="2:13" s="5" customFormat="1" ht="27.75" customHeight="1" x14ac:dyDescent="0.25">
      <c r="B13" s="20" t="s">
        <v>4</v>
      </c>
      <c r="C13" s="20" t="s">
        <v>8</v>
      </c>
      <c r="D13" s="20" t="s">
        <v>5</v>
      </c>
      <c r="E13" s="153" t="s">
        <v>6</v>
      </c>
      <c r="F13" s="153"/>
      <c r="G13" s="20" t="s">
        <v>10</v>
      </c>
      <c r="K13" s="26"/>
    </row>
    <row r="14" spans="2:13" s="5" customFormat="1" ht="27.75" customHeight="1" x14ac:dyDescent="0.25">
      <c r="B14" s="156" t="s">
        <v>25</v>
      </c>
      <c r="C14" s="21">
        <f>+C11</f>
        <v>10000</v>
      </c>
      <c r="D14" s="7" t="s">
        <v>9</v>
      </c>
      <c r="E14" s="35" t="s">
        <v>26</v>
      </c>
      <c r="F14" s="24">
        <v>1</v>
      </c>
      <c r="G14" s="25">
        <v>0.08</v>
      </c>
    </row>
    <row r="15" spans="2:13" s="5" customFormat="1" ht="27.75" customHeight="1" x14ac:dyDescent="0.25">
      <c r="B15" s="157"/>
      <c r="C15" s="8">
        <f>+D11</f>
        <v>5</v>
      </c>
      <c r="D15" s="7" t="s">
        <v>27</v>
      </c>
      <c r="E15" s="7"/>
      <c r="F15" s="24"/>
      <c r="G15" s="7"/>
    </row>
    <row r="16" spans="2:13" s="5" customFormat="1" ht="27.75" customHeight="1" x14ac:dyDescent="0.25">
      <c r="B16" s="22" t="s">
        <v>28</v>
      </c>
      <c r="C16" s="8">
        <v>75</v>
      </c>
      <c r="D16" s="7" t="s">
        <v>27</v>
      </c>
      <c r="E16" s="7"/>
      <c r="F16" s="24"/>
      <c r="G16" s="7"/>
    </row>
    <row r="17" spans="2:13" s="5" customFormat="1" ht="27.75" customHeight="1" x14ac:dyDescent="0.25">
      <c r="B17" s="22" t="s">
        <v>7</v>
      </c>
      <c r="C17" s="21">
        <v>20000</v>
      </c>
      <c r="D17" s="7" t="s">
        <v>9</v>
      </c>
      <c r="E17" s="7" t="s">
        <v>22</v>
      </c>
      <c r="F17" s="24">
        <v>4</v>
      </c>
      <c r="G17" s="25">
        <f>+G14</f>
        <v>0.08</v>
      </c>
      <c r="K17" s="18"/>
    </row>
    <row r="18" spans="2:13" s="5" customFormat="1" ht="27.75" customHeight="1" x14ac:dyDescent="0.25">
      <c r="B18" s="22" t="s">
        <v>24</v>
      </c>
      <c r="C18" s="21">
        <v>25500</v>
      </c>
      <c r="D18" s="7" t="s">
        <v>9</v>
      </c>
      <c r="E18" s="7" t="s">
        <v>23</v>
      </c>
      <c r="F18" s="24">
        <v>2</v>
      </c>
      <c r="G18" s="25">
        <f>+G14</f>
        <v>0.08</v>
      </c>
      <c r="K18" s="18"/>
    </row>
    <row r="19" spans="2:13" s="5" customFormat="1" ht="27.75" customHeight="1" x14ac:dyDescent="0.25">
      <c r="B19" s="22" t="s">
        <v>29</v>
      </c>
      <c r="C19" s="25">
        <v>0.6</v>
      </c>
      <c r="D19" s="7"/>
      <c r="E19" s="7"/>
      <c r="F19" s="24"/>
      <c r="G19" s="25">
        <v>0.1</v>
      </c>
      <c r="H19" s="23"/>
      <c r="I19" s="18"/>
      <c r="J19" s="18"/>
      <c r="K19" s="18"/>
    </row>
    <row r="20" spans="2:13" s="5" customFormat="1" ht="27.75" customHeight="1" x14ac:dyDescent="0.25">
      <c r="B20" s="22" t="s">
        <v>87</v>
      </c>
      <c r="C20" s="25">
        <v>0.3</v>
      </c>
      <c r="D20" s="18"/>
      <c r="E20" s="18"/>
      <c r="F20" s="6"/>
      <c r="G20" s="27"/>
      <c r="H20" s="23"/>
      <c r="I20" s="18"/>
      <c r="J20" s="18"/>
      <c r="K20" s="18"/>
    </row>
    <row r="21" spans="2:13" s="2" customFormat="1" ht="13.5" customHeight="1" x14ac:dyDescent="0.25">
      <c r="B21" s="3"/>
      <c r="C21" s="4"/>
      <c r="D21" s="4"/>
      <c r="E21" s="4"/>
      <c r="F21" s="4"/>
    </row>
    <row r="22" spans="2:13" s="2" customFormat="1" ht="26.25" customHeight="1" x14ac:dyDescent="0.25">
      <c r="B22" s="154" t="s">
        <v>46</v>
      </c>
      <c r="C22" s="154"/>
      <c r="D22" s="154"/>
      <c r="E22" s="154"/>
      <c r="F22" s="154"/>
      <c r="G22" s="154"/>
      <c r="H22" s="154"/>
      <c r="I22" s="154"/>
      <c r="J22" s="154"/>
      <c r="K22" s="154"/>
      <c r="L22" s="154"/>
      <c r="M22" s="154"/>
    </row>
    <row r="23" spans="2:13" s="2" customFormat="1" ht="13.5" customHeight="1" x14ac:dyDescent="0.25">
      <c r="B23" s="3"/>
      <c r="C23" s="4"/>
      <c r="D23" s="4"/>
      <c r="E23" s="4"/>
      <c r="F23" s="4"/>
    </row>
    <row r="24" spans="2:13" s="2" customFormat="1" ht="22.5" customHeight="1" x14ac:dyDescent="0.25">
      <c r="B24" s="20" t="s">
        <v>30</v>
      </c>
      <c r="C24" s="20" t="s">
        <v>11</v>
      </c>
      <c r="D24" s="20" t="s">
        <v>47</v>
      </c>
      <c r="E24" s="20" t="s">
        <v>13</v>
      </c>
      <c r="F24" s="20" t="s">
        <v>17</v>
      </c>
      <c r="H24" s="14" t="s">
        <v>48</v>
      </c>
      <c r="I24" s="15">
        <v>0</v>
      </c>
      <c r="J24" s="15">
        <v>1</v>
      </c>
      <c r="K24" s="15">
        <v>2</v>
      </c>
      <c r="L24" s="15">
        <v>3</v>
      </c>
    </row>
    <row r="25" spans="2:13" s="2" customFormat="1" ht="22.5" customHeight="1" x14ac:dyDescent="0.25">
      <c r="B25" s="22" t="s">
        <v>33</v>
      </c>
      <c r="C25" s="21">
        <v>260000</v>
      </c>
      <c r="D25" s="24">
        <v>45</v>
      </c>
      <c r="E25" s="21">
        <f>+(C25-C26)/D25</f>
        <v>3000</v>
      </c>
      <c r="F25" s="21">
        <v>290000</v>
      </c>
      <c r="H25" s="22" t="s">
        <v>31</v>
      </c>
      <c r="I25" s="72">
        <f>+C25-C26</f>
        <v>135000</v>
      </c>
      <c r="J25" s="12"/>
      <c r="K25" s="12"/>
      <c r="L25" s="12"/>
    </row>
    <row r="26" spans="2:13" s="2" customFormat="1" ht="22.5" customHeight="1" x14ac:dyDescent="0.25">
      <c r="B26" s="22" t="s">
        <v>32</v>
      </c>
      <c r="C26" s="21">
        <v>125000</v>
      </c>
      <c r="D26" s="24"/>
      <c r="E26" s="21"/>
      <c r="F26" s="30"/>
      <c r="H26" s="22" t="str">
        <f t="shared" ref="H26:I28" si="0">+B26</f>
        <v>Terreno</v>
      </c>
      <c r="I26" s="72">
        <f t="shared" si="0"/>
        <v>125000</v>
      </c>
      <c r="J26" s="12"/>
      <c r="K26" s="12"/>
      <c r="L26" s="12"/>
    </row>
    <row r="27" spans="2:13" s="2" customFormat="1" ht="22.5" customHeight="1" x14ac:dyDescent="0.25">
      <c r="B27" s="22" t="s">
        <v>12</v>
      </c>
      <c r="C27" s="21">
        <v>50000</v>
      </c>
      <c r="D27" s="24">
        <v>10</v>
      </c>
      <c r="E27" s="21">
        <f>+C27/D27</f>
        <v>5000</v>
      </c>
      <c r="F27" s="30">
        <v>0.8</v>
      </c>
      <c r="G27" s="2" t="s">
        <v>14</v>
      </c>
      <c r="H27" s="22" t="str">
        <f t="shared" si="0"/>
        <v>Vehículo</v>
      </c>
      <c r="I27" s="72">
        <f t="shared" si="0"/>
        <v>50000</v>
      </c>
      <c r="J27" s="12"/>
      <c r="K27" s="12"/>
      <c r="L27" s="12"/>
    </row>
    <row r="28" spans="2:13" s="2" customFormat="1" ht="22.5" customHeight="1" x14ac:dyDescent="0.25">
      <c r="B28" s="22" t="str">
        <f>+B14</f>
        <v>Máquina Z</v>
      </c>
      <c r="C28" s="21">
        <f>+E11</f>
        <v>70000</v>
      </c>
      <c r="D28" s="24">
        <v>10</v>
      </c>
      <c r="E28" s="21">
        <f>+C28/D28</f>
        <v>7000</v>
      </c>
      <c r="F28" s="72">
        <f>+C28-(E28*L24)</f>
        <v>49000</v>
      </c>
      <c r="H28" s="22" t="str">
        <f t="shared" si="0"/>
        <v>Máquina Z</v>
      </c>
      <c r="I28" s="72">
        <f t="shared" si="0"/>
        <v>70000</v>
      </c>
      <c r="J28" s="12"/>
      <c r="K28" s="12"/>
      <c r="L28" s="12"/>
    </row>
    <row r="29" spans="2:13" s="2" customFormat="1" ht="22.5" customHeight="1" x14ac:dyDescent="0.25">
      <c r="B29" s="23"/>
      <c r="C29" s="18"/>
      <c r="D29" s="18"/>
      <c r="E29" s="4"/>
      <c r="F29" s="4"/>
    </row>
    <row r="30" spans="2:13" s="2" customFormat="1" ht="22.5" customHeight="1" x14ac:dyDescent="0.25">
      <c r="B30" s="21" t="s">
        <v>34</v>
      </c>
      <c r="C30" s="25">
        <v>0.8</v>
      </c>
      <c r="D30" s="28" t="s">
        <v>35</v>
      </c>
      <c r="E30" s="4"/>
      <c r="F30" s="4"/>
    </row>
    <row r="31" spans="2:13" s="2" customFormat="1" ht="13.5" customHeight="1" x14ac:dyDescent="0.25">
      <c r="B31" s="3"/>
      <c r="C31" s="4"/>
      <c r="D31" s="4"/>
      <c r="E31" s="4"/>
      <c r="F31" s="4"/>
    </row>
    <row r="32" spans="2:13" s="2" customFormat="1" ht="13.5" customHeight="1" x14ac:dyDescent="0.25">
      <c r="B32" s="3"/>
      <c r="C32" s="4"/>
      <c r="D32" s="4"/>
      <c r="E32" s="4"/>
      <c r="F32" s="4"/>
    </row>
    <row r="33" spans="2:13" s="2" customFormat="1" ht="21" customHeight="1" x14ac:dyDescent="0.25">
      <c r="B33" s="29" t="s">
        <v>36</v>
      </c>
      <c r="C33" s="4"/>
      <c r="D33" s="4"/>
      <c r="E33" s="4"/>
      <c r="F33" s="4"/>
    </row>
    <row r="34" spans="2:13" s="2" customFormat="1" ht="27" customHeight="1" x14ac:dyDescent="0.25">
      <c r="B34" s="22" t="s">
        <v>37</v>
      </c>
      <c r="C34" s="12">
        <v>20</v>
      </c>
      <c r="D34" s="4"/>
      <c r="E34" s="4"/>
      <c r="F34" s="4"/>
    </row>
    <row r="35" spans="2:13" s="2" customFormat="1" ht="27" customHeight="1" x14ac:dyDescent="0.25">
      <c r="B35" s="22" t="s">
        <v>38</v>
      </c>
      <c r="C35" s="30">
        <v>1</v>
      </c>
      <c r="D35" s="4"/>
      <c r="E35" s="4"/>
      <c r="F35" s="4"/>
    </row>
    <row r="36" spans="2:13" s="2" customFormat="1" ht="13.5" customHeight="1" x14ac:dyDescent="0.25">
      <c r="B36" s="3"/>
      <c r="C36" s="4"/>
      <c r="D36" s="4"/>
      <c r="E36" s="4"/>
      <c r="F36" s="4"/>
    </row>
    <row r="37" spans="2:13" s="2" customFormat="1" ht="26.25" customHeight="1" x14ac:dyDescent="0.25">
      <c r="B37" s="154" t="s">
        <v>49</v>
      </c>
      <c r="C37" s="154"/>
      <c r="D37" s="154"/>
      <c r="E37" s="154"/>
      <c r="F37" s="154"/>
      <c r="G37" s="154"/>
      <c r="H37" s="154"/>
      <c r="I37" s="154"/>
      <c r="J37" s="154"/>
      <c r="K37" s="154"/>
      <c r="L37" s="154"/>
      <c r="M37" s="154"/>
    </row>
    <row r="38" spans="2:13" s="2" customFormat="1" ht="13.5" customHeight="1" x14ac:dyDescent="0.25">
      <c r="B38" s="3"/>
      <c r="C38" s="4"/>
      <c r="D38" s="4"/>
      <c r="E38" s="4"/>
      <c r="F38" s="4"/>
    </row>
    <row r="39" spans="2:13" s="2" customFormat="1" ht="25.5" customHeight="1" x14ac:dyDescent="0.25">
      <c r="B39" s="29" t="s">
        <v>40</v>
      </c>
      <c r="C39" s="29" t="s">
        <v>41</v>
      </c>
      <c r="D39" s="29" t="s">
        <v>42</v>
      </c>
      <c r="E39" s="29" t="s">
        <v>43</v>
      </c>
      <c r="F39" s="153" t="s">
        <v>50</v>
      </c>
      <c r="G39" s="153"/>
      <c r="H39" s="153"/>
      <c r="I39" s="153"/>
      <c r="J39" s="153"/>
    </row>
    <row r="40" spans="2:13" s="2" customFormat="1" ht="24.75" customHeight="1" x14ac:dyDescent="0.25">
      <c r="B40" s="12" t="s">
        <v>39</v>
      </c>
      <c r="C40" s="30">
        <v>0.4</v>
      </c>
      <c r="D40" s="30">
        <v>0.15</v>
      </c>
      <c r="E40" s="12">
        <v>3</v>
      </c>
      <c r="F40" s="152" t="s">
        <v>52</v>
      </c>
      <c r="G40" s="152"/>
      <c r="H40" s="152"/>
      <c r="I40" s="152"/>
      <c r="J40" s="152"/>
    </row>
    <row r="41" spans="2:13" s="2" customFormat="1" ht="21.75" customHeight="1" x14ac:dyDescent="0.25">
      <c r="B41" s="12" t="s">
        <v>51</v>
      </c>
      <c r="C41" s="30">
        <f>1-C40</f>
        <v>0.6</v>
      </c>
      <c r="D41" s="30"/>
      <c r="E41" s="12"/>
      <c r="F41" s="152"/>
      <c r="G41" s="152"/>
      <c r="H41" s="152"/>
      <c r="I41" s="152"/>
      <c r="J41" s="152"/>
    </row>
    <row r="42" spans="2:13" s="2" customFormat="1" ht="13.5" customHeight="1" x14ac:dyDescent="0.25">
      <c r="B42" s="3"/>
      <c r="C42" s="4"/>
      <c r="D42" s="32"/>
      <c r="E42" s="4"/>
      <c r="F42" s="4"/>
    </row>
    <row r="43" spans="2:13" s="2" customFormat="1" ht="18.75" customHeight="1" x14ac:dyDescent="0.25">
      <c r="B43" s="12" t="s">
        <v>53</v>
      </c>
      <c r="C43" s="30">
        <v>0.12</v>
      </c>
      <c r="D43" s="4"/>
      <c r="E43" s="4"/>
      <c r="F43" s="4"/>
    </row>
    <row r="44" spans="2:13" s="2" customFormat="1" ht="18.75" customHeight="1" x14ac:dyDescent="0.25">
      <c r="B44" s="12" t="s">
        <v>54</v>
      </c>
      <c r="C44" s="30">
        <v>0.06</v>
      </c>
      <c r="D44" s="4"/>
      <c r="E44" s="4"/>
      <c r="F44" s="4"/>
    </row>
    <row r="45" spans="2:13" s="2" customFormat="1" ht="18.75" customHeight="1" x14ac:dyDescent="0.25">
      <c r="B45" s="12" t="s">
        <v>55</v>
      </c>
      <c r="C45" s="33">
        <v>1.4</v>
      </c>
      <c r="D45" s="4"/>
      <c r="E45" s="4"/>
      <c r="F45" s="4"/>
    </row>
    <row r="46" spans="2:13" s="2" customFormat="1" ht="13.5" customHeight="1" x14ac:dyDescent="0.25">
      <c r="B46" s="3"/>
      <c r="C46" s="4"/>
      <c r="D46" s="4"/>
      <c r="E46" s="4"/>
      <c r="F46" s="4"/>
    </row>
    <row r="47" spans="2:13" s="2" customFormat="1" ht="13.5" customHeight="1" x14ac:dyDescent="0.25">
      <c r="B47" s="3"/>
      <c r="C47" s="4"/>
      <c r="D47" s="4"/>
      <c r="E47" s="4"/>
      <c r="F47" s="4"/>
    </row>
    <row r="48" spans="2:13" s="2" customFormat="1" ht="13.5" customHeight="1" x14ac:dyDescent="0.25">
      <c r="B48" s="3"/>
      <c r="C48" s="4"/>
      <c r="D48" s="4"/>
      <c r="E48" s="4"/>
      <c r="F48" s="4"/>
    </row>
  </sheetData>
  <mergeCells count="10">
    <mergeCell ref="F41:J41"/>
    <mergeCell ref="E13:F13"/>
    <mergeCell ref="B2:M2"/>
    <mergeCell ref="B8:M8"/>
    <mergeCell ref="B22:M22"/>
    <mergeCell ref="B37:M37"/>
    <mergeCell ref="F39:J39"/>
    <mergeCell ref="F40:J40"/>
    <mergeCell ref="B4:E4"/>
    <mergeCell ref="B14:B15"/>
  </mergeCells>
  <pageMargins left="0.70866141732283472" right="0.70866141732283472" top="0.74803149606299213" bottom="0.74803149606299213" header="0.31496062992125984" footer="0.31496062992125984"/>
  <pageSetup scale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13"/>
  <sheetViews>
    <sheetView showGridLines="0" workbookViewId="0">
      <selection activeCell="E10" sqref="E10:G10"/>
    </sheetView>
  </sheetViews>
  <sheetFormatPr baseColWidth="10" defaultRowHeight="15" outlineLevelRow="1" outlineLevelCol="1" x14ac:dyDescent="0.25"/>
  <cols>
    <col min="3" max="3" width="14.7109375" bestFit="1" customWidth="1"/>
    <col min="4" max="7" width="14.5703125" bestFit="1" customWidth="1" outlineLevel="1"/>
  </cols>
  <sheetData>
    <row r="1" spans="2:7" ht="15.75" thickBot="1" x14ac:dyDescent="0.3"/>
    <row r="2" spans="2:7" ht="15.75" x14ac:dyDescent="0.25">
      <c r="B2" s="141" t="s">
        <v>148</v>
      </c>
      <c r="C2" s="141"/>
      <c r="D2" s="146"/>
      <c r="E2" s="146"/>
      <c r="F2" s="146"/>
      <c r="G2" s="146"/>
    </row>
    <row r="3" spans="2:7" ht="15.75" collapsed="1" x14ac:dyDescent="0.25">
      <c r="B3" s="140"/>
      <c r="C3" s="140"/>
      <c r="D3" s="147" t="s">
        <v>150</v>
      </c>
      <c r="E3" s="147" t="s">
        <v>143</v>
      </c>
      <c r="F3" s="147" t="s">
        <v>145</v>
      </c>
      <c r="G3" s="147" t="s">
        <v>147</v>
      </c>
    </row>
    <row r="4" spans="2:7" ht="123.75" hidden="1" outlineLevel="1" x14ac:dyDescent="0.25">
      <c r="B4" s="143"/>
      <c r="C4" s="143"/>
      <c r="D4" s="136"/>
      <c r="E4" s="150" t="s">
        <v>144</v>
      </c>
      <c r="F4" s="150" t="s">
        <v>146</v>
      </c>
      <c r="G4" s="150" t="s">
        <v>146</v>
      </c>
    </row>
    <row r="5" spans="2:7" x14ac:dyDescent="0.25">
      <c r="B5" s="144" t="s">
        <v>149</v>
      </c>
      <c r="C5" s="144"/>
      <c r="D5" s="142"/>
      <c r="E5" s="142"/>
      <c r="F5" s="142"/>
      <c r="G5" s="142"/>
    </row>
    <row r="6" spans="2:7" outlineLevel="1" x14ac:dyDescent="0.25">
      <c r="B6" s="143"/>
      <c r="C6" s="143" t="s">
        <v>141</v>
      </c>
      <c r="D6" s="137">
        <v>0.15</v>
      </c>
      <c r="E6" s="148">
        <v>0.13</v>
      </c>
      <c r="F6" s="148">
        <v>0.15</v>
      </c>
      <c r="G6" s="148">
        <v>0.24</v>
      </c>
    </row>
    <row r="7" spans="2:7" outlineLevel="1" x14ac:dyDescent="0.25">
      <c r="B7" s="143"/>
      <c r="C7" s="143" t="s">
        <v>82</v>
      </c>
      <c r="D7" s="138">
        <v>200</v>
      </c>
      <c r="E7" s="149">
        <v>230</v>
      </c>
      <c r="F7" s="149">
        <v>200</v>
      </c>
      <c r="G7" s="149">
        <v>140</v>
      </c>
    </row>
    <row r="8" spans="2:7" outlineLevel="1" x14ac:dyDescent="0.25">
      <c r="B8" s="143"/>
      <c r="C8" s="143" t="s">
        <v>142</v>
      </c>
      <c r="D8" s="138">
        <v>80000</v>
      </c>
      <c r="E8" s="149">
        <v>75000</v>
      </c>
      <c r="F8" s="149">
        <v>80000</v>
      </c>
      <c r="G8" s="149">
        <v>140000</v>
      </c>
    </row>
    <row r="9" spans="2:7" x14ac:dyDescent="0.25">
      <c r="B9" s="144" t="s">
        <v>151</v>
      </c>
      <c r="C9" s="144"/>
      <c r="D9" s="142"/>
      <c r="E9" s="142"/>
      <c r="F9" s="142"/>
      <c r="G9" s="142"/>
    </row>
    <row r="10" spans="2:7" ht="15.75" outlineLevel="1" thickBot="1" x14ac:dyDescent="0.3">
      <c r="B10" s="145"/>
      <c r="C10" s="145" t="s">
        <v>113</v>
      </c>
      <c r="D10" s="139">
        <v>613321.35959461296</v>
      </c>
      <c r="E10" s="139">
        <v>883180.01243586699</v>
      </c>
      <c r="F10" s="139">
        <v>613321.35959461296</v>
      </c>
      <c r="G10" s="139">
        <v>-11973.4436596012</v>
      </c>
    </row>
    <row r="11" spans="2:7" x14ac:dyDescent="0.25">
      <c r="B11" t="s">
        <v>152</v>
      </c>
    </row>
    <row r="12" spans="2:7" x14ac:dyDescent="0.25">
      <c r="B12" t="s">
        <v>153</v>
      </c>
    </row>
    <row r="13" spans="2:7" x14ac:dyDescent="0.25">
      <c r="B13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7"/>
  <sheetViews>
    <sheetView showGridLines="0" tabSelected="1" topLeftCell="A219" zoomScaleNormal="100" workbookViewId="0">
      <selection activeCell="C227" sqref="C227"/>
    </sheetView>
  </sheetViews>
  <sheetFormatPr baseColWidth="10" defaultRowHeight="12" outlineLevelRow="1" x14ac:dyDescent="0.2"/>
  <cols>
    <col min="1" max="1" width="7.140625" style="37" customWidth="1"/>
    <col min="2" max="2" width="48.28515625" style="37" bestFit="1" customWidth="1"/>
    <col min="3" max="4" width="18.7109375" style="37" customWidth="1"/>
    <col min="5" max="5" width="18" style="37" customWidth="1"/>
    <col min="6" max="6" width="17.140625" style="37" bestFit="1" customWidth="1"/>
    <col min="7" max="7" width="14.85546875" style="37" customWidth="1"/>
    <col min="8" max="8" width="14" style="37" bestFit="1" customWidth="1"/>
    <col min="9" max="16384" width="11.42578125" style="37"/>
  </cols>
  <sheetData>
    <row r="2" spans="2:11" ht="15" customHeight="1" x14ac:dyDescent="0.2">
      <c r="B2" s="159" t="s">
        <v>60</v>
      </c>
      <c r="C2" s="159"/>
      <c r="D2" s="159"/>
      <c r="E2" s="159"/>
      <c r="F2" s="159"/>
    </row>
    <row r="3" spans="2:11" ht="15" customHeight="1" x14ac:dyDescent="0.2">
      <c r="B3" s="159"/>
      <c r="C3" s="159"/>
      <c r="D3" s="159"/>
      <c r="E3" s="159"/>
      <c r="F3" s="159"/>
    </row>
    <row r="4" spans="2:11" x14ac:dyDescent="0.2">
      <c r="B4" s="38"/>
    </row>
    <row r="5" spans="2:11" ht="7.5" customHeight="1" x14ac:dyDescent="0.2"/>
    <row r="6" spans="2:11" ht="24" customHeight="1" x14ac:dyDescent="0.2">
      <c r="B6" s="160" t="s">
        <v>56</v>
      </c>
      <c r="C6" s="160"/>
      <c r="D6" s="160"/>
      <c r="E6" s="160"/>
      <c r="F6" s="160"/>
    </row>
    <row r="8" spans="2:11" ht="29.25" customHeight="1" x14ac:dyDescent="0.2">
      <c r="B8" s="39"/>
      <c r="C8" s="40">
        <v>0</v>
      </c>
      <c r="D8" s="40">
        <v>1</v>
      </c>
      <c r="E8" s="40">
        <v>2</v>
      </c>
      <c r="F8" s="40">
        <v>3</v>
      </c>
    </row>
    <row r="9" spans="2:11" s="41" customFormat="1" ht="17.25" customHeight="1" x14ac:dyDescent="0.25">
      <c r="B9" s="31" t="s">
        <v>83</v>
      </c>
      <c r="C9" s="81"/>
      <c r="D9" s="81">
        <v>2250</v>
      </c>
      <c r="E9" s="81">
        <v>4550</v>
      </c>
      <c r="F9" s="81">
        <v>6800</v>
      </c>
      <c r="H9" s="129" t="s">
        <v>135</v>
      </c>
      <c r="I9" s="130" t="s">
        <v>136</v>
      </c>
      <c r="J9" s="130" t="s">
        <v>137</v>
      </c>
      <c r="K9" s="130" t="s">
        <v>138</v>
      </c>
    </row>
    <row r="10" spans="2:11" s="41" customFormat="1" ht="17.25" customHeight="1" x14ac:dyDescent="0.25">
      <c r="B10" s="121" t="s">
        <v>82</v>
      </c>
      <c r="C10" s="122"/>
      <c r="D10" s="123">
        <v>200</v>
      </c>
      <c r="E10" s="79">
        <f>+D10*(1+E19)</f>
        <v>220.00000000000003</v>
      </c>
      <c r="F10" s="79">
        <f>+E10*(1+F19)</f>
        <v>242.00000000000006</v>
      </c>
      <c r="H10" s="31" t="s">
        <v>125</v>
      </c>
      <c r="I10" s="81">
        <v>230</v>
      </c>
      <c r="J10" s="81">
        <f>+D10</f>
        <v>200</v>
      </c>
      <c r="K10" s="81">
        <v>140</v>
      </c>
    </row>
    <row r="11" spans="2:11" s="41" customFormat="1" ht="17.25" customHeight="1" x14ac:dyDescent="0.25">
      <c r="B11" s="124" t="s">
        <v>7</v>
      </c>
      <c r="C11" s="122"/>
      <c r="D11" s="123">
        <v>80000</v>
      </c>
      <c r="E11" s="79"/>
      <c r="F11" s="79"/>
      <c r="H11" s="31" t="s">
        <v>126</v>
      </c>
      <c r="I11" s="81">
        <v>75000</v>
      </c>
      <c r="J11" s="81">
        <v>15000</v>
      </c>
      <c r="K11" s="81">
        <v>140000</v>
      </c>
    </row>
    <row r="12" spans="2:11" s="41" customFormat="1" ht="17.25" customHeight="1" x14ac:dyDescent="0.25">
      <c r="B12" s="42" t="s">
        <v>24</v>
      </c>
      <c r="C12" s="81"/>
      <c r="D12" s="125">
        <f>25500*2</f>
        <v>51000</v>
      </c>
      <c r="E12" s="79"/>
      <c r="F12" s="79"/>
      <c r="H12" s="31" t="s">
        <v>127</v>
      </c>
      <c r="I12" s="30">
        <v>0.13</v>
      </c>
      <c r="J12" s="30">
        <v>0.15</v>
      </c>
      <c r="K12" s="30">
        <v>0.24</v>
      </c>
    </row>
    <row r="13" spans="2:11" s="41" customFormat="1" ht="17.25" customHeight="1" x14ac:dyDescent="0.25">
      <c r="B13" s="42" t="s">
        <v>129</v>
      </c>
      <c r="C13" s="81"/>
      <c r="D13" s="125">
        <v>10000</v>
      </c>
      <c r="E13" s="79"/>
      <c r="F13" s="79"/>
    </row>
    <row r="14" spans="2:11" s="41" customFormat="1" ht="17.25" customHeight="1" x14ac:dyDescent="0.25">
      <c r="B14" s="47" t="s">
        <v>130</v>
      </c>
      <c r="C14" s="77"/>
      <c r="D14" s="80">
        <f>+SUM(D11:D13)</f>
        <v>141000</v>
      </c>
      <c r="E14" s="80">
        <f>+D14*(1+E20)</f>
        <v>152280</v>
      </c>
      <c r="F14" s="80">
        <f>+E14*(1+F20)</f>
        <v>164462.40000000002</v>
      </c>
    </row>
    <row r="15" spans="2:11" s="41" customFormat="1" ht="17.25" customHeight="1" x14ac:dyDescent="0.25">
      <c r="B15" s="42" t="s">
        <v>119</v>
      </c>
      <c r="C15" s="81"/>
      <c r="D15" s="79">
        <v>75</v>
      </c>
      <c r="E15" s="79"/>
      <c r="F15" s="79"/>
    </row>
    <row r="16" spans="2:11" s="41" customFormat="1" ht="17.25" customHeight="1" x14ac:dyDescent="0.25">
      <c r="B16" s="42" t="s">
        <v>120</v>
      </c>
      <c r="C16" s="81"/>
      <c r="D16" s="79">
        <f>+Formulación!C15</f>
        <v>5</v>
      </c>
      <c r="E16" s="79"/>
      <c r="F16" s="79"/>
    </row>
    <row r="17" spans="2:6" s="41" customFormat="1" ht="17.25" customHeight="1" x14ac:dyDescent="0.25">
      <c r="B17" s="67" t="s">
        <v>118</v>
      </c>
      <c r="C17" s="77"/>
      <c r="D17" s="80">
        <f>+SUM(D15:D16)</f>
        <v>80</v>
      </c>
      <c r="E17" s="80">
        <f>+D17*(1+Formulación!$G$14)</f>
        <v>86.4</v>
      </c>
      <c r="F17" s="80">
        <f>+E17*(1+Formulación!$G$14)</f>
        <v>93.312000000000012</v>
      </c>
    </row>
    <row r="18" spans="2:6" s="41" customFormat="1" ht="17.25" customHeight="1" x14ac:dyDescent="0.25">
      <c r="B18" s="31" t="s">
        <v>121</v>
      </c>
      <c r="C18" s="31"/>
      <c r="D18" s="112">
        <v>0.6</v>
      </c>
      <c r="E18" s="79"/>
      <c r="F18" s="79"/>
    </row>
    <row r="19" spans="2:6" s="41" customFormat="1" ht="17.25" customHeight="1" x14ac:dyDescent="0.25">
      <c r="B19" s="31" t="s">
        <v>122</v>
      </c>
      <c r="C19" s="31"/>
      <c r="D19" s="112"/>
      <c r="E19" s="112">
        <v>0.1</v>
      </c>
      <c r="F19" s="112">
        <v>0.1</v>
      </c>
    </row>
    <row r="20" spans="2:6" s="41" customFormat="1" ht="17.25" customHeight="1" x14ac:dyDescent="0.25">
      <c r="B20" s="31" t="s">
        <v>123</v>
      </c>
      <c r="C20" s="31"/>
      <c r="D20" s="112"/>
      <c r="E20" s="112">
        <v>0.08</v>
      </c>
      <c r="F20" s="112">
        <v>0.08</v>
      </c>
    </row>
    <row r="21" spans="2:6" x14ac:dyDescent="0.2">
      <c r="B21" s="41"/>
      <c r="C21" s="43"/>
      <c r="D21" s="44"/>
      <c r="E21" s="44"/>
      <c r="F21" s="44"/>
    </row>
    <row r="22" spans="2:6" ht="18.75" hidden="1" customHeight="1" outlineLevel="1" x14ac:dyDescent="0.2">
      <c r="B22" s="14" t="s">
        <v>30</v>
      </c>
      <c r="C22" s="15">
        <v>0</v>
      </c>
      <c r="D22" s="15">
        <v>1</v>
      </c>
      <c r="E22" s="15">
        <v>2</v>
      </c>
      <c r="F22" s="15">
        <v>3</v>
      </c>
    </row>
    <row r="23" spans="2:6" ht="20.25" hidden="1" customHeight="1" outlineLevel="1" x14ac:dyDescent="0.2">
      <c r="B23" s="22" t="str">
        <f>+Formulación!H25</f>
        <v>Edificio</v>
      </c>
      <c r="C23" s="81"/>
      <c r="D23" s="79">
        <f>+Formulación!$E$25</f>
        <v>3000</v>
      </c>
      <c r="E23" s="79">
        <f>+Formulación!$E$25</f>
        <v>3000</v>
      </c>
      <c r="F23" s="79">
        <f>+Formulación!$E$25</f>
        <v>3000</v>
      </c>
    </row>
    <row r="24" spans="2:6" ht="20.25" hidden="1" customHeight="1" outlineLevel="1" x14ac:dyDescent="0.2">
      <c r="B24" s="22" t="str">
        <f>+Formulación!H26</f>
        <v>Terreno</v>
      </c>
      <c r="C24" s="81"/>
      <c r="D24" s="79"/>
      <c r="E24" s="79"/>
      <c r="F24" s="79"/>
    </row>
    <row r="25" spans="2:6" ht="20.25" hidden="1" customHeight="1" outlineLevel="1" x14ac:dyDescent="0.2">
      <c r="B25" s="22" t="str">
        <f>+Formulación!H27</f>
        <v>Vehículo</v>
      </c>
      <c r="C25" s="81"/>
      <c r="D25" s="79">
        <f>+Formulación!$E$27</f>
        <v>5000</v>
      </c>
      <c r="E25" s="79">
        <f>+Formulación!$E$27</f>
        <v>5000</v>
      </c>
      <c r="F25" s="79">
        <f>+Formulación!$E$27</f>
        <v>5000</v>
      </c>
    </row>
    <row r="26" spans="2:6" ht="20.25" hidden="1" customHeight="1" outlineLevel="1" x14ac:dyDescent="0.2">
      <c r="B26" s="22" t="str">
        <f>+Formulación!H28</f>
        <v>Máquina Z</v>
      </c>
      <c r="C26" s="81"/>
      <c r="D26" s="79">
        <f>+Formulación!$E$28</f>
        <v>7000</v>
      </c>
      <c r="E26" s="79">
        <f>+Formulación!$E$28</f>
        <v>7000</v>
      </c>
      <c r="F26" s="79">
        <f>+Formulación!$E$28</f>
        <v>7000</v>
      </c>
    </row>
    <row r="27" spans="2:6" ht="20.25" hidden="1" customHeight="1" outlineLevel="1" x14ac:dyDescent="0.2">
      <c r="B27" s="67" t="s">
        <v>85</v>
      </c>
      <c r="C27" s="77"/>
      <c r="D27" s="80">
        <f>+SUM(D23:D26)</f>
        <v>15000</v>
      </c>
      <c r="E27" s="80">
        <f t="shared" ref="E27:F27" si="0">+SUM(E23:E26)</f>
        <v>15000</v>
      </c>
      <c r="F27" s="80">
        <f t="shared" si="0"/>
        <v>15000</v>
      </c>
    </row>
    <row r="28" spans="2:6" collapsed="1" x14ac:dyDescent="0.2">
      <c r="B28" s="41"/>
      <c r="C28" s="43"/>
      <c r="D28" s="44"/>
      <c r="E28" s="44"/>
      <c r="F28" s="44"/>
    </row>
    <row r="29" spans="2:6" ht="23.25" customHeight="1" x14ac:dyDescent="0.2">
      <c r="B29" s="39"/>
      <c r="C29" s="40">
        <v>0</v>
      </c>
      <c r="D29" s="40">
        <v>1</v>
      </c>
      <c r="E29" s="40">
        <v>2</v>
      </c>
      <c r="F29" s="40">
        <v>3</v>
      </c>
    </row>
    <row r="30" spans="2:6" ht="18.75" customHeight="1" x14ac:dyDescent="0.2">
      <c r="B30" s="31" t="s">
        <v>84</v>
      </c>
      <c r="C30" s="79"/>
      <c r="D30" s="79">
        <f>+D9*D10</f>
        <v>450000</v>
      </c>
      <c r="E30" s="79">
        <f>+E9*E10</f>
        <v>1001000.0000000001</v>
      </c>
      <c r="F30" s="79">
        <f>+F9*F10</f>
        <v>1645600.0000000005</v>
      </c>
    </row>
    <row r="31" spans="2:6" ht="18.75" customHeight="1" x14ac:dyDescent="0.2">
      <c r="B31" s="42" t="s">
        <v>0</v>
      </c>
      <c r="C31" s="79"/>
      <c r="D31" s="79">
        <f>+D14</f>
        <v>141000</v>
      </c>
      <c r="E31" s="79">
        <f>+E14</f>
        <v>152280</v>
      </c>
      <c r="F31" s="79">
        <f>+F14</f>
        <v>164462.40000000002</v>
      </c>
    </row>
    <row r="32" spans="2:6" ht="18.75" customHeight="1" x14ac:dyDescent="0.2">
      <c r="B32" s="42" t="s">
        <v>1</v>
      </c>
      <c r="C32" s="79"/>
      <c r="D32" s="79">
        <f>+D17*D9</f>
        <v>180000</v>
      </c>
      <c r="E32" s="79">
        <f>+E17*E9</f>
        <v>393120</v>
      </c>
      <c r="F32" s="79">
        <f>+F17*F9</f>
        <v>634521.60000000009</v>
      </c>
    </row>
    <row r="33" spans="2:6" ht="18.75" customHeight="1" x14ac:dyDescent="0.2">
      <c r="B33" s="42" t="s">
        <v>13</v>
      </c>
      <c r="C33" s="79"/>
      <c r="D33" s="79">
        <f>+D27</f>
        <v>15000</v>
      </c>
      <c r="E33" s="79">
        <f>+E27</f>
        <v>15000</v>
      </c>
      <c r="F33" s="79">
        <f>+F27</f>
        <v>15000</v>
      </c>
    </row>
    <row r="34" spans="2:6" ht="18.75" customHeight="1" x14ac:dyDescent="0.2">
      <c r="B34" s="96" t="s">
        <v>86</v>
      </c>
      <c r="C34" s="97"/>
      <c r="D34" s="98">
        <f>+D30-D31-D32-D33</f>
        <v>114000</v>
      </c>
      <c r="E34" s="98">
        <f t="shared" ref="E34:F34" si="1">+E30-E31-E32-E33</f>
        <v>440600.00000000012</v>
      </c>
      <c r="F34" s="98">
        <f t="shared" si="1"/>
        <v>831616.00000000047</v>
      </c>
    </row>
    <row r="35" spans="2:6" ht="18.75" customHeight="1" x14ac:dyDescent="0.2">
      <c r="B35" s="42" t="s">
        <v>88</v>
      </c>
      <c r="C35" s="79"/>
      <c r="D35" s="79">
        <f>+D34*Formulación!$C$20</f>
        <v>34200</v>
      </c>
      <c r="E35" s="79">
        <f>+E34*Formulación!$C$20</f>
        <v>132180.00000000003</v>
      </c>
      <c r="F35" s="79">
        <f>+F34*Formulación!$C$20</f>
        <v>249484.80000000013</v>
      </c>
    </row>
    <row r="36" spans="2:6" ht="18.75" customHeight="1" x14ac:dyDescent="0.2">
      <c r="B36" s="96" t="s">
        <v>16</v>
      </c>
      <c r="C36" s="98"/>
      <c r="D36" s="98">
        <f>+D34-D35</f>
        <v>79800</v>
      </c>
      <c r="E36" s="98">
        <f t="shared" ref="E36:F36" si="2">+E34-E35</f>
        <v>308420.00000000012</v>
      </c>
      <c r="F36" s="98">
        <f t="shared" si="2"/>
        <v>582131.2000000003</v>
      </c>
    </row>
    <row r="37" spans="2:6" ht="18.75" customHeight="1" x14ac:dyDescent="0.2">
      <c r="B37" s="42" t="s">
        <v>13</v>
      </c>
      <c r="C37" s="79"/>
      <c r="D37" s="79">
        <f>+D33</f>
        <v>15000</v>
      </c>
      <c r="E37" s="79">
        <f t="shared" ref="E37:F37" si="3">+E33</f>
        <v>15000</v>
      </c>
      <c r="F37" s="79">
        <f t="shared" si="3"/>
        <v>15000</v>
      </c>
    </row>
    <row r="38" spans="2:6" ht="18.75" customHeight="1" x14ac:dyDescent="0.2">
      <c r="B38" s="47" t="s">
        <v>89</v>
      </c>
      <c r="C38" s="80"/>
      <c r="D38" s="80">
        <f>+D36+D37</f>
        <v>94800</v>
      </c>
      <c r="E38" s="80">
        <f t="shared" ref="E38:F38" si="4">+E36+E37</f>
        <v>323420.00000000012</v>
      </c>
      <c r="F38" s="80">
        <f t="shared" si="4"/>
        <v>597131.2000000003</v>
      </c>
    </row>
    <row r="40" spans="2:6" ht="24.75" customHeight="1" x14ac:dyDescent="0.2">
      <c r="B40" s="160" t="s">
        <v>57</v>
      </c>
      <c r="C40" s="160"/>
      <c r="D40" s="160"/>
      <c r="E40" s="160"/>
      <c r="F40" s="160"/>
    </row>
    <row r="42" spans="2:6" ht="22.5" hidden="1" customHeight="1" outlineLevel="1" x14ac:dyDescent="0.2">
      <c r="B42" s="161" t="s">
        <v>58</v>
      </c>
      <c r="C42" s="162"/>
      <c r="D42" s="162"/>
      <c r="E42" s="162"/>
      <c r="F42" s="162"/>
    </row>
    <row r="43" spans="2:6" hidden="1" outlineLevel="1" x14ac:dyDescent="0.2"/>
    <row r="44" spans="2:6" ht="24" hidden="1" customHeight="1" outlineLevel="1" x14ac:dyDescent="0.2">
      <c r="C44" s="40">
        <v>0</v>
      </c>
      <c r="D44" s="40">
        <v>1</v>
      </c>
      <c r="E44" s="40">
        <v>2</v>
      </c>
      <c r="F44" s="40">
        <v>3</v>
      </c>
    </row>
    <row r="45" spans="2:6" ht="21" hidden="1" customHeight="1" outlineLevel="1" x14ac:dyDescent="0.2">
      <c r="B45" s="45" t="s">
        <v>90</v>
      </c>
      <c r="C45" s="76"/>
      <c r="D45" s="76">
        <f>+SUM(D31:D32)</f>
        <v>321000</v>
      </c>
      <c r="E45" s="76">
        <f>+SUM(E31:E32)</f>
        <v>545400</v>
      </c>
      <c r="F45" s="76">
        <f>+SUM(F31:F32)</f>
        <v>798984.00000000012</v>
      </c>
    </row>
    <row r="46" spans="2:6" ht="21" hidden="1" customHeight="1" outlineLevel="1" x14ac:dyDescent="0.2">
      <c r="B46" s="45" t="s">
        <v>91</v>
      </c>
      <c r="C46" s="76"/>
      <c r="D46" s="76">
        <f>+D45*Formulación!$C$34/360</f>
        <v>17833.333333333332</v>
      </c>
      <c r="E46" s="76">
        <f>+E45*Formulación!$C$34/360</f>
        <v>30300</v>
      </c>
      <c r="F46" s="76">
        <f>+F45*Formulación!$C$34/360</f>
        <v>44388.000000000007</v>
      </c>
    </row>
    <row r="47" spans="2:6" ht="21" hidden="1" customHeight="1" outlineLevel="1" x14ac:dyDescent="0.2">
      <c r="B47" s="68" t="s">
        <v>92</v>
      </c>
      <c r="C47" s="78">
        <f>+C46-D46</f>
        <v>-17833.333333333332</v>
      </c>
      <c r="D47" s="78">
        <f t="shared" ref="D47:F47" si="5">+D46-E46</f>
        <v>-12466.666666666668</v>
      </c>
      <c r="E47" s="78">
        <f t="shared" si="5"/>
        <v>-14088.000000000007</v>
      </c>
      <c r="F47" s="78">
        <f t="shared" si="5"/>
        <v>44388.000000000007</v>
      </c>
    </row>
    <row r="48" spans="2:6" ht="19.5" hidden="1" customHeight="1" outlineLevel="1" x14ac:dyDescent="0.2"/>
    <row r="49" spans="2:9" ht="22.5" hidden="1" customHeight="1" outlineLevel="1" x14ac:dyDescent="0.2">
      <c r="B49" s="158" t="s">
        <v>59</v>
      </c>
      <c r="C49" s="158"/>
      <c r="D49" s="158"/>
      <c r="E49" s="158"/>
      <c r="F49" s="158"/>
    </row>
    <row r="50" spans="2:9" hidden="1" outlineLevel="1" x14ac:dyDescent="0.2"/>
    <row r="51" spans="2:9" ht="31.5" hidden="1" customHeight="1" outlineLevel="1" x14ac:dyDescent="0.2">
      <c r="B51" s="36"/>
      <c r="C51" s="40" t="s">
        <v>96</v>
      </c>
      <c r="D51" s="40" t="s">
        <v>12</v>
      </c>
      <c r="E51" s="40" t="s">
        <v>97</v>
      </c>
      <c r="F51" s="69"/>
    </row>
    <row r="52" spans="2:9" ht="21" hidden="1" customHeight="1" outlineLevel="1" x14ac:dyDescent="0.2">
      <c r="B52" s="31" t="s">
        <v>94</v>
      </c>
      <c r="C52" s="73">
        <f>+Formulación!C25</f>
        <v>260000</v>
      </c>
      <c r="D52" s="73">
        <f>+Formulación!C27</f>
        <v>50000</v>
      </c>
      <c r="E52" s="73">
        <f>+Formulación!C28</f>
        <v>70000</v>
      </c>
      <c r="F52" s="69"/>
    </row>
    <row r="53" spans="2:9" ht="21" hidden="1" customHeight="1" outlineLevel="1" x14ac:dyDescent="0.2">
      <c r="B53" s="31" t="s">
        <v>95</v>
      </c>
      <c r="C53" s="73">
        <f>+SUM(D23:F23)</f>
        <v>9000</v>
      </c>
      <c r="D53" s="73">
        <f>+SUM(D25:F25)</f>
        <v>15000</v>
      </c>
      <c r="E53" s="73">
        <f>+SUM(D26:F26)</f>
        <v>21000</v>
      </c>
      <c r="F53" s="69"/>
    </row>
    <row r="54" spans="2:9" ht="21" hidden="1" customHeight="1" outlineLevel="1" x14ac:dyDescent="0.2">
      <c r="B54" s="47" t="s">
        <v>14</v>
      </c>
      <c r="C54" s="74">
        <f>+C52-C53</f>
        <v>251000</v>
      </c>
      <c r="D54" s="74">
        <f t="shared" ref="D54:E54" si="6">+D52-D53</f>
        <v>35000</v>
      </c>
      <c r="E54" s="74">
        <f t="shared" si="6"/>
        <v>49000</v>
      </c>
      <c r="F54" s="69"/>
    </row>
    <row r="55" spans="2:9" ht="12" hidden="1" customHeight="1" outlineLevel="1" x14ac:dyDescent="0.2">
      <c r="B55" s="49"/>
      <c r="C55" s="75"/>
      <c r="D55" s="75"/>
      <c r="E55" s="75"/>
    </row>
    <row r="56" spans="2:9" ht="21" hidden="1" customHeight="1" outlineLevel="1" x14ac:dyDescent="0.2">
      <c r="B56" s="31" t="s">
        <v>17</v>
      </c>
      <c r="C56" s="76">
        <f>+Formulación!F25</f>
        <v>290000</v>
      </c>
      <c r="D56" s="76">
        <f>+D54*Formulación!F27</f>
        <v>28000</v>
      </c>
      <c r="E56" s="76">
        <f>+E54</f>
        <v>49000</v>
      </c>
      <c r="F56" s="44"/>
    </row>
    <row r="57" spans="2:9" ht="21" hidden="1" customHeight="1" outlineLevel="1" x14ac:dyDescent="0.2">
      <c r="B57" s="31" t="s">
        <v>14</v>
      </c>
      <c r="C57" s="76">
        <f>+C54</f>
        <v>251000</v>
      </c>
      <c r="D57" s="76">
        <f>+D54</f>
        <v>35000</v>
      </c>
      <c r="E57" s="76">
        <f>+E54</f>
        <v>49000</v>
      </c>
      <c r="F57" s="44"/>
    </row>
    <row r="58" spans="2:9" ht="21" hidden="1" customHeight="1" outlineLevel="1" x14ac:dyDescent="0.2">
      <c r="B58" s="47" t="s">
        <v>93</v>
      </c>
      <c r="C58" s="77">
        <f>+C56-C57</f>
        <v>39000</v>
      </c>
      <c r="D58" s="77">
        <f t="shared" ref="D58:E58" si="7">+D56-D57</f>
        <v>-7000</v>
      </c>
      <c r="E58" s="77">
        <f t="shared" si="7"/>
        <v>0</v>
      </c>
      <c r="F58" s="70"/>
    </row>
    <row r="59" spans="2:9" ht="21" hidden="1" customHeight="1" outlineLevel="1" x14ac:dyDescent="0.2">
      <c r="B59" s="31" t="s">
        <v>18</v>
      </c>
      <c r="C59" s="76">
        <f>+C58*Formulación!$C$20</f>
        <v>11700</v>
      </c>
      <c r="D59" s="76">
        <f>+D58*Formulación!$C$20</f>
        <v>-2100</v>
      </c>
      <c r="E59" s="76">
        <f>+E58*Formulación!$C$20</f>
        <v>0</v>
      </c>
      <c r="F59" s="71"/>
    </row>
    <row r="60" spans="2:9" ht="15" hidden="1" customHeight="1" outlineLevel="1" x14ac:dyDescent="0.2">
      <c r="B60" s="49"/>
      <c r="C60" s="75"/>
      <c r="D60" s="75"/>
      <c r="E60" s="75"/>
    </row>
    <row r="61" spans="2:9" s="4" customFormat="1" ht="21" hidden="1" customHeight="1" outlineLevel="1" x14ac:dyDescent="0.25">
      <c r="B61" s="31" t="s">
        <v>17</v>
      </c>
      <c r="C61" s="76">
        <f>+C56</f>
        <v>290000</v>
      </c>
      <c r="D61" s="76">
        <f t="shared" ref="D61:E61" si="8">+D56</f>
        <v>28000</v>
      </c>
      <c r="E61" s="76">
        <f t="shared" si="8"/>
        <v>49000</v>
      </c>
      <c r="F61" s="44"/>
    </row>
    <row r="62" spans="2:9" s="4" customFormat="1" ht="21" hidden="1" customHeight="1" outlineLevel="1" x14ac:dyDescent="0.25">
      <c r="B62" s="31" t="s">
        <v>18</v>
      </c>
      <c r="C62" s="76">
        <f>+C59</f>
        <v>11700</v>
      </c>
      <c r="D62" s="76">
        <f t="shared" ref="D62:E62" si="9">+D59</f>
        <v>-2100</v>
      </c>
      <c r="E62" s="76">
        <f t="shared" si="9"/>
        <v>0</v>
      </c>
      <c r="F62" s="44"/>
    </row>
    <row r="63" spans="2:9" s="4" customFormat="1" ht="21" hidden="1" customHeight="1" outlineLevel="1" x14ac:dyDescent="0.25">
      <c r="B63" s="47" t="s">
        <v>20</v>
      </c>
      <c r="C63" s="77">
        <f>+C61-C62</f>
        <v>278300</v>
      </c>
      <c r="D63" s="77">
        <f t="shared" ref="D63:E63" si="10">+D61-D62</f>
        <v>30100</v>
      </c>
      <c r="E63" s="77">
        <f t="shared" si="10"/>
        <v>49000</v>
      </c>
      <c r="F63" s="70"/>
      <c r="G63" s="71"/>
      <c r="H63" s="71"/>
      <c r="I63" s="71"/>
    </row>
    <row r="64" spans="2:9" collapsed="1" x14ac:dyDescent="0.2">
      <c r="C64" s="50"/>
      <c r="G64" s="50"/>
      <c r="H64" s="50"/>
      <c r="I64" s="50"/>
    </row>
    <row r="65" spans="2:6" ht="22.5" customHeight="1" x14ac:dyDescent="0.2">
      <c r="B65" s="158" t="s">
        <v>106</v>
      </c>
      <c r="C65" s="158"/>
      <c r="D65" s="158"/>
      <c r="E65" s="158"/>
      <c r="F65" s="158"/>
    </row>
    <row r="67" spans="2:6" ht="30.75" customHeight="1" x14ac:dyDescent="0.2">
      <c r="B67" s="40" t="s">
        <v>19</v>
      </c>
      <c r="C67" s="40">
        <v>0</v>
      </c>
      <c r="D67" s="40">
        <v>1</v>
      </c>
      <c r="E67" s="40">
        <v>2</v>
      </c>
      <c r="F67" s="40">
        <v>3</v>
      </c>
    </row>
    <row r="68" spans="2:6" ht="19.5" customHeight="1" x14ac:dyDescent="0.2">
      <c r="B68" s="51" t="s">
        <v>98</v>
      </c>
      <c r="C68" s="48">
        <f>+-SUM(Formulación!I25:I28)</f>
        <v>-380000</v>
      </c>
      <c r="D68" s="48">
        <f>+-SUM(Formulación!J25:J28)</f>
        <v>0</v>
      </c>
      <c r="E68" s="48">
        <f>+-SUM(Formulación!K25:K28)</f>
        <v>0</v>
      </c>
      <c r="F68" s="48">
        <f>+-SUM(Formulación!L25:L28)</f>
        <v>0</v>
      </c>
    </row>
    <row r="69" spans="2:6" ht="20.25" customHeight="1" x14ac:dyDescent="0.2">
      <c r="B69" s="51" t="s">
        <v>20</v>
      </c>
      <c r="C69" s="48"/>
      <c r="D69" s="48"/>
      <c r="E69" s="48"/>
      <c r="F69" s="48">
        <f>+SUM(C63:E63)</f>
        <v>357400</v>
      </c>
    </row>
    <row r="70" spans="2:6" ht="20.25" customHeight="1" x14ac:dyDescent="0.2">
      <c r="B70" s="51" t="s">
        <v>99</v>
      </c>
      <c r="C70" s="48"/>
      <c r="D70" s="48"/>
      <c r="E70" s="48"/>
      <c r="F70" s="48"/>
    </row>
    <row r="71" spans="2:6" ht="20.25" customHeight="1" x14ac:dyDescent="0.2">
      <c r="B71" s="52" t="s">
        <v>58</v>
      </c>
      <c r="C71" s="48">
        <f>+C47</f>
        <v>-17833.333333333332</v>
      </c>
      <c r="D71" s="48">
        <f>+D47</f>
        <v>-12466.666666666668</v>
      </c>
      <c r="E71" s="48">
        <f>+E47</f>
        <v>-14088.000000000007</v>
      </c>
      <c r="F71" s="48"/>
    </row>
    <row r="72" spans="2:6" ht="20.25" customHeight="1" x14ac:dyDescent="0.2">
      <c r="B72" s="82" t="s">
        <v>101</v>
      </c>
      <c r="C72" s="48"/>
      <c r="D72" s="48"/>
      <c r="E72" s="48"/>
      <c r="F72" s="48">
        <f>+F47</f>
        <v>44388.000000000007</v>
      </c>
    </row>
    <row r="73" spans="2:6" ht="20.25" customHeight="1" x14ac:dyDescent="0.2">
      <c r="B73" s="47" t="s">
        <v>100</v>
      </c>
      <c r="C73" s="80">
        <f>+SUM(C68:C72)</f>
        <v>-397833.33333333331</v>
      </c>
      <c r="D73" s="80">
        <f t="shared" ref="D73:F73" si="11">+SUM(D68:D72)</f>
        <v>-12466.666666666668</v>
      </c>
      <c r="E73" s="80">
        <f t="shared" si="11"/>
        <v>-14088.000000000007</v>
      </c>
      <c r="F73" s="80">
        <f t="shared" si="11"/>
        <v>401788</v>
      </c>
    </row>
    <row r="75" spans="2:6" ht="24.75" customHeight="1" x14ac:dyDescent="0.2">
      <c r="B75" s="160" t="s">
        <v>105</v>
      </c>
      <c r="C75" s="160"/>
      <c r="D75" s="160"/>
      <c r="E75" s="160"/>
      <c r="F75" s="160"/>
    </row>
    <row r="77" spans="2:6" ht="24.75" customHeight="1" x14ac:dyDescent="0.2">
      <c r="C77" s="40">
        <v>0</v>
      </c>
      <c r="D77" s="40">
        <v>1</v>
      </c>
      <c r="E77" s="40">
        <v>2</v>
      </c>
      <c r="F77" s="40">
        <v>3</v>
      </c>
    </row>
    <row r="78" spans="2:6" ht="21" customHeight="1" x14ac:dyDescent="0.2">
      <c r="B78" s="54" t="str">
        <f>+B38</f>
        <v>FLUJO DE CAJA OPERATIVO</v>
      </c>
      <c r="C78" s="46">
        <f>+C38</f>
        <v>0</v>
      </c>
      <c r="D78" s="46">
        <f>+D38</f>
        <v>94800</v>
      </c>
      <c r="E78" s="46">
        <f>+E38</f>
        <v>323420.00000000012</v>
      </c>
      <c r="F78" s="46">
        <f>+F38</f>
        <v>597131.2000000003</v>
      </c>
    </row>
    <row r="79" spans="2:6" ht="21" customHeight="1" x14ac:dyDescent="0.2">
      <c r="B79" s="54" t="str">
        <f>+B73</f>
        <v>FLUJO DE CAJA INVERSIÓN</v>
      </c>
      <c r="C79" s="48">
        <f>+C73</f>
        <v>-397833.33333333331</v>
      </c>
      <c r="D79" s="48">
        <f>+D73</f>
        <v>-12466.666666666668</v>
      </c>
      <c r="E79" s="48">
        <f>+E73</f>
        <v>-14088.000000000007</v>
      </c>
      <c r="F79" s="48">
        <f>+F73</f>
        <v>401788</v>
      </c>
    </row>
    <row r="80" spans="2:6" ht="21" customHeight="1" x14ac:dyDescent="0.2">
      <c r="B80" s="47" t="s">
        <v>102</v>
      </c>
      <c r="C80" s="53">
        <f>+SUM(C78:C79)</f>
        <v>-397833.33333333331</v>
      </c>
      <c r="D80" s="53">
        <f t="shared" ref="D80:F80" si="12">+SUM(D78:D79)</f>
        <v>82333.333333333328</v>
      </c>
      <c r="E80" s="53">
        <f t="shared" si="12"/>
        <v>309332.00000000012</v>
      </c>
      <c r="F80" s="53">
        <f t="shared" si="12"/>
        <v>998919.2000000003</v>
      </c>
    </row>
    <row r="83" spans="2:6" ht="23.25" customHeight="1" x14ac:dyDescent="0.2">
      <c r="B83" s="160" t="s">
        <v>61</v>
      </c>
      <c r="C83" s="160"/>
      <c r="D83" s="160"/>
      <c r="E83" s="160"/>
      <c r="F83" s="160"/>
    </row>
    <row r="84" spans="2:6" x14ac:dyDescent="0.2">
      <c r="B84" s="55"/>
      <c r="C84" s="55"/>
      <c r="D84" s="55"/>
      <c r="E84" s="55"/>
      <c r="F84" s="55"/>
    </row>
    <row r="85" spans="2:6" s="41" customFormat="1" ht="18" customHeight="1" x14ac:dyDescent="0.25">
      <c r="B85" s="10" t="s">
        <v>62</v>
      </c>
      <c r="C85" s="83">
        <f>+-C80*Formulación!C40</f>
        <v>159133.33333333334</v>
      </c>
      <c r="D85" s="62"/>
      <c r="E85" s="1"/>
      <c r="F85" s="1"/>
    </row>
    <row r="86" spans="2:6" s="41" customFormat="1" ht="18" customHeight="1" x14ac:dyDescent="0.25">
      <c r="B86" s="10" t="s">
        <v>63</v>
      </c>
      <c r="C86" s="126">
        <v>0.15</v>
      </c>
      <c r="D86" s="1"/>
      <c r="E86" s="1"/>
      <c r="F86" s="1"/>
    </row>
    <row r="87" spans="2:6" s="41" customFormat="1" ht="18" customHeight="1" x14ac:dyDescent="0.25">
      <c r="B87" s="10" t="s">
        <v>43</v>
      </c>
      <c r="C87" s="84">
        <f>+Formulación!E40</f>
        <v>3</v>
      </c>
      <c r="D87" s="1"/>
      <c r="E87" s="1"/>
      <c r="F87" s="1"/>
    </row>
    <row r="88" spans="2:6" s="41" customFormat="1" ht="37.5" customHeight="1" x14ac:dyDescent="0.25">
      <c r="B88" s="9" t="s">
        <v>64</v>
      </c>
      <c r="C88" s="101" t="s">
        <v>103</v>
      </c>
      <c r="D88" s="85" t="s">
        <v>104</v>
      </c>
      <c r="E88" s="1"/>
      <c r="F88" s="1"/>
    </row>
    <row r="89" spans="2:6" s="41" customFormat="1" ht="24.75" customHeight="1" x14ac:dyDescent="0.25">
      <c r="B89" s="92" t="s">
        <v>109</v>
      </c>
      <c r="C89" s="99">
        <f>+NPV($C$86,D100:F100)</f>
        <v>11875.599586815662</v>
      </c>
      <c r="D89" s="99">
        <f>+NPV($C$86,D109:F109)</f>
        <v>11406.277636229146</v>
      </c>
      <c r="E89" s="1"/>
      <c r="F89" s="1"/>
    </row>
    <row r="90" spans="2:6" s="41" customFormat="1" ht="24.75" customHeight="1" x14ac:dyDescent="0.25">
      <c r="B90" s="92" t="s">
        <v>110</v>
      </c>
      <c r="C90" s="99">
        <f>+NPV($C$86,D101:F101)+C101</f>
        <v>11875.599586815631</v>
      </c>
      <c r="D90" s="99">
        <f>+NPV($C$86,D110:F110)+C110</f>
        <v>11406.277636229119</v>
      </c>
      <c r="E90" s="1"/>
      <c r="F90" s="1"/>
    </row>
    <row r="91" spans="2:6" s="41" customFormat="1" ht="19.5" customHeight="1" x14ac:dyDescent="0.25">
      <c r="B91" s="9" t="s">
        <v>87</v>
      </c>
      <c r="C91" s="91">
        <f>+Formulación!C20</f>
        <v>0.3</v>
      </c>
      <c r="D91" s="90"/>
      <c r="E91" s="1"/>
      <c r="F91" s="1"/>
    </row>
    <row r="92" spans="2:6" s="41" customFormat="1" ht="18" customHeight="1" x14ac:dyDescent="0.25">
      <c r="B92" s="9" t="s">
        <v>65</v>
      </c>
      <c r="C92" s="83">
        <f>+PMT(C86,C87,-C85)</f>
        <v>69696.733861291112</v>
      </c>
      <c r="D92" s="1"/>
      <c r="E92" s="1"/>
      <c r="F92" s="1"/>
    </row>
    <row r="93" spans="2:6" x14ac:dyDescent="0.2">
      <c r="B93" s="55"/>
      <c r="C93" s="55"/>
      <c r="D93" s="55"/>
      <c r="E93" s="55"/>
      <c r="F93" s="55"/>
    </row>
    <row r="94" spans="2:6" ht="20.25" customHeight="1" x14ac:dyDescent="0.2">
      <c r="B94" s="55"/>
      <c r="C94" s="163" t="str">
        <f>+C88</f>
        <v xml:space="preserve">Cuotas Iguales Anuales </v>
      </c>
      <c r="D94" s="164"/>
      <c r="E94" s="164"/>
      <c r="F94" s="164"/>
    </row>
    <row r="95" spans="2:6" ht="21" customHeight="1" x14ac:dyDescent="0.2">
      <c r="B95" s="89"/>
      <c r="C95" s="40">
        <v>0</v>
      </c>
      <c r="D95" s="40">
        <v>1</v>
      </c>
      <c r="E95" s="40">
        <v>2</v>
      </c>
      <c r="F95" s="40">
        <v>3</v>
      </c>
    </row>
    <row r="96" spans="2:6" s="41" customFormat="1" ht="18.75" customHeight="1" x14ac:dyDescent="0.25">
      <c r="B96" s="9" t="s">
        <v>66</v>
      </c>
      <c r="C96" s="46">
        <f>+C85</f>
        <v>159133.33333333334</v>
      </c>
      <c r="D96" s="46">
        <f>+C96-D97</f>
        <v>113306.59947204223</v>
      </c>
      <c r="E96" s="46">
        <f>+D96-E97</f>
        <v>60605.855531557449</v>
      </c>
      <c r="F96" s="46">
        <f>+E96-F97</f>
        <v>0</v>
      </c>
    </row>
    <row r="97" spans="2:6" s="41" customFormat="1" ht="18.75" customHeight="1" x14ac:dyDescent="0.25">
      <c r="B97" s="9" t="s">
        <v>67</v>
      </c>
      <c r="C97" s="46"/>
      <c r="D97" s="46">
        <f>+D99-D98</f>
        <v>45826.733861291112</v>
      </c>
      <c r="E97" s="46">
        <f>+E99-E98</f>
        <v>52700.743940484783</v>
      </c>
      <c r="F97" s="46">
        <f>+F99-F98</f>
        <v>60605.855531557492</v>
      </c>
    </row>
    <row r="98" spans="2:6" s="41" customFormat="1" ht="18.75" customHeight="1" x14ac:dyDescent="0.25">
      <c r="B98" s="9" t="s">
        <v>68</v>
      </c>
      <c r="C98" s="46"/>
      <c r="D98" s="46">
        <f>+C96*$C$86</f>
        <v>23870</v>
      </c>
      <c r="E98" s="46">
        <f>+D96*$C$86</f>
        <v>16995.989920806333</v>
      </c>
      <c r="F98" s="46">
        <f>+E96*$C$86</f>
        <v>9090.8783297336176</v>
      </c>
    </row>
    <row r="99" spans="2:6" s="41" customFormat="1" ht="18.75" customHeight="1" x14ac:dyDescent="0.25">
      <c r="B99" s="92" t="s">
        <v>65</v>
      </c>
      <c r="C99" s="93"/>
      <c r="D99" s="93">
        <f>+$C$92</f>
        <v>69696.733861291112</v>
      </c>
      <c r="E99" s="93">
        <f>+$C$92</f>
        <v>69696.733861291112</v>
      </c>
      <c r="F99" s="93">
        <f>+$C$92</f>
        <v>69696.733861291112</v>
      </c>
    </row>
    <row r="100" spans="2:6" s="41" customFormat="1" ht="18.75" customHeight="1" x14ac:dyDescent="0.25">
      <c r="B100" s="9" t="s">
        <v>108</v>
      </c>
      <c r="C100" s="46"/>
      <c r="D100" s="46">
        <f>+D98*$C$91</f>
        <v>7161</v>
      </c>
      <c r="E100" s="46">
        <f>+E98*$C$91</f>
        <v>5098.7969762418998</v>
      </c>
      <c r="F100" s="46">
        <f>+F98*$C$91</f>
        <v>2727.2634989200851</v>
      </c>
    </row>
    <row r="101" spans="2:6" s="41" customFormat="1" ht="18.75" customHeight="1" x14ac:dyDescent="0.25">
      <c r="B101" s="67" t="s">
        <v>107</v>
      </c>
      <c r="C101" s="53">
        <f>+SUM(C96:C100)</f>
        <v>159133.33333333334</v>
      </c>
      <c r="D101" s="53">
        <f>+-(D99-D100)</f>
        <v>-62535.733861291112</v>
      </c>
      <c r="E101" s="53">
        <f>+-(E99-E100)</f>
        <v>-64597.93688504921</v>
      </c>
      <c r="F101" s="53">
        <f>+-(F99-F100)</f>
        <v>-66969.470362371023</v>
      </c>
    </row>
    <row r="102" spans="2:6" ht="12.75" x14ac:dyDescent="0.2">
      <c r="B102" s="87"/>
      <c r="C102" s="88"/>
      <c r="D102" s="88"/>
      <c r="E102" s="88"/>
      <c r="F102" s="88"/>
    </row>
    <row r="103" spans="2:6" ht="17.25" hidden="1" customHeight="1" outlineLevel="1" x14ac:dyDescent="0.2">
      <c r="B103" s="87"/>
      <c r="C103" s="163" t="str">
        <f>+D88</f>
        <v>Abonos Iguales Anuales e intereses Auales</v>
      </c>
      <c r="D103" s="164"/>
      <c r="E103" s="164"/>
      <c r="F103" s="164"/>
    </row>
    <row r="104" spans="2:6" ht="17.25" hidden="1" customHeight="1" outlineLevel="1" x14ac:dyDescent="0.2">
      <c r="B104" s="89"/>
      <c r="C104" s="40">
        <v>0</v>
      </c>
      <c r="D104" s="40">
        <v>1</v>
      </c>
      <c r="E104" s="40">
        <v>2</v>
      </c>
      <c r="F104" s="40">
        <v>3</v>
      </c>
    </row>
    <row r="105" spans="2:6" ht="17.25" hidden="1" customHeight="1" outlineLevel="1" x14ac:dyDescent="0.2">
      <c r="B105" s="9" t="s">
        <v>66</v>
      </c>
      <c r="C105" s="46">
        <f>+C85</f>
        <v>159133.33333333334</v>
      </c>
      <c r="D105" s="46">
        <f>+C105-D106</f>
        <v>106088.88888888891</v>
      </c>
      <c r="E105" s="46">
        <f>+D105-E106</f>
        <v>53044.44444444446</v>
      </c>
      <c r="F105" s="46">
        <f>+E105-F106</f>
        <v>0</v>
      </c>
    </row>
    <row r="106" spans="2:6" ht="17.25" hidden="1" customHeight="1" outlineLevel="1" x14ac:dyDescent="0.2">
      <c r="B106" s="9" t="s">
        <v>67</v>
      </c>
      <c r="C106" s="46"/>
      <c r="D106" s="46">
        <f>+$C$105/$F$104</f>
        <v>53044.444444444445</v>
      </c>
      <c r="E106" s="46">
        <f>+$C$105/$F$104</f>
        <v>53044.444444444445</v>
      </c>
      <c r="F106" s="46">
        <f>+$C$105/$F$104</f>
        <v>53044.444444444445</v>
      </c>
    </row>
    <row r="107" spans="2:6" ht="17.25" hidden="1" customHeight="1" outlineLevel="1" x14ac:dyDescent="0.2">
      <c r="B107" s="9" t="s">
        <v>68</v>
      </c>
      <c r="C107" s="46"/>
      <c r="D107" s="46">
        <f>+C105*$C$86</f>
        <v>23870</v>
      </c>
      <c r="E107" s="46">
        <f>+D105*$C$86</f>
        <v>15913.333333333336</v>
      </c>
      <c r="F107" s="46">
        <f>+E105*$C$86</f>
        <v>7956.6666666666688</v>
      </c>
    </row>
    <row r="108" spans="2:6" ht="17.25" hidden="1" customHeight="1" outlineLevel="1" x14ac:dyDescent="0.2">
      <c r="B108" s="94" t="s">
        <v>65</v>
      </c>
      <c r="C108" s="95"/>
      <c r="D108" s="95">
        <f>+SUM(D106:D107)</f>
        <v>76914.444444444438</v>
      </c>
      <c r="E108" s="95">
        <f t="shared" ref="E108:F108" si="13">+SUM(E106:E107)</f>
        <v>68957.777777777781</v>
      </c>
      <c r="F108" s="95">
        <f t="shared" si="13"/>
        <v>61001.111111111117</v>
      </c>
    </row>
    <row r="109" spans="2:6" ht="17.25" hidden="1" customHeight="1" outlineLevel="1" x14ac:dyDescent="0.2">
      <c r="B109" s="9" t="s">
        <v>69</v>
      </c>
      <c r="C109" s="46"/>
      <c r="D109" s="46">
        <f>+D107*$C$91</f>
        <v>7161</v>
      </c>
      <c r="E109" s="46">
        <f t="shared" ref="E109:F109" si="14">+E107*$C$91</f>
        <v>4774.0000000000009</v>
      </c>
      <c r="F109" s="46">
        <f t="shared" si="14"/>
        <v>2387.0000000000005</v>
      </c>
    </row>
    <row r="110" spans="2:6" ht="17.25" hidden="1" customHeight="1" outlineLevel="1" x14ac:dyDescent="0.2">
      <c r="B110" s="67" t="s">
        <v>107</v>
      </c>
      <c r="C110" s="53">
        <f>+SUM(C105:C109)</f>
        <v>159133.33333333334</v>
      </c>
      <c r="D110" s="53">
        <f>+-(D108-D109)</f>
        <v>-69753.444444444438</v>
      </c>
      <c r="E110" s="53">
        <f>+-(E108-E109)</f>
        <v>-64183.777777777781</v>
      </c>
      <c r="F110" s="53">
        <f>+-(F108-F109)</f>
        <v>-58614.111111111117</v>
      </c>
    </row>
    <row r="111" spans="2:6" collapsed="1" x14ac:dyDescent="0.2">
      <c r="B111" s="55"/>
      <c r="C111" s="55"/>
      <c r="D111" s="55"/>
      <c r="E111" s="55"/>
      <c r="F111" s="55"/>
    </row>
    <row r="112" spans="2:6" ht="27.75" customHeight="1" x14ac:dyDescent="0.2">
      <c r="B112" s="160" t="s">
        <v>70</v>
      </c>
      <c r="C112" s="160"/>
      <c r="D112" s="160"/>
      <c r="E112" s="160"/>
      <c r="F112" s="160"/>
    </row>
    <row r="113" spans="2:7" x14ac:dyDescent="0.2">
      <c r="B113" s="55"/>
      <c r="C113" s="55"/>
      <c r="D113" s="55"/>
      <c r="E113" s="55"/>
      <c r="F113" s="55"/>
    </row>
    <row r="114" spans="2:7" ht="27" customHeight="1" x14ac:dyDescent="0.2">
      <c r="B114" s="55"/>
      <c r="C114" s="40">
        <v>0</v>
      </c>
      <c r="D114" s="40">
        <v>1</v>
      </c>
      <c r="E114" s="40">
        <v>2</v>
      </c>
      <c r="F114" s="40">
        <v>3</v>
      </c>
    </row>
    <row r="115" spans="2:7" ht="18.75" customHeight="1" x14ac:dyDescent="0.2">
      <c r="B115" s="1" t="str">
        <f>+B80</f>
        <v>FLUJO DE CAJA PROYECTO</v>
      </c>
      <c r="C115" s="56">
        <f>+C80</f>
        <v>-397833.33333333331</v>
      </c>
      <c r="D115" s="56">
        <f>+D80</f>
        <v>82333.333333333328</v>
      </c>
      <c r="E115" s="56">
        <f>+E80</f>
        <v>309332.00000000012</v>
      </c>
      <c r="F115" s="56">
        <f>+F80</f>
        <v>998919.2000000003</v>
      </c>
    </row>
    <row r="116" spans="2:7" ht="18.75" customHeight="1" x14ac:dyDescent="0.2">
      <c r="B116" s="59" t="str">
        <f>+B101</f>
        <v>FLUJO DE CAJA FINANCIACIÓN</v>
      </c>
      <c r="C116" s="60">
        <f>+C101</f>
        <v>159133.33333333334</v>
      </c>
      <c r="D116" s="60">
        <f>+D101</f>
        <v>-62535.733861291112</v>
      </c>
      <c r="E116" s="60">
        <f>+E101</f>
        <v>-64597.93688504921</v>
      </c>
      <c r="F116" s="60">
        <f>+F101</f>
        <v>-66969.470362371023</v>
      </c>
      <c r="G116" s="100" t="str">
        <f>+C88</f>
        <v xml:space="preserve">Cuotas Iguales Anuales </v>
      </c>
    </row>
    <row r="117" spans="2:7" ht="18.75" customHeight="1" x14ac:dyDescent="0.2">
      <c r="B117" s="34" t="s">
        <v>111</v>
      </c>
      <c r="C117" s="58">
        <f>+SUM(C115:C116)</f>
        <v>-238699.99999999997</v>
      </c>
      <c r="D117" s="58">
        <f t="shared" ref="D117:F117" si="15">+SUM(D115:D116)</f>
        <v>19797.599472042217</v>
      </c>
      <c r="E117" s="58">
        <f t="shared" si="15"/>
        <v>244734.0631149509</v>
      </c>
      <c r="F117" s="58">
        <f t="shared" si="15"/>
        <v>931949.72963762924</v>
      </c>
    </row>
    <row r="118" spans="2:7" ht="15" customHeight="1" x14ac:dyDescent="0.2">
      <c r="B118" s="55"/>
      <c r="C118" s="55"/>
      <c r="D118" s="55"/>
      <c r="E118" s="55"/>
      <c r="F118" s="55"/>
    </row>
    <row r="119" spans="2:7" ht="24" customHeight="1" x14ac:dyDescent="0.2">
      <c r="B119" s="160" t="s">
        <v>71</v>
      </c>
      <c r="C119" s="160"/>
      <c r="D119" s="160"/>
      <c r="E119" s="160"/>
      <c r="F119" s="160"/>
    </row>
    <row r="120" spans="2:7" x14ac:dyDescent="0.2">
      <c r="B120" s="55"/>
      <c r="C120" s="55"/>
      <c r="D120" s="55"/>
      <c r="E120" s="55"/>
      <c r="F120" s="55"/>
    </row>
    <row r="121" spans="2:7" ht="37.5" customHeight="1" x14ac:dyDescent="0.2">
      <c r="B121" s="61" t="s">
        <v>72</v>
      </c>
      <c r="C121" s="61" t="s">
        <v>8</v>
      </c>
      <c r="D121" s="61" t="s">
        <v>73</v>
      </c>
      <c r="E121" s="61" t="s">
        <v>74</v>
      </c>
      <c r="F121" s="61" t="s">
        <v>75</v>
      </c>
    </row>
    <row r="122" spans="2:7" ht="17.25" customHeight="1" x14ac:dyDescent="0.2">
      <c r="B122" s="1" t="s">
        <v>76</v>
      </c>
      <c r="C122" s="57">
        <f>+C116</f>
        <v>159133.33333333334</v>
      </c>
      <c r="D122" s="63">
        <f>+C122/$C$124</f>
        <v>0.4</v>
      </c>
      <c r="E122" s="64">
        <f>+C86</f>
        <v>0.15</v>
      </c>
      <c r="F122" s="63">
        <f>+D122*E122*(1-C127)</f>
        <v>4.1999999999999996E-2</v>
      </c>
    </row>
    <row r="123" spans="2:7" ht="17.25" customHeight="1" x14ac:dyDescent="0.2">
      <c r="B123" s="59" t="s">
        <v>51</v>
      </c>
      <c r="C123" s="60">
        <f>-C117</f>
        <v>238699.99999999997</v>
      </c>
      <c r="D123" s="65">
        <f>+C123/$C$124</f>
        <v>0.6</v>
      </c>
      <c r="E123" s="65">
        <f>+C131</f>
        <v>0.14399999999999999</v>
      </c>
      <c r="F123" s="65">
        <f>+D123*E123</f>
        <v>8.6399999999999991E-2</v>
      </c>
    </row>
    <row r="124" spans="2:7" ht="17.25" customHeight="1" x14ac:dyDescent="0.2">
      <c r="B124" s="1" t="s">
        <v>77</v>
      </c>
      <c r="C124" s="57">
        <f>+SUM(C122:C123)</f>
        <v>397833.33333333331</v>
      </c>
      <c r="D124" s="63">
        <f>+SUM(D122:D123)</f>
        <v>1</v>
      </c>
      <c r="E124" s="61" t="s">
        <v>78</v>
      </c>
      <c r="F124" s="66">
        <f>+SUM(F122:F123)</f>
        <v>0.12839999999999999</v>
      </c>
    </row>
    <row r="125" spans="2:7" x14ac:dyDescent="0.2">
      <c r="B125" s="55"/>
      <c r="C125" s="55"/>
      <c r="D125" s="55"/>
      <c r="E125" s="55"/>
      <c r="F125" s="55"/>
    </row>
    <row r="126" spans="2:7" ht="24" customHeight="1" x14ac:dyDescent="0.2">
      <c r="B126" s="103" t="s">
        <v>79</v>
      </c>
      <c r="C126" s="55"/>
      <c r="D126" s="55"/>
      <c r="E126" s="55"/>
      <c r="F126" s="55"/>
    </row>
    <row r="127" spans="2:7" ht="20.25" customHeight="1" x14ac:dyDescent="0.2">
      <c r="B127" s="9" t="s">
        <v>15</v>
      </c>
      <c r="C127" s="104">
        <f>+Formulación!C20</f>
        <v>0.3</v>
      </c>
      <c r="D127" s="55"/>
      <c r="E127" s="55"/>
      <c r="F127" s="55"/>
    </row>
    <row r="128" spans="2:7" ht="17.25" customHeight="1" x14ac:dyDescent="0.2">
      <c r="B128" s="9" t="s">
        <v>53</v>
      </c>
      <c r="C128" s="104">
        <f>+Formulación!C43</f>
        <v>0.12</v>
      </c>
      <c r="D128" s="55"/>
      <c r="E128" s="66"/>
      <c r="F128" s="55"/>
    </row>
    <row r="129" spans="2:8" ht="17.25" customHeight="1" x14ac:dyDescent="0.2">
      <c r="B129" s="9" t="s">
        <v>54</v>
      </c>
      <c r="C129" s="104">
        <f>+Formulación!C44</f>
        <v>0.06</v>
      </c>
      <c r="D129" s="55"/>
      <c r="E129" s="55"/>
      <c r="F129" s="55"/>
    </row>
    <row r="130" spans="2:8" ht="17.25" customHeight="1" x14ac:dyDescent="0.2">
      <c r="B130" s="9" t="s">
        <v>55</v>
      </c>
      <c r="C130" s="33">
        <f>+Formulación!C45</f>
        <v>1.4</v>
      </c>
      <c r="D130" s="55"/>
      <c r="E130" s="55"/>
      <c r="F130" s="55"/>
    </row>
    <row r="131" spans="2:8" ht="30" customHeight="1" x14ac:dyDescent="0.2">
      <c r="B131" s="102" t="s">
        <v>80</v>
      </c>
      <c r="C131" s="104">
        <f>+C129+(C130*(C128-C129))</f>
        <v>0.14399999999999999</v>
      </c>
      <c r="D131" s="55"/>
      <c r="E131" s="55"/>
      <c r="F131" s="55"/>
    </row>
    <row r="132" spans="2:8" x14ac:dyDescent="0.2">
      <c r="B132" s="55"/>
      <c r="C132" s="55"/>
      <c r="D132" s="55"/>
      <c r="E132" s="55"/>
      <c r="F132" s="55"/>
    </row>
    <row r="133" spans="2:8" ht="26.25" customHeight="1" x14ac:dyDescent="0.2">
      <c r="B133" s="160" t="s">
        <v>60</v>
      </c>
      <c r="C133" s="160"/>
      <c r="D133" s="160"/>
      <c r="E133" s="160"/>
      <c r="F133" s="160"/>
    </row>
    <row r="134" spans="2:8" x14ac:dyDescent="0.2">
      <c r="B134" s="55"/>
      <c r="C134" s="55"/>
      <c r="D134" s="55"/>
      <c r="E134" s="55"/>
      <c r="F134" s="55"/>
    </row>
    <row r="135" spans="2:8" ht="24.75" customHeight="1" x14ac:dyDescent="0.2">
      <c r="B135" s="55"/>
      <c r="C135" s="86">
        <v>0</v>
      </c>
      <c r="D135" s="86">
        <v>1</v>
      </c>
      <c r="E135" s="86">
        <v>2</v>
      </c>
      <c r="F135" s="86">
        <v>3</v>
      </c>
    </row>
    <row r="136" spans="2:8" ht="22.5" customHeight="1" x14ac:dyDescent="0.2">
      <c r="B136" s="9" t="str">
        <f t="shared" ref="B136:F138" si="16">+B115</f>
        <v>FLUJO DE CAJA PROYECTO</v>
      </c>
      <c r="C136" s="105">
        <f t="shared" si="16"/>
        <v>-397833.33333333331</v>
      </c>
      <c r="D136" s="105">
        <f t="shared" si="16"/>
        <v>82333.333333333328</v>
      </c>
      <c r="E136" s="105">
        <f t="shared" si="16"/>
        <v>309332.00000000012</v>
      </c>
      <c r="F136" s="105">
        <f t="shared" si="16"/>
        <v>998919.2000000003</v>
      </c>
    </row>
    <row r="137" spans="2:8" ht="22.5" customHeight="1" x14ac:dyDescent="0.2">
      <c r="B137" s="9" t="str">
        <f t="shared" si="16"/>
        <v>FLUJO DE CAJA FINANCIACIÓN</v>
      </c>
      <c r="C137" s="105">
        <f t="shared" si="16"/>
        <v>159133.33333333334</v>
      </c>
      <c r="D137" s="105">
        <f t="shared" si="16"/>
        <v>-62535.733861291112</v>
      </c>
      <c r="E137" s="105">
        <f t="shared" si="16"/>
        <v>-64597.93688504921</v>
      </c>
      <c r="F137" s="105">
        <f t="shared" si="16"/>
        <v>-66969.470362371023</v>
      </c>
    </row>
    <row r="138" spans="2:8" ht="22.5" customHeight="1" x14ac:dyDescent="0.2">
      <c r="B138" s="9" t="str">
        <f t="shared" si="16"/>
        <v>FLUJO DE CAJA INVERSIONISTA</v>
      </c>
      <c r="C138" s="105">
        <f t="shared" si="16"/>
        <v>-238699.99999999997</v>
      </c>
      <c r="D138" s="105">
        <f t="shared" si="16"/>
        <v>19797.599472042217</v>
      </c>
      <c r="E138" s="105">
        <f t="shared" si="16"/>
        <v>244734.0631149509</v>
      </c>
      <c r="F138" s="105">
        <f t="shared" si="16"/>
        <v>931949.72963762924</v>
      </c>
    </row>
    <row r="139" spans="2:8" ht="11.25" customHeight="1" x14ac:dyDescent="0.2">
      <c r="D139" s="55"/>
      <c r="E139" s="55"/>
      <c r="F139" s="55"/>
    </row>
    <row r="140" spans="2:8" ht="22.5" customHeight="1" x14ac:dyDescent="0.2">
      <c r="B140" s="9" t="s">
        <v>115</v>
      </c>
      <c r="C140" s="105">
        <f>+C136/(1+$C$144)^C135</f>
        <v>-397833.33333333331</v>
      </c>
      <c r="D140" s="105">
        <f t="shared" ref="D140:F140" si="17">+D136/(1+$C$144)^D135</f>
        <v>72964.669738863275</v>
      </c>
      <c r="E140" s="105">
        <f t="shared" si="17"/>
        <v>242939.81395672637</v>
      </c>
      <c r="F140" s="105">
        <f t="shared" si="17"/>
        <v>695250.20923235652</v>
      </c>
      <c r="G140" s="108" t="s">
        <v>113</v>
      </c>
      <c r="H140" s="109">
        <f>+SUM(C140:F140)</f>
        <v>613321.35959461285</v>
      </c>
    </row>
    <row r="141" spans="2:8" ht="22.5" customHeight="1" x14ac:dyDescent="0.2">
      <c r="B141" s="9" t="s">
        <v>116</v>
      </c>
      <c r="C141" s="105">
        <f>+C136*((1+$C$144)^F135)</f>
        <v>-571597.60585394129</v>
      </c>
      <c r="D141" s="105">
        <f>+D136*((1+$C$144)^E135)</f>
        <v>104833.92677333334</v>
      </c>
      <c r="E141" s="105">
        <f>+E136*((1+$C$144)^D135)</f>
        <v>349050.22880000016</v>
      </c>
      <c r="F141" s="105">
        <f>+F136*((1+$C$144)^C135)</f>
        <v>998919.2000000003</v>
      </c>
      <c r="G141" s="108" t="s">
        <v>117</v>
      </c>
      <c r="H141" s="109">
        <f>+SUM(C141:F141)</f>
        <v>881205.74971939251</v>
      </c>
    </row>
    <row r="142" spans="2:8" ht="12.75" customHeight="1" x14ac:dyDescent="0.2">
      <c r="D142" s="55"/>
      <c r="E142" s="55"/>
      <c r="F142" s="55"/>
    </row>
    <row r="143" spans="2:8" ht="22.5" customHeight="1" x14ac:dyDescent="0.2">
      <c r="B143" s="12"/>
      <c r="C143" s="110" t="s">
        <v>112</v>
      </c>
      <c r="D143" s="3"/>
      <c r="F143" s="55"/>
    </row>
    <row r="144" spans="2:8" ht="22.5" customHeight="1" x14ac:dyDescent="0.2">
      <c r="B144" s="52" t="s">
        <v>78</v>
      </c>
      <c r="C144" s="106">
        <f>+F124</f>
        <v>0.12839999999999999</v>
      </c>
      <c r="D144" s="4"/>
    </row>
    <row r="145" spans="2:6" ht="22.5" customHeight="1" x14ac:dyDescent="0.2">
      <c r="B145" s="111" t="s">
        <v>113</v>
      </c>
      <c r="C145" s="107">
        <f>+C136+NPV(F124,D136:F136)</f>
        <v>613321.35959461285</v>
      </c>
      <c r="D145" s="113"/>
    </row>
    <row r="146" spans="2:6" ht="22.5" customHeight="1" x14ac:dyDescent="0.2">
      <c r="B146" s="111" t="s">
        <v>81</v>
      </c>
      <c r="C146" s="30">
        <f>+IRR(C136:F136)</f>
        <v>0.62960126902082147</v>
      </c>
      <c r="D146" s="114"/>
    </row>
    <row r="147" spans="2:6" ht="22.5" customHeight="1" x14ac:dyDescent="0.2">
      <c r="B147" s="111" t="s">
        <v>114</v>
      </c>
      <c r="C147" s="107">
        <f>+FV(F124,F135,,-C145)</f>
        <v>881205.74971939239</v>
      </c>
      <c r="D147" s="113"/>
    </row>
    <row r="149" spans="2:6" ht="26.25" customHeight="1" x14ac:dyDescent="0.2">
      <c r="B149" s="160" t="s">
        <v>124</v>
      </c>
      <c r="C149" s="160"/>
      <c r="D149" s="160"/>
      <c r="E149" s="160"/>
      <c r="F149" s="160"/>
    </row>
    <row r="151" spans="2:6" s="41" customFormat="1" ht="17.25" customHeight="1" x14ac:dyDescent="0.25">
      <c r="B151" s="115" t="s">
        <v>125</v>
      </c>
      <c r="C151" s="116" t="s">
        <v>113</v>
      </c>
    </row>
    <row r="152" spans="2:6" s="41" customFormat="1" ht="17.25" customHeight="1" x14ac:dyDescent="0.25">
      <c r="B152" s="118">
        <f>+D10</f>
        <v>200</v>
      </c>
      <c r="C152" s="119">
        <f>+C145</f>
        <v>613321.35959461285</v>
      </c>
    </row>
    <row r="153" spans="2:6" s="41" customFormat="1" ht="17.25" customHeight="1" x14ac:dyDescent="0.25">
      <c r="B153" s="81">
        <v>50</v>
      </c>
      <c r="C153" s="107">
        <f t="dataTable" ref="C153:C172" dt2D="0" dtr="0" r1="D10" ca="1"/>
        <v>-610081.3710070767</v>
      </c>
    </row>
    <row r="154" spans="2:6" s="41" customFormat="1" ht="17.25" customHeight="1" x14ac:dyDescent="0.25">
      <c r="B154" s="81">
        <v>100</v>
      </c>
      <c r="C154" s="107">
        <v>-202280.46080651355</v>
      </c>
    </row>
    <row r="155" spans="2:6" s="41" customFormat="1" ht="17.25" customHeight="1" x14ac:dyDescent="0.25">
      <c r="B155" s="81">
        <v>150</v>
      </c>
      <c r="C155" s="107">
        <v>205520.44939404941</v>
      </c>
      <c r="D155" s="127"/>
      <c r="E155" s="127"/>
    </row>
    <row r="156" spans="2:6" s="41" customFormat="1" ht="17.25" customHeight="1" x14ac:dyDescent="0.25">
      <c r="B156" s="81">
        <v>200</v>
      </c>
      <c r="C156" s="107">
        <v>613321.35959461285</v>
      </c>
    </row>
    <row r="157" spans="2:6" s="41" customFormat="1" ht="17.25" customHeight="1" x14ac:dyDescent="0.25">
      <c r="B157" s="81">
        <v>250</v>
      </c>
      <c r="C157" s="107">
        <v>1021122.2697951756</v>
      </c>
      <c r="D157" s="127"/>
      <c r="E157" s="127"/>
    </row>
    <row r="158" spans="2:6" s="41" customFormat="1" ht="17.25" customHeight="1" x14ac:dyDescent="0.25">
      <c r="B158" s="81">
        <v>300</v>
      </c>
      <c r="C158" s="107">
        <v>1428923.1799957391</v>
      </c>
    </row>
    <row r="159" spans="2:6" s="41" customFormat="1" ht="17.25" customHeight="1" x14ac:dyDescent="0.25">
      <c r="B159" s="81">
        <v>350</v>
      </c>
      <c r="C159" s="107">
        <v>1836724.0901963024</v>
      </c>
    </row>
    <row r="160" spans="2:6" s="41" customFormat="1" ht="17.25" customHeight="1" x14ac:dyDescent="0.25">
      <c r="B160" s="81">
        <v>400</v>
      </c>
      <c r="C160" s="107">
        <v>2244525.000396865</v>
      </c>
    </row>
    <row r="161" spans="2:3" s="41" customFormat="1" ht="17.25" customHeight="1" x14ac:dyDescent="0.25">
      <c r="B161" s="81">
        <v>450</v>
      </c>
      <c r="C161" s="107">
        <v>2652325.9105974287</v>
      </c>
    </row>
    <row r="162" spans="2:3" s="41" customFormat="1" ht="17.25" customHeight="1" x14ac:dyDescent="0.25">
      <c r="B162" s="81">
        <v>500</v>
      </c>
      <c r="C162" s="107">
        <v>3060126.8207979905</v>
      </c>
    </row>
    <row r="163" spans="2:3" s="41" customFormat="1" ht="17.25" customHeight="1" x14ac:dyDescent="0.25">
      <c r="B163" s="81">
        <v>550</v>
      </c>
      <c r="C163" s="107">
        <v>3467927.7309985533</v>
      </c>
    </row>
    <row r="164" spans="2:3" s="41" customFormat="1" ht="17.25" customHeight="1" x14ac:dyDescent="0.25">
      <c r="B164" s="81">
        <v>600</v>
      </c>
      <c r="C164" s="107">
        <v>3875728.6411991171</v>
      </c>
    </row>
    <row r="165" spans="2:3" s="41" customFormat="1" ht="17.25" customHeight="1" x14ac:dyDescent="0.25">
      <c r="B165" s="81">
        <v>650</v>
      </c>
      <c r="C165" s="107">
        <v>4283529.5513996817</v>
      </c>
    </row>
    <row r="166" spans="2:3" s="41" customFormat="1" ht="17.25" customHeight="1" x14ac:dyDescent="0.25">
      <c r="B166" s="81">
        <v>700</v>
      </c>
      <c r="C166" s="107">
        <v>4691330.461600245</v>
      </c>
    </row>
    <row r="167" spans="2:3" s="41" customFormat="1" ht="17.25" customHeight="1" x14ac:dyDescent="0.25">
      <c r="B167" s="81">
        <v>750</v>
      </c>
      <c r="C167" s="107">
        <v>5099131.3718008073</v>
      </c>
    </row>
    <row r="168" spans="2:3" s="41" customFormat="1" ht="17.25" customHeight="1" x14ac:dyDescent="0.25">
      <c r="B168" s="81">
        <v>800</v>
      </c>
      <c r="C168" s="107">
        <v>5506932.2820013706</v>
      </c>
    </row>
    <row r="169" spans="2:3" s="41" customFormat="1" ht="17.25" customHeight="1" x14ac:dyDescent="0.25">
      <c r="B169" s="81">
        <v>850</v>
      </c>
      <c r="C169" s="107">
        <v>5914733.1922019338</v>
      </c>
    </row>
    <row r="170" spans="2:3" s="41" customFormat="1" ht="17.25" customHeight="1" x14ac:dyDescent="0.25">
      <c r="B170" s="81">
        <v>900</v>
      </c>
      <c r="C170" s="107">
        <v>6322534.102402498</v>
      </c>
    </row>
    <row r="171" spans="2:3" s="41" customFormat="1" ht="17.25" customHeight="1" x14ac:dyDescent="0.25">
      <c r="B171" s="81">
        <v>950</v>
      </c>
      <c r="C171" s="107">
        <v>6730335.0126030594</v>
      </c>
    </row>
    <row r="172" spans="2:3" s="41" customFormat="1" ht="17.25" customHeight="1" x14ac:dyDescent="0.25">
      <c r="B172" s="81">
        <v>1000</v>
      </c>
      <c r="C172" s="107">
        <v>7138135.9228036217</v>
      </c>
    </row>
    <row r="173" spans="2:3" s="41" customFormat="1" ht="17.25" customHeight="1" x14ac:dyDescent="0.25">
      <c r="B173" s="67" t="s">
        <v>131</v>
      </c>
      <c r="C173" s="128">
        <f>+AVERAGE(C153:C172)</f>
        <v>3264027.2758982731</v>
      </c>
    </row>
    <row r="174" spans="2:3" s="41" customFormat="1" ht="17.25" customHeight="1" x14ac:dyDescent="0.25">
      <c r="B174" s="67" t="s">
        <v>132</v>
      </c>
      <c r="C174" s="128">
        <f>+STDEV(C153:C172)</f>
        <v>2412582.7203671732</v>
      </c>
    </row>
    <row r="175" spans="2:3" s="41" customFormat="1" ht="17.25" customHeight="1" x14ac:dyDescent="0.25">
      <c r="B175" s="67" t="s">
        <v>133</v>
      </c>
      <c r="C175" s="135">
        <f>+C174/C173</f>
        <v>0.73914294104764211</v>
      </c>
    </row>
    <row r="178" spans="2:3" s="41" customFormat="1" ht="17.25" customHeight="1" x14ac:dyDescent="0.25">
      <c r="B178" s="115" t="s">
        <v>126</v>
      </c>
      <c r="C178" s="116" t="s">
        <v>128</v>
      </c>
    </row>
    <row r="179" spans="2:3" s="41" customFormat="1" ht="17.25" customHeight="1" x14ac:dyDescent="0.25">
      <c r="B179" s="117">
        <f>+D11</f>
        <v>80000</v>
      </c>
      <c r="C179" s="120">
        <f>+C145</f>
        <v>613321.35959461285</v>
      </c>
    </row>
    <row r="180" spans="2:3" s="41" customFormat="1" ht="17.25" customHeight="1" x14ac:dyDescent="0.25">
      <c r="B180" s="81">
        <v>40000</v>
      </c>
      <c r="C180" s="107">
        <f t="dataTable" ref="C180:C190" dt2D="0" dtr="0" r1="D11"/>
        <v>685342.22533916833</v>
      </c>
    </row>
    <row r="181" spans="2:3" s="41" customFormat="1" ht="17.25" customHeight="1" x14ac:dyDescent="0.25">
      <c r="B181" s="81">
        <v>50000</v>
      </c>
      <c r="C181" s="107">
        <v>667337.00890302937</v>
      </c>
    </row>
    <row r="182" spans="2:3" s="41" customFormat="1" ht="17.25" customHeight="1" x14ac:dyDescent="0.25">
      <c r="B182" s="81">
        <v>60000</v>
      </c>
      <c r="C182" s="107">
        <v>649331.79246689053</v>
      </c>
    </row>
    <row r="183" spans="2:3" s="41" customFormat="1" ht="17.25" customHeight="1" x14ac:dyDescent="0.25">
      <c r="B183" s="81">
        <v>70000</v>
      </c>
      <c r="C183" s="107">
        <v>631326.57603075169</v>
      </c>
    </row>
    <row r="184" spans="2:3" s="41" customFormat="1" ht="17.25" customHeight="1" x14ac:dyDescent="0.25">
      <c r="B184" s="81">
        <v>80000</v>
      </c>
      <c r="C184" s="107">
        <v>613321.35959461285</v>
      </c>
    </row>
    <row r="185" spans="2:3" s="41" customFormat="1" ht="17.25" customHeight="1" x14ac:dyDescent="0.25">
      <c r="B185" s="81">
        <v>90000</v>
      </c>
      <c r="C185" s="107">
        <v>595316.14315847389</v>
      </c>
    </row>
    <row r="186" spans="2:3" s="41" customFormat="1" ht="17.25" customHeight="1" x14ac:dyDescent="0.25">
      <c r="B186" s="81">
        <v>100000</v>
      </c>
      <c r="C186" s="107">
        <v>577310.92672233493</v>
      </c>
    </row>
    <row r="187" spans="2:3" s="41" customFormat="1" ht="17.25" customHeight="1" x14ac:dyDescent="0.25">
      <c r="B187" s="81">
        <v>110000</v>
      </c>
      <c r="C187" s="107">
        <v>559305.71028619609</v>
      </c>
    </row>
    <row r="188" spans="2:3" s="41" customFormat="1" ht="17.25" customHeight="1" x14ac:dyDescent="0.25">
      <c r="B188" s="81">
        <v>120000</v>
      </c>
      <c r="C188" s="107">
        <v>541300.49385005748</v>
      </c>
    </row>
    <row r="189" spans="2:3" s="41" customFormat="1" ht="17.25" customHeight="1" x14ac:dyDescent="0.25">
      <c r="B189" s="81">
        <v>130000</v>
      </c>
      <c r="C189" s="107">
        <v>523295.2774139184</v>
      </c>
    </row>
    <row r="190" spans="2:3" s="41" customFormat="1" ht="17.25" customHeight="1" x14ac:dyDescent="0.25">
      <c r="B190" s="81">
        <v>140000</v>
      </c>
      <c r="C190" s="107">
        <v>505290.06097777962</v>
      </c>
    </row>
    <row r="191" spans="2:3" s="41" customFormat="1" ht="17.25" customHeight="1" x14ac:dyDescent="0.25">
      <c r="B191" s="67" t="s">
        <v>131</v>
      </c>
      <c r="C191" s="128">
        <f>+AVERAGE(C180:C190)</f>
        <v>595316.14315847401</v>
      </c>
    </row>
    <row r="192" spans="2:3" s="41" customFormat="1" ht="17.25" customHeight="1" x14ac:dyDescent="0.25">
      <c r="B192" s="67" t="s">
        <v>132</v>
      </c>
      <c r="C192" s="128">
        <f>+STDEV(C180:C190)</f>
        <v>59716.547187812685</v>
      </c>
    </row>
    <row r="193" spans="2:5" s="41" customFormat="1" ht="17.25" customHeight="1" x14ac:dyDescent="0.25">
      <c r="B193" s="67" t="s">
        <v>133</v>
      </c>
      <c r="C193" s="135">
        <f>+C192/C191</f>
        <v>0.10031064649277628</v>
      </c>
    </row>
    <row r="195" spans="2:5" s="41" customFormat="1" ht="17.25" customHeight="1" x14ac:dyDescent="0.25">
      <c r="B195" s="115" t="s">
        <v>127</v>
      </c>
      <c r="C195" s="116" t="s">
        <v>113</v>
      </c>
    </row>
    <row r="196" spans="2:5" s="41" customFormat="1" ht="17.25" customHeight="1" x14ac:dyDescent="0.25">
      <c r="B196" s="133">
        <f>+C86</f>
        <v>0.15</v>
      </c>
      <c r="C196" s="134">
        <f>+C145</f>
        <v>613321.35959461285</v>
      </c>
    </row>
    <row r="197" spans="2:5" s="41" customFormat="1" ht="17.25" customHeight="1" x14ac:dyDescent="0.25">
      <c r="B197" s="30">
        <v>0.09</v>
      </c>
      <c r="C197" s="107">
        <f t="dataTable" ref="C197:C208" dt2D="0" dtr="0" r1="E122" ca="1"/>
        <v>653824.35269929562</v>
      </c>
      <c r="D197" s="113"/>
    </row>
    <row r="198" spans="2:5" s="41" customFormat="1" ht="17.25" customHeight="1" x14ac:dyDescent="0.25">
      <c r="B198" s="30">
        <v>0.1</v>
      </c>
      <c r="C198" s="107">
        <v>646913.8163505306</v>
      </c>
      <c r="D198" s="113"/>
    </row>
    <row r="199" spans="2:5" s="41" customFormat="1" ht="17.25" customHeight="1" x14ac:dyDescent="0.25">
      <c r="B199" s="30">
        <v>0.11</v>
      </c>
      <c r="C199" s="107">
        <v>640068.32768372446</v>
      </c>
      <c r="D199" s="113"/>
    </row>
    <row r="200" spans="2:5" s="41" customFormat="1" ht="17.25" customHeight="1" x14ac:dyDescent="0.25">
      <c r="B200" s="30">
        <v>0.12</v>
      </c>
      <c r="C200" s="107">
        <v>633287.10368075804</v>
      </c>
      <c r="D200" s="113"/>
    </row>
    <row r="201" spans="2:5" s="41" customFormat="1" ht="17.25" customHeight="1" x14ac:dyDescent="0.25">
      <c r="B201" s="30">
        <v>0.13</v>
      </c>
      <c r="C201" s="107">
        <v>626569.3727426976</v>
      </c>
      <c r="D201" s="113"/>
    </row>
    <row r="202" spans="2:5" s="41" customFormat="1" ht="17.25" customHeight="1" x14ac:dyDescent="0.25">
      <c r="B202" s="30">
        <v>0.14000000000000001</v>
      </c>
      <c r="C202" s="107">
        <v>619914.37449467881</v>
      </c>
      <c r="D202" s="113"/>
    </row>
    <row r="203" spans="2:5" s="41" customFormat="1" ht="17.25" customHeight="1" x14ac:dyDescent="0.25">
      <c r="B203" s="30">
        <v>0.15</v>
      </c>
      <c r="C203" s="107">
        <v>613321.35959461285</v>
      </c>
      <c r="D203" s="113"/>
    </row>
    <row r="204" spans="2:5" s="41" customFormat="1" ht="17.25" customHeight="1" x14ac:dyDescent="0.25">
      <c r="B204" s="30">
        <v>0.16</v>
      </c>
      <c r="C204" s="107">
        <v>606789.5895456234</v>
      </c>
      <c r="D204" s="113"/>
    </row>
    <row r="205" spans="2:5" s="41" customFormat="1" ht="17.25" customHeight="1" x14ac:dyDescent="0.25">
      <c r="B205" s="30">
        <v>0.17</v>
      </c>
      <c r="C205" s="107">
        <v>600318.33651213255</v>
      </c>
      <c r="D205" s="113"/>
    </row>
    <row r="206" spans="2:5" s="41" customFormat="1" ht="17.25" customHeight="1" x14ac:dyDescent="0.25">
      <c r="B206" s="30">
        <v>0.18</v>
      </c>
      <c r="C206" s="107">
        <v>593906.88313951786</v>
      </c>
      <c r="D206" s="113"/>
    </row>
    <row r="207" spans="2:5" s="41" customFormat="1" ht="17.25" customHeight="1" x14ac:dyDescent="0.25">
      <c r="B207" s="30">
        <v>0.19</v>
      </c>
      <c r="C207" s="107">
        <v>587554.52237726422</v>
      </c>
      <c r="D207" s="113"/>
    </row>
    <row r="208" spans="2:5" s="41" customFormat="1" ht="17.25" customHeight="1" x14ac:dyDescent="0.25">
      <c r="B208" s="30">
        <v>0.2</v>
      </c>
      <c r="C208" s="107">
        <v>581260.55730552785</v>
      </c>
      <c r="D208" s="113"/>
      <c r="E208" s="132"/>
    </row>
    <row r="209" spans="2:6" s="41" customFormat="1" ht="17.25" customHeight="1" x14ac:dyDescent="0.25">
      <c r="B209" s="67" t="s">
        <v>131</v>
      </c>
      <c r="C209" s="128">
        <f>+AVERAGE(C197:C208)</f>
        <v>616977.38301053038</v>
      </c>
    </row>
    <row r="210" spans="2:6" s="41" customFormat="1" ht="17.25" customHeight="1" x14ac:dyDescent="0.25">
      <c r="B210" s="67" t="s">
        <v>132</v>
      </c>
      <c r="C210" s="128">
        <f>+STDEV(C197:C208)</f>
        <v>23783.198653916144</v>
      </c>
      <c r="D210" s="113"/>
    </row>
    <row r="211" spans="2:6" s="41" customFormat="1" ht="17.25" customHeight="1" x14ac:dyDescent="0.25">
      <c r="B211" s="67" t="s">
        <v>133</v>
      </c>
      <c r="C211" s="135">
        <f>+C210/C209</f>
        <v>3.8547926243043859E-2</v>
      </c>
    </row>
    <row r="214" spans="2:6" ht="24.75" customHeight="1" x14ac:dyDescent="0.2">
      <c r="B214" s="160" t="s">
        <v>134</v>
      </c>
      <c r="C214" s="160"/>
      <c r="D214" s="160"/>
      <c r="E214" s="160"/>
      <c r="F214" s="160"/>
    </row>
    <row r="217" spans="2:6" s="41" customFormat="1" ht="21" customHeight="1" x14ac:dyDescent="0.25">
      <c r="B217" s="129" t="s">
        <v>135</v>
      </c>
      <c r="C217" s="130" t="s">
        <v>136</v>
      </c>
      <c r="D217" s="130" t="s">
        <v>137</v>
      </c>
      <c r="E217" s="130" t="s">
        <v>138</v>
      </c>
    </row>
    <row r="218" spans="2:6" s="41" customFormat="1" ht="21" customHeight="1" x14ac:dyDescent="0.25">
      <c r="B218" s="31" t="s">
        <v>125</v>
      </c>
      <c r="C218" s="81">
        <v>230</v>
      </c>
      <c r="D218" s="81">
        <f>+D10</f>
        <v>200</v>
      </c>
      <c r="E218" s="81">
        <v>140</v>
      </c>
    </row>
    <row r="219" spans="2:6" s="41" customFormat="1" ht="21" customHeight="1" x14ac:dyDescent="0.25">
      <c r="B219" s="31" t="s">
        <v>126</v>
      </c>
      <c r="C219" s="81">
        <v>75000</v>
      </c>
      <c r="D219" s="81">
        <f>+D11</f>
        <v>80000</v>
      </c>
      <c r="E219" s="81">
        <v>140000</v>
      </c>
    </row>
    <row r="220" spans="2:6" s="41" customFormat="1" ht="21" customHeight="1" x14ac:dyDescent="0.25">
      <c r="B220" s="31" t="s">
        <v>127</v>
      </c>
      <c r="C220" s="30">
        <v>0.13</v>
      </c>
      <c r="D220" s="30">
        <v>0.15</v>
      </c>
      <c r="E220" s="30">
        <v>0.24</v>
      </c>
    </row>
    <row r="221" spans="2:6" s="41" customFormat="1" ht="21" customHeight="1" x14ac:dyDescent="0.25">
      <c r="B221" s="31" t="s">
        <v>139</v>
      </c>
      <c r="C221" s="30">
        <v>0.2</v>
      </c>
      <c r="D221" s="30">
        <v>0.45</v>
      </c>
      <c r="E221" s="30">
        <v>0.35</v>
      </c>
    </row>
    <row r="222" spans="2:6" ht="22.5" customHeight="1" x14ac:dyDescent="0.2">
      <c r="B222" s="31" t="s">
        <v>113</v>
      </c>
      <c r="C222" s="81">
        <f>+'Resumen del escenario'!E10</f>
        <v>883180.01243586699</v>
      </c>
      <c r="D222" s="81">
        <f>+'Resumen del escenario'!F10</f>
        <v>613321.35959461296</v>
      </c>
      <c r="E222" s="81">
        <f>+'Resumen del escenario'!G10</f>
        <v>-11973.4436596012</v>
      </c>
    </row>
    <row r="223" spans="2:6" ht="22.5" customHeight="1" x14ac:dyDescent="0.2">
      <c r="B223" s="31" t="s">
        <v>155</v>
      </c>
      <c r="C223" s="81">
        <f>+C222^2</f>
        <v>780006934366.21814</v>
      </c>
      <c r="D223" s="81">
        <f t="shared" ref="D223:E223" si="18">+D222^2</f>
        <v>376163090134.98456</v>
      </c>
      <c r="E223" s="81">
        <f t="shared" si="18"/>
        <v>143363353.06964418</v>
      </c>
    </row>
    <row r="224" spans="2:6" ht="21.75" customHeight="1" x14ac:dyDescent="0.2">
      <c r="B224" s="131" t="s">
        <v>131</v>
      </c>
      <c r="C224" s="78">
        <f>+SUMPRODUCT(C222:E222,C221:E221)</f>
        <v>448439.90902388882</v>
      </c>
    </row>
    <row r="225" spans="2:3" s="4" customFormat="1" ht="21.75" customHeight="1" x14ac:dyDescent="0.25">
      <c r="B225" s="131" t="s">
        <v>140</v>
      </c>
      <c r="C225" s="78">
        <f>+SUMPRODUCT(C223:E223,C221:E221)-C224^2</f>
        <v>124226602602.20743</v>
      </c>
    </row>
    <row r="226" spans="2:3" s="4" customFormat="1" ht="21.75" customHeight="1" x14ac:dyDescent="0.25">
      <c r="B226" s="131" t="s">
        <v>132</v>
      </c>
      <c r="C226" s="78">
        <f>+SQRT(C225)</f>
        <v>352457.94444473431</v>
      </c>
    </row>
    <row r="227" spans="2:3" s="4" customFormat="1" ht="21.75" customHeight="1" x14ac:dyDescent="0.25">
      <c r="B227" s="131" t="s">
        <v>133</v>
      </c>
      <c r="C227" s="151">
        <f>+C226/C224</f>
        <v>0.78596471311378879</v>
      </c>
    </row>
  </sheetData>
  <scenarios current="0" show="1" sqref="C145">
    <scenario name="Optimista" locked="1" count="3" user="s203e22" comment="Creado por Ángela María Gómez Restrepo el 10/05/2017_x000a_Modificado por Ángela María Gómez Restrepo el 10/05/2017_x000a_Modificado por s203e22 el 12/05/2017">
      <inputCells r="C86" val="0,13"/>
      <inputCells r="D10" val="230"/>
      <inputCells r="D11" val="75000"/>
    </scenario>
    <scenario name="Neutro" locked="1" count="3" user="Ángela María Gómez Restrepo" comment="Creado por Ángela María Gómez Restrepo el 10/05/2017_x000a_Modificado por Ángela María Gómez Restrepo el 10/05/2017">
      <inputCells r="C86" val="0,15"/>
      <inputCells r="D11" val="80000"/>
      <inputCells r="D10" val="200"/>
    </scenario>
    <scenario name="Pesimista" locked="1" count="3" user="Ángela María Gómez Restrepo" comment="Creado por Ángela María Gómez Restrepo el 10/05/2017_x000a_Modificado por Ángela María Gómez Restrepo el 10/05/2017">
      <inputCells r="C86" val="0,24"/>
      <inputCells r="D11" val="140000"/>
      <inputCells r="D10" val="140"/>
    </scenario>
  </scenarios>
  <dataConsolidate/>
  <mergeCells count="15">
    <mergeCell ref="B133:F133"/>
    <mergeCell ref="B149:F149"/>
    <mergeCell ref="B214:F214"/>
    <mergeCell ref="B75:F75"/>
    <mergeCell ref="B83:F83"/>
    <mergeCell ref="C94:F94"/>
    <mergeCell ref="C103:F103"/>
    <mergeCell ref="B112:F112"/>
    <mergeCell ref="B119:F119"/>
    <mergeCell ref="B65:F65"/>
    <mergeCell ref="B2:F3"/>
    <mergeCell ref="B6:F6"/>
    <mergeCell ref="B40:F40"/>
    <mergeCell ref="B42:F42"/>
    <mergeCell ref="B49:F49"/>
  </mergeCells>
  <pageMargins left="0.23622047244094491" right="0.23622047244094491" top="0.74803149606299213" bottom="0.74803149606299213" header="0.31496062992125984" footer="0.31496062992125984"/>
  <pageSetup scale="60" orientation="landscape" r:id="rId1"/>
  <rowBreaks count="4" manualBreakCount="4">
    <brk id="39" max="16383" man="1"/>
    <brk id="80" max="8" man="1"/>
    <brk id="111" max="16383" man="1"/>
    <brk id="132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6</vt:i4>
      </vt:variant>
    </vt:vector>
  </HeadingPairs>
  <TitlesOfParts>
    <vt:vector size="9" baseType="lpstr">
      <vt:lpstr>Formulación</vt:lpstr>
      <vt:lpstr>Resumen del escenario</vt:lpstr>
      <vt:lpstr>v_Financiera VIDA FINITA Riesgo</vt:lpstr>
      <vt:lpstr>Formulación!Área_de_impresión</vt:lpstr>
      <vt:lpstr>'v_Financiera VIDA FINITA Riesgo'!Área_de_impresión</vt:lpstr>
      <vt:lpstr>Mano_de_Obra</vt:lpstr>
      <vt:lpstr>Precio</vt:lpstr>
      <vt:lpstr>Tasa_interes</vt:lpstr>
      <vt:lpstr>VPN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s203e22</cp:lastModifiedBy>
  <cp:lastPrinted>2017-05-02T16:43:30Z</cp:lastPrinted>
  <dcterms:created xsi:type="dcterms:W3CDTF">2017-04-03T02:38:19Z</dcterms:created>
  <dcterms:modified xsi:type="dcterms:W3CDTF">2017-05-12T14:21:08Z</dcterms:modified>
</cp:coreProperties>
</file>