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519033A1-C126-4058-B76E-DA1F2365FA49}" xr6:coauthVersionLast="45" xr6:coauthVersionMax="45" xr10:uidLastSave="{00000000-0000-0000-0000-000000000000}"/>
  <bookViews>
    <workbookView xWindow="-120" yWindow="-120" windowWidth="20730" windowHeight="11160" tabRatio="805" activeTab="5" xr2:uid="{9BAB5229-2499-A34B-98D0-FBC7E41476F3}"/>
  </bookViews>
  <sheets>
    <sheet name="Inicio" sheetId="9" r:id="rId1"/>
    <sheet name="Hoja de supuestos" sheetId="10" r:id="rId2"/>
    <sheet name="PyG" sheetId="11" r:id="rId3"/>
    <sheet name="Maq&amp;Equipos y Depreciación" sheetId="13" r:id="rId4"/>
    <sheet name="Amortización deuda" sheetId="12" r:id="rId5"/>
    <sheet name="FlujoCajaLibre" sheetId="14" r:id="rId6"/>
    <sheet name="Conclusión" sheetId="15" r:id="rId7"/>
    <sheet name="Fuentes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4" l="1"/>
  <c r="C49" i="14"/>
  <c r="C52" i="14"/>
  <c r="F50" i="14" l="1"/>
  <c r="C15" i="14"/>
  <c r="E25" i="10"/>
  <c r="E15" i="14" s="1"/>
  <c r="F25" i="10"/>
  <c r="F15" i="14" s="1"/>
  <c r="G25" i="10"/>
  <c r="G15" i="14" s="1"/>
  <c r="H25" i="10"/>
  <c r="H15" i="14" s="1"/>
  <c r="I25" i="10"/>
  <c r="I15" i="14" s="1"/>
  <c r="D25" i="10"/>
  <c r="D15" i="14" s="1"/>
  <c r="C4" i="12" l="1"/>
  <c r="B30" i="10"/>
  <c r="B37" i="10"/>
  <c r="B38" i="10" s="1"/>
  <c r="B39" i="10" s="1"/>
  <c r="B42" i="10"/>
  <c r="B43" i="10" s="1"/>
  <c r="B46" i="10" s="1"/>
  <c r="B44" i="10"/>
  <c r="B49" i="10"/>
  <c r="B50" i="10" s="1"/>
  <c r="B31" i="10"/>
  <c r="B32" i="10" s="1"/>
  <c r="B33" i="10" s="1"/>
  <c r="F12" i="12"/>
  <c r="D13" i="14"/>
  <c r="H16" i="14"/>
  <c r="D13" i="13"/>
  <c r="D14" i="13"/>
  <c r="D21" i="10"/>
  <c r="D20" i="10"/>
  <c r="D19" i="10"/>
  <c r="D12" i="10" s="1"/>
  <c r="C18" i="10"/>
  <c r="C20" i="10" s="1"/>
  <c r="E8" i="10"/>
  <c r="B52" i="10" l="1"/>
  <c r="B53" i="10" s="1"/>
  <c r="C19" i="10"/>
  <c r="D24" i="10"/>
  <c r="I12" i="12" s="1"/>
  <c r="J12" i="12" s="1"/>
  <c r="O16" i="11"/>
  <c r="E24" i="10" l="1"/>
  <c r="G5" i="10"/>
  <c r="H5" i="10" s="1"/>
  <c r="I5" i="10" s="1"/>
  <c r="E12" i="10"/>
  <c r="F12" i="10" s="1"/>
  <c r="G12" i="10" s="1"/>
  <c r="D18" i="10"/>
  <c r="D11" i="10" s="1"/>
  <c r="D13" i="10" s="1"/>
  <c r="C21" i="10"/>
  <c r="F24" i="10" l="1"/>
  <c r="I13" i="12"/>
  <c r="J13" i="12" s="1"/>
  <c r="H12" i="10"/>
  <c r="I12" i="10" s="1"/>
  <c r="E11" i="10"/>
  <c r="O15" i="11"/>
  <c r="G24" i="10" l="1"/>
  <c r="I14" i="12"/>
  <c r="E13" i="10"/>
  <c r="P15" i="11" s="1"/>
  <c r="F11" i="10"/>
  <c r="H24" i="10" l="1"/>
  <c r="I15" i="12"/>
  <c r="G11" i="10"/>
  <c r="F13" i="10"/>
  <c r="Q15" i="11" s="1"/>
  <c r="I24" i="10" l="1"/>
  <c r="I17" i="12" s="1"/>
  <c r="I16" i="12"/>
  <c r="G13" i="10"/>
  <c r="R15" i="11" s="1"/>
  <c r="H11" i="10"/>
  <c r="I11" i="10" l="1"/>
  <c r="I13" i="10" s="1"/>
  <c r="T15" i="11" s="1"/>
  <c r="H13" i="10"/>
  <c r="S15" i="11" s="1"/>
  <c r="D10" i="10" l="1"/>
  <c r="D35" i="10"/>
  <c r="D34" i="10"/>
  <c r="D30" i="10"/>
  <c r="D31" i="10" s="1"/>
  <c r="E6" i="10"/>
  <c r="F6" i="10" s="1"/>
  <c r="G6" i="10" s="1"/>
  <c r="H6" i="10" s="1"/>
  <c r="I6" i="10" s="1"/>
  <c r="D36" i="10" l="1"/>
  <c r="F36" i="10" s="1"/>
  <c r="E10" i="10"/>
  <c r="D12" i="13"/>
  <c r="C12" i="13"/>
  <c r="P16" i="11"/>
  <c r="Q16" i="11"/>
  <c r="R16" i="11"/>
  <c r="S16" i="11"/>
  <c r="T16" i="11"/>
  <c r="E14" i="13"/>
  <c r="F14" i="13"/>
  <c r="G14" i="13"/>
  <c r="H14" i="13"/>
  <c r="I14" i="13"/>
  <c r="C7" i="13"/>
  <c r="E7" i="13"/>
  <c r="E6" i="13"/>
  <c r="E5" i="13"/>
  <c r="E4" i="13"/>
  <c r="E3" i="13"/>
  <c r="D7" i="10"/>
  <c r="E7" i="10" s="1"/>
  <c r="D9" i="10" l="1"/>
  <c r="D23" i="10" s="1"/>
  <c r="F10" i="10"/>
  <c r="O9" i="11"/>
  <c r="D33" i="14"/>
  <c r="E33" i="14" s="1"/>
  <c r="F33" i="14" s="1"/>
  <c r="G33" i="14" s="1"/>
  <c r="H33" i="14" s="1"/>
  <c r="I33" i="14" s="1"/>
  <c r="D22" i="14"/>
  <c r="E22" i="14" s="1"/>
  <c r="F22" i="14" s="1"/>
  <c r="G22" i="14" s="1"/>
  <c r="H22" i="14" s="1"/>
  <c r="I22" i="14" s="1"/>
  <c r="D3" i="14"/>
  <c r="E3" i="14" s="1"/>
  <c r="F3" i="14" s="1"/>
  <c r="G3" i="14" s="1"/>
  <c r="H3" i="14" s="1"/>
  <c r="I3" i="14" s="1"/>
  <c r="F11" i="13"/>
  <c r="G11" i="13" s="1"/>
  <c r="H11" i="13" s="1"/>
  <c r="I11" i="13" s="1"/>
  <c r="E11" i="13"/>
  <c r="D11" i="13"/>
  <c r="F2" i="12"/>
  <c r="G2" i="12" s="1"/>
  <c r="H2" i="12" s="1"/>
  <c r="I2" i="12" s="1"/>
  <c r="E2" i="12"/>
  <c r="D2" i="12"/>
  <c r="O8" i="11"/>
  <c r="P8" i="11" s="1"/>
  <c r="Q8" i="11" s="1"/>
  <c r="R8" i="11" s="1"/>
  <c r="S8" i="11" s="1"/>
  <c r="T8" i="11" s="1"/>
  <c r="D4" i="10"/>
  <c r="E4" i="10" s="1"/>
  <c r="F4" i="10" s="1"/>
  <c r="G4" i="10" s="1"/>
  <c r="H4" i="10" s="1"/>
  <c r="I4" i="10" s="1"/>
  <c r="D22" i="10" l="1"/>
  <c r="O13" i="11" s="1"/>
  <c r="D7" i="14" s="1"/>
  <c r="O10" i="11"/>
  <c r="O11" i="11" s="1"/>
  <c r="G10" i="10"/>
  <c r="C24" i="14"/>
  <c r="C25" i="14" s="1"/>
  <c r="H13" i="14"/>
  <c r="I13" i="14"/>
  <c r="G13" i="14"/>
  <c r="D8" i="14"/>
  <c r="D12" i="14" s="1"/>
  <c r="C20" i="13"/>
  <c r="H17" i="13"/>
  <c r="H18" i="13" s="1"/>
  <c r="I18" i="13" s="1"/>
  <c r="I16" i="13"/>
  <c r="D6" i="14" l="1"/>
  <c r="O12" i="11"/>
  <c r="O18" i="11"/>
  <c r="H10" i="10"/>
  <c r="F7" i="10"/>
  <c r="E13" i="13"/>
  <c r="F13" i="13" s="1"/>
  <c r="G13" i="13" s="1"/>
  <c r="H13" i="13" s="1"/>
  <c r="I13" i="13" s="1"/>
  <c r="I17" i="10"/>
  <c r="E13" i="14"/>
  <c r="F13" i="14"/>
  <c r="E12" i="13"/>
  <c r="I17" i="13"/>
  <c r="O23" i="11" l="1"/>
  <c r="O19" i="11"/>
  <c r="I10" i="10"/>
  <c r="G7" i="10"/>
  <c r="H7" i="10" s="1"/>
  <c r="D20" i="13"/>
  <c r="E20" i="13"/>
  <c r="O24" i="11" l="1"/>
  <c r="D10" i="14" s="1"/>
  <c r="E8" i="14"/>
  <c r="E12" i="14" s="1"/>
  <c r="I7" i="10"/>
  <c r="C3" i="12"/>
  <c r="C14" i="14"/>
  <c r="C13" i="14" s="1"/>
  <c r="C17" i="14" s="1"/>
  <c r="F12" i="13"/>
  <c r="C44" i="14" l="1"/>
  <c r="C45" i="14" s="1"/>
  <c r="C46" i="14"/>
  <c r="O25" i="11"/>
  <c r="O26" i="11" s="1"/>
  <c r="F20" i="13"/>
  <c r="C34" i="14"/>
  <c r="C6" i="12"/>
  <c r="F8" i="14" l="1"/>
  <c r="F12" i="14" s="1"/>
  <c r="C28" i="14"/>
  <c r="C29" i="14" s="1"/>
  <c r="D12" i="12"/>
  <c r="G12" i="13"/>
  <c r="C5" i="12"/>
  <c r="G20" i="13" l="1"/>
  <c r="E21" i="12"/>
  <c r="E15" i="12"/>
  <c r="E19" i="12"/>
  <c r="E17" i="12"/>
  <c r="E13" i="12"/>
  <c r="E18" i="12"/>
  <c r="E14" i="12"/>
  <c r="E12" i="12"/>
  <c r="E16" i="12"/>
  <c r="E20" i="12"/>
  <c r="C35" i="14"/>
  <c r="C36" i="14" s="1"/>
  <c r="G12" i="12" l="1"/>
  <c r="D27" i="14" s="1"/>
  <c r="H12" i="13"/>
  <c r="H20" i="13" s="1"/>
  <c r="D7" i="12"/>
  <c r="O20" i="11" s="1"/>
  <c r="G8" i="14"/>
  <c r="G12" i="14" s="1"/>
  <c r="H12" i="12" l="1"/>
  <c r="D13" i="12" s="1"/>
  <c r="F13" i="12" s="1"/>
  <c r="I12" i="13"/>
  <c r="I20" i="13" s="1"/>
  <c r="D23" i="14"/>
  <c r="D24" i="14" s="1"/>
  <c r="H8" i="14"/>
  <c r="H12" i="14" s="1"/>
  <c r="E25" i="14" l="1"/>
  <c r="E7" i="12"/>
  <c r="P20" i="11" s="1"/>
  <c r="G13" i="12"/>
  <c r="I8" i="14"/>
  <c r="I12" i="14" s="1"/>
  <c r="E23" i="14" l="1"/>
  <c r="E24" i="14" s="1"/>
  <c r="E26" i="14" s="1"/>
  <c r="E27" i="14"/>
  <c r="H13" i="12"/>
  <c r="D14" i="12" s="1"/>
  <c r="E29" i="14" l="1"/>
  <c r="E35" i="14" s="1"/>
  <c r="F14" i="12"/>
  <c r="F7" i="12" l="1"/>
  <c r="Q20" i="11" s="1"/>
  <c r="F25" i="14"/>
  <c r="G14" i="12"/>
  <c r="F23" i="14" l="1"/>
  <c r="F24" i="14" s="1"/>
  <c r="F26" i="14" s="1"/>
  <c r="F27" i="14"/>
  <c r="H14" i="12"/>
  <c r="D15" i="12" s="1"/>
  <c r="J14" i="12"/>
  <c r="F15" i="12" l="1"/>
  <c r="F29" i="14"/>
  <c r="F35" i="14" l="1"/>
  <c r="G25" i="14"/>
  <c r="G7" i="12"/>
  <c r="R20" i="11" s="1"/>
  <c r="G15" i="12"/>
  <c r="G23" i="14" l="1"/>
  <c r="G24" i="14" s="1"/>
  <c r="G26" i="14" s="1"/>
  <c r="G27" i="14"/>
  <c r="H15" i="12"/>
  <c r="D16" i="12" s="1"/>
  <c r="J15" i="12"/>
  <c r="F16" i="12" l="1"/>
  <c r="G29" i="14"/>
  <c r="H7" i="12" l="1"/>
  <c r="S20" i="11" s="1"/>
  <c r="H25" i="14"/>
  <c r="G16" i="12"/>
  <c r="G35" i="14"/>
  <c r="H27" i="14" l="1"/>
  <c r="H16" i="12"/>
  <c r="D17" i="12" s="1"/>
  <c r="H23" i="14"/>
  <c r="H24" i="14" s="1"/>
  <c r="H26" i="14" s="1"/>
  <c r="J16" i="12"/>
  <c r="H29" i="14" l="1"/>
  <c r="H35" i="14" s="1"/>
  <c r="F17" i="12"/>
  <c r="I25" i="14" l="1"/>
  <c r="I7" i="12"/>
  <c r="T20" i="11" s="1"/>
  <c r="G17" i="12"/>
  <c r="J17" i="12" l="1"/>
  <c r="I27" i="14"/>
  <c r="H17" i="12"/>
  <c r="D18" i="12" s="1"/>
  <c r="I23" i="14"/>
  <c r="I24" i="14" s="1"/>
  <c r="I26" i="14" s="1"/>
  <c r="I29" i="14" l="1"/>
  <c r="I35" i="14" s="1"/>
  <c r="F18" i="12"/>
  <c r="G18" i="12" s="1"/>
  <c r="H18" i="12" s="1"/>
  <c r="D19" i="12" s="1"/>
  <c r="F19" i="12" l="1"/>
  <c r="G19" i="12" s="1"/>
  <c r="H19" i="12" s="1"/>
  <c r="D20" i="12" s="1"/>
  <c r="F20" i="12" l="1"/>
  <c r="G20" i="12" s="1"/>
  <c r="H20" i="12" s="1"/>
  <c r="D21" i="12" s="1"/>
  <c r="F21" i="12" l="1"/>
  <c r="G21" i="12" s="1"/>
  <c r="H21" i="12" s="1"/>
  <c r="F8" i="10" l="1"/>
  <c r="G8" i="10" s="1"/>
  <c r="E9" i="10"/>
  <c r="P9" i="11"/>
  <c r="P10" i="11" s="1"/>
  <c r="P11" i="11" s="1"/>
  <c r="D5" i="14"/>
  <c r="D9" i="14" s="1"/>
  <c r="D11" i="14" s="1"/>
  <c r="D17" i="14" s="1"/>
  <c r="D44" i="14" l="1"/>
  <c r="D45" i="14" s="1"/>
  <c r="D46" i="14"/>
  <c r="E22" i="10"/>
  <c r="E23" i="10"/>
  <c r="P12" i="11"/>
  <c r="G9" i="10"/>
  <c r="R9" i="11"/>
  <c r="R10" i="11" s="1"/>
  <c r="R11" i="11" s="1"/>
  <c r="F9" i="10"/>
  <c r="Q9" i="11"/>
  <c r="D34" i="14"/>
  <c r="H8" i="10"/>
  <c r="E5" i="14"/>
  <c r="E6" i="14"/>
  <c r="P13" i="11" l="1"/>
  <c r="F23" i="10"/>
  <c r="F22" i="10"/>
  <c r="Q13" i="11" s="1"/>
  <c r="F7" i="14" s="1"/>
  <c r="G23" i="10"/>
  <c r="G22" i="10"/>
  <c r="R12" i="11"/>
  <c r="F5" i="14"/>
  <c r="Q10" i="11"/>
  <c r="Q11" i="11" s="1"/>
  <c r="H9" i="10"/>
  <c r="S9" i="11"/>
  <c r="S10" i="11" s="1"/>
  <c r="S11" i="11" s="1"/>
  <c r="I8" i="10"/>
  <c r="G5" i="14"/>
  <c r="H23" i="10" l="1"/>
  <c r="H22" i="10"/>
  <c r="R13" i="11"/>
  <c r="E7" i="14"/>
  <c r="E9" i="14" s="1"/>
  <c r="P18" i="11"/>
  <c r="P23" i="11" s="1"/>
  <c r="Q12" i="11"/>
  <c r="Q18" i="11"/>
  <c r="Q23" i="11" s="1"/>
  <c r="F6" i="14"/>
  <c r="F9" i="14" s="1"/>
  <c r="S12" i="11"/>
  <c r="I9" i="10"/>
  <c r="T9" i="11"/>
  <c r="T10" i="11" s="1"/>
  <c r="T11" i="11" s="1"/>
  <c r="D25" i="14"/>
  <c r="D26" i="14" s="1"/>
  <c r="D29" i="14" s="1"/>
  <c r="H5" i="14"/>
  <c r="G6" i="14"/>
  <c r="P19" i="11" l="1"/>
  <c r="S13" i="11"/>
  <c r="H7" i="14" s="1"/>
  <c r="I23" i="10"/>
  <c r="I22" i="10"/>
  <c r="T13" i="11" s="1"/>
  <c r="I7" i="14" s="1"/>
  <c r="Q24" i="11"/>
  <c r="F10" i="14" s="1"/>
  <c r="F11" i="14" s="1"/>
  <c r="F17" i="14" s="1"/>
  <c r="G7" i="14"/>
  <c r="G9" i="14" s="1"/>
  <c r="R18" i="11"/>
  <c r="R19" i="11" s="1"/>
  <c r="P24" i="11"/>
  <c r="E10" i="14" s="1"/>
  <c r="E11" i="14" s="1"/>
  <c r="E17" i="14" s="1"/>
  <c r="S18" i="11"/>
  <c r="T12" i="11"/>
  <c r="I5" i="14"/>
  <c r="Q19" i="11"/>
  <c r="C30" i="14"/>
  <c r="D35" i="14"/>
  <c r="D36" i="14" s="1"/>
  <c r="I6" i="14"/>
  <c r="H6" i="14"/>
  <c r="E46" i="14" l="1"/>
  <c r="F46" i="14" s="1"/>
  <c r="H9" i="14"/>
  <c r="T18" i="11"/>
  <c r="P25" i="11"/>
  <c r="P26" i="11" s="1"/>
  <c r="Q25" i="11"/>
  <c r="Q26" i="11" s="1"/>
  <c r="I9" i="14"/>
  <c r="R23" i="11"/>
  <c r="E34" i="14"/>
  <c r="E36" i="14" s="1"/>
  <c r="E44" i="14"/>
  <c r="E45" i="14" s="1"/>
  <c r="F34" i="14"/>
  <c r="F36" i="14" s="1"/>
  <c r="F44" i="14"/>
  <c r="F45" i="14" l="1"/>
  <c r="R24" i="11"/>
  <c r="G10" i="14" s="1"/>
  <c r="G11" i="14" s="1"/>
  <c r="G17" i="14" s="1"/>
  <c r="S23" i="11"/>
  <c r="S19" i="11"/>
  <c r="T23" i="11"/>
  <c r="T19" i="11"/>
  <c r="G34" i="14" l="1"/>
  <c r="G36" i="14" s="1"/>
  <c r="G46" i="14"/>
  <c r="R25" i="11"/>
  <c r="R26" i="11" s="1"/>
  <c r="T24" i="11"/>
  <c r="I10" i="14" s="1"/>
  <c r="I11" i="14" s="1"/>
  <c r="I17" i="14" s="1"/>
  <c r="I44" i="14" s="1"/>
  <c r="S24" i="11"/>
  <c r="H10" i="14" s="1"/>
  <c r="H11" i="14" s="1"/>
  <c r="H17" i="14" s="1"/>
  <c r="H34" i="14" s="1"/>
  <c r="H36" i="14" s="1"/>
  <c r="H37" i="14" s="1"/>
  <c r="G44" i="14"/>
  <c r="C51" i="14" l="1"/>
  <c r="C18" i="14"/>
  <c r="C37" i="14" s="1"/>
  <c r="H46" i="14"/>
  <c r="I46" i="14" s="1"/>
  <c r="G45" i="14"/>
  <c r="C50" i="14" s="1"/>
  <c r="I34" i="14"/>
  <c r="I36" i="14" s="1"/>
  <c r="C19" i="14"/>
  <c r="H44" i="14"/>
  <c r="C47" i="14" s="1"/>
  <c r="C48" i="14" s="1"/>
  <c r="S25" i="11"/>
  <c r="S26" i="11" s="1"/>
  <c r="T25" i="11"/>
  <c r="T26" i="11" s="1"/>
  <c r="C38" i="14" l="1"/>
  <c r="C53" i="14"/>
  <c r="I37" i="14"/>
  <c r="H45" i="14"/>
  <c r="I45" i="14" s="1"/>
</calcChain>
</file>

<file path=xl/sharedStrings.xml><?xml version="1.0" encoding="utf-8"?>
<sst xmlns="http://schemas.openxmlformats.org/spreadsheetml/2006/main" count="199" uniqueCount="137">
  <si>
    <t>Resultado de periodo [resumen]</t>
  </si>
  <si>
    <t>Ganancia (pérdida) [sinopsis]</t>
  </si>
  <si>
    <t>Ingresos de actividades ordinarias</t>
  </si>
  <si>
    <t>Costo de ventas</t>
  </si>
  <si>
    <t>Ganancia bruta</t>
  </si>
  <si>
    <t>Gastos de ventas</t>
  </si>
  <si>
    <t>Ganancia (pérdida) por actividades de operación</t>
  </si>
  <si>
    <t>Costos financieros</t>
  </si>
  <si>
    <t>Ganancia (pérdida), antes de impuestos</t>
  </si>
  <si>
    <t>Ingreso (gasto) por impuestos</t>
  </si>
  <si>
    <t>Ganancia (pérdida) procedente de operaciones continuadas</t>
  </si>
  <si>
    <t>Año 0</t>
  </si>
  <si>
    <t>Año 1</t>
  </si>
  <si>
    <t>Año 2</t>
  </si>
  <si>
    <t>Año 3</t>
  </si>
  <si>
    <t>Año 4</t>
  </si>
  <si>
    <t>Año 5</t>
  </si>
  <si>
    <t>Cifras en Miles</t>
  </si>
  <si>
    <t>Margen bruto</t>
  </si>
  <si>
    <t>Margen operativo</t>
  </si>
  <si>
    <t>Inflación (IPC)</t>
  </si>
  <si>
    <t>Variación PIB</t>
  </si>
  <si>
    <t xml:space="preserve">Unidades </t>
  </si>
  <si>
    <t xml:space="preserve">Precio Unidad </t>
  </si>
  <si>
    <t>Depreciación y Amortización</t>
  </si>
  <si>
    <t>PPE</t>
  </si>
  <si>
    <t>Deuda financiera</t>
  </si>
  <si>
    <t>Plazo (años)</t>
  </si>
  <si>
    <t>Tasa E.A.</t>
  </si>
  <si>
    <t>Amortización</t>
  </si>
  <si>
    <t>cuota igual</t>
  </si>
  <si>
    <t>Saldo inicial</t>
  </si>
  <si>
    <t>Cuota</t>
  </si>
  <si>
    <t>Pago intereses</t>
  </si>
  <si>
    <t>Abono Capital</t>
  </si>
  <si>
    <t>Saldo final</t>
  </si>
  <si>
    <t>Costo financiero</t>
  </si>
  <si>
    <t>Ingresos</t>
  </si>
  <si>
    <t>Año 1 (0´)</t>
  </si>
  <si>
    <t>Año 6</t>
  </si>
  <si>
    <t>KTNO</t>
  </si>
  <si>
    <t>Monto Inversión</t>
  </si>
  <si>
    <t>Deuda</t>
  </si>
  <si>
    <t>Patrimonio</t>
  </si>
  <si>
    <t>Ahorro Tributario</t>
  </si>
  <si>
    <t>Costo Efectivo de la Deuda</t>
  </si>
  <si>
    <t xml:space="preserve">Año 0 </t>
  </si>
  <si>
    <t>Gasto Dep</t>
  </si>
  <si>
    <t>CAPEX</t>
  </si>
  <si>
    <t>Gasto Total Dep</t>
  </si>
  <si>
    <t>Flujo de Caja del Proyecto Puro</t>
  </si>
  <si>
    <t>CMV (-)</t>
  </si>
  <si>
    <t>GAV (-, sin Dep&amp;Amort.)</t>
  </si>
  <si>
    <t>Depreciación &amp; Amortización (-)</t>
  </si>
  <si>
    <t>Resultado antes de impuesto</t>
  </si>
  <si>
    <t>Impuesto de Renta</t>
  </si>
  <si>
    <t>Resultado despues de impuesto</t>
  </si>
  <si>
    <t>Depreciación &amp; Amortización (+)</t>
  </si>
  <si>
    <t>Inversión de los Activos</t>
  </si>
  <si>
    <t>Flujo de Caja Libre de los Activos</t>
  </si>
  <si>
    <t xml:space="preserve">TIR Activos </t>
  </si>
  <si>
    <t>Flujo de Caja de la Deuda</t>
  </si>
  <si>
    <t>Gastos de Intereses</t>
  </si>
  <si>
    <t>Costo efectivo de la deuda</t>
  </si>
  <si>
    <t>Amortización de Capital</t>
  </si>
  <si>
    <t>Desembolso Crédito</t>
  </si>
  <si>
    <t>Flujo Neto de la Deuda</t>
  </si>
  <si>
    <t>Valor Presente Neto (13,5%)</t>
  </si>
  <si>
    <t>Flujo de Caja del Inversionista</t>
  </si>
  <si>
    <t>Flujo de Caja Neto de la Deuda</t>
  </si>
  <si>
    <t>Flujo Neto del Inversionista</t>
  </si>
  <si>
    <t>VPN AJUSTADO</t>
  </si>
  <si>
    <t>TIR PATRIMONIO</t>
  </si>
  <si>
    <t>Periodo</t>
  </si>
  <si>
    <t>Valor Presente</t>
  </si>
  <si>
    <t>Sumatoria</t>
  </si>
  <si>
    <t>Indice de Rentabilidad</t>
  </si>
  <si>
    <t>Payback Descontado</t>
  </si>
  <si>
    <t>Hora</t>
  </si>
  <si>
    <t>Dia</t>
  </si>
  <si>
    <t>Mes</t>
  </si>
  <si>
    <t>Año</t>
  </si>
  <si>
    <t>Ventas</t>
  </si>
  <si>
    <t>Muebles y Enseres</t>
  </si>
  <si>
    <t>Balanza</t>
  </si>
  <si>
    <t>12 (20x20) / 15 mins</t>
  </si>
  <si>
    <t>1 bandeja</t>
  </si>
  <si>
    <t>40cmx60cm</t>
  </si>
  <si>
    <t>Productividad</t>
  </si>
  <si>
    <t>https://exhibirequipos.com/categoria-producto/equipos-panaderia/hornos/</t>
  </si>
  <si>
    <t>Base Horno</t>
  </si>
  <si>
    <t>Horno Bakerlux Unox a gas</t>
  </si>
  <si>
    <t>Costo Tela Algodón CM</t>
  </si>
  <si>
    <t>Costo Tela 20x20cm</t>
  </si>
  <si>
    <t>Vida util (años)</t>
  </si>
  <si>
    <t>Gasto Dep. /Anual</t>
  </si>
  <si>
    <t>12,5cmx2500cm</t>
  </si>
  <si>
    <t>cm2</t>
  </si>
  <si>
    <t>COP/cm2</t>
  </si>
  <si>
    <t>20cmx20cm</t>
  </si>
  <si>
    <t>Vinypel</t>
  </si>
  <si>
    <t>EcoBEE</t>
  </si>
  <si>
    <t>Costo Tela cm2</t>
  </si>
  <si>
    <t>1 Kilo Cera Abeja</t>
  </si>
  <si>
    <t>1 cucharada = 10 gramos</t>
  </si>
  <si>
    <t>1 Kilo = 100 cucharadas</t>
  </si>
  <si>
    <t>3 Cucharadas</t>
  </si>
  <si>
    <t>1 Tarro 300ml Aceite de Coco</t>
  </si>
  <si>
    <t>1 cucharada = 15 ml</t>
  </si>
  <si>
    <t>Costo x MP Pliego (20cmx20cm)</t>
  </si>
  <si>
    <t>2 Asistentes Operativos</t>
  </si>
  <si>
    <t>3 Directores</t>
  </si>
  <si>
    <t>1 SMLV</t>
  </si>
  <si>
    <t>2 SMLV / cu</t>
  </si>
  <si>
    <t>1 SMLV / cu</t>
  </si>
  <si>
    <t>Auxilio Mensual Trans.</t>
  </si>
  <si>
    <t># Salarios MLV</t>
  </si>
  <si>
    <t>Empleado</t>
  </si>
  <si>
    <t>Costo Empleador</t>
  </si>
  <si>
    <t>Caja de Compensación</t>
  </si>
  <si>
    <t>Gasto de Nomina</t>
  </si>
  <si>
    <t>Gasto de Mercadeo</t>
  </si>
  <si>
    <t>Gasto de Logistica</t>
  </si>
  <si>
    <t>Costo MP</t>
  </si>
  <si>
    <t>Impuestos</t>
  </si>
  <si>
    <t>Otros Gastos</t>
  </si>
  <si>
    <t>Otros Ingresos</t>
  </si>
  <si>
    <t>Margen Neto</t>
  </si>
  <si>
    <t>Valor Presente Neto (18%)</t>
  </si>
  <si>
    <t>Acumulado</t>
  </si>
  <si>
    <t>años</t>
  </si>
  <si>
    <t>meses</t>
  </si>
  <si>
    <t>Payback</t>
  </si>
  <si>
    <t>Acumulado VPN</t>
  </si>
  <si>
    <t>TIRM</t>
  </si>
  <si>
    <t>WACC</t>
  </si>
  <si>
    <t>Valor de continuidad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</si>
</sst>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4" formatCode="_-&quot;$&quot;\ * #,##0.00_-;\-&quot;$&quot;\ * #,##0.00_-;_-&quot;$&quot;\ * &quot;-&quot;??_-;_-@_-"/>
    <numFmt numFmtId="164" formatCode="&quot;$&quot;#,##0;[Red]\-&quot;$&quot;#,##0"/>
    <numFmt numFmtId="165" formatCode="_-&quot;$&quot;* #,##0_-;\-&quot;$&quot;* #,##0_-;_-&quot;$&quot;* &quot;-&quot;_-;_-@_-"/>
    <numFmt numFmtId="166" formatCode="_([$$-409]* #,##0_);_([$$-409]* \(#,##0\);_([$$-409]* &quot;-&quot;??_);_(@_)"/>
    <numFmt numFmtId="167" formatCode="0.0%"/>
    <numFmt numFmtId="168" formatCode="_-* #,##0.00_-;\-* #,##0.00_-;_-* &quot;-&quot;_-;_-@_-"/>
    <numFmt numFmtId="169" formatCode="_-&quot;$&quot;* #,##0.00_-;\-&quot;$&quot;* #,##0.00_-;_-&quot;$&quot;* &quot;-&quot;_-;_-@_-"/>
    <numFmt numFmtId="170" formatCode="_([$$-409]* #,##0.00_);_([$$-409]* \(#,##0.00\);_([$$-409]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6" fontId="0" fillId="0" borderId="0" xfId="0" applyNumberFormat="1"/>
    <xf numFmtId="166" fontId="0" fillId="2" borderId="0" xfId="0" applyNumberFormat="1" applyFill="1"/>
    <xf numFmtId="10" fontId="0" fillId="0" borderId="0" xfId="1" applyNumberFormat="1" applyFont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10" fontId="0" fillId="2" borderId="0" xfId="1" applyNumberFormat="1" applyFont="1" applyFill="1"/>
    <xf numFmtId="165" fontId="0" fillId="0" borderId="0" xfId="3" applyFont="1"/>
    <xf numFmtId="165" fontId="0" fillId="0" borderId="0" xfId="0" applyNumberFormat="1"/>
    <xf numFmtId="9" fontId="0" fillId="0" borderId="0" xfId="1" applyFo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5" fontId="0" fillId="0" borderId="1" xfId="3" applyFont="1" applyBorder="1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left" indent="1"/>
    </xf>
    <xf numFmtId="0" fontId="2" fillId="4" borderId="0" xfId="0" applyFont="1" applyFill="1" applyAlignment="1">
      <alignment horizontal="left"/>
    </xf>
    <xf numFmtId="165" fontId="2" fillId="4" borderId="0" xfId="0" applyNumberFormat="1" applyFont="1" applyFill="1"/>
    <xf numFmtId="0" fontId="2" fillId="4" borderId="0" xfId="0" applyFont="1" applyFill="1" applyAlignment="1">
      <alignment horizontal="left" indent="1"/>
    </xf>
    <xf numFmtId="9" fontId="2" fillId="4" borderId="0" xfId="1" applyFont="1" applyFill="1"/>
    <xf numFmtId="0" fontId="0" fillId="4" borderId="0" xfId="0" applyFill="1"/>
    <xf numFmtId="9" fontId="2" fillId="4" borderId="0" xfId="0" applyNumberFormat="1" applyFont="1" applyFill="1"/>
    <xf numFmtId="164" fontId="0" fillId="0" borderId="0" xfId="0" applyNumberFormat="1"/>
    <xf numFmtId="0" fontId="2" fillId="4" borderId="0" xfId="0" applyFont="1" applyFill="1"/>
    <xf numFmtId="168" fontId="2" fillId="4" borderId="0" xfId="4" applyNumberFormat="1" applyFont="1" applyFill="1"/>
    <xf numFmtId="0" fontId="0" fillId="5" borderId="0" xfId="0" applyFill="1"/>
    <xf numFmtId="165" fontId="0" fillId="2" borderId="0" xfId="3" applyFont="1" applyFill="1"/>
    <xf numFmtId="41" fontId="0" fillId="0" borderId="0" xfId="5" applyFont="1"/>
    <xf numFmtId="165" fontId="0" fillId="0" borderId="0" xfId="6" applyFont="1"/>
    <xf numFmtId="0" fontId="0" fillId="0" borderId="0" xfId="0" applyAlignment="1">
      <alignment horizontal="center" vertical="center"/>
    </xf>
    <xf numFmtId="0" fontId="4" fillId="0" borderId="0" xfId="7"/>
    <xf numFmtId="165" fontId="2" fillId="0" borderId="0" xfId="0" applyNumberFormat="1" applyFont="1"/>
    <xf numFmtId="166" fontId="0" fillId="6" borderId="0" xfId="0" applyNumberFormat="1" applyFill="1"/>
    <xf numFmtId="10" fontId="0" fillId="0" borderId="0" xfId="1" applyNumberFormat="1" applyFont="1" applyFill="1"/>
    <xf numFmtId="166" fontId="0" fillId="5" borderId="0" xfId="0" applyNumberFormat="1" applyFill="1"/>
    <xf numFmtId="166" fontId="0" fillId="7" borderId="0" xfId="0" applyNumberFormat="1" applyFill="1"/>
    <xf numFmtId="169" fontId="0" fillId="0" borderId="0" xfId="0" applyNumberFormat="1"/>
    <xf numFmtId="170" fontId="0" fillId="0" borderId="0" xfId="0" applyNumberFormat="1"/>
    <xf numFmtId="168" fontId="0" fillId="0" borderId="0" xfId="5" applyNumberFormat="1" applyFont="1"/>
    <xf numFmtId="165" fontId="0" fillId="8" borderId="0" xfId="0" applyNumberFormat="1" applyFill="1"/>
    <xf numFmtId="165" fontId="0" fillId="8" borderId="0" xfId="6" applyFont="1" applyFill="1"/>
    <xf numFmtId="165" fontId="0" fillId="7" borderId="0" xfId="0" applyNumberFormat="1" applyFill="1"/>
    <xf numFmtId="9" fontId="0" fillId="0" borderId="0" xfId="1" applyFont="1" applyAlignment="1">
      <alignment horizontal="center" vertical="center"/>
    </xf>
    <xf numFmtId="166" fontId="0" fillId="0" borderId="0" xfId="0" applyNumberFormat="1" applyFill="1"/>
    <xf numFmtId="0" fontId="5" fillId="0" borderId="0" xfId="0" applyFont="1"/>
    <xf numFmtId="166" fontId="5" fillId="0" borderId="0" xfId="0" applyNumberFormat="1" applyFont="1" applyFill="1"/>
    <xf numFmtId="165" fontId="5" fillId="0" borderId="0" xfId="6" applyFont="1"/>
    <xf numFmtId="41" fontId="5" fillId="0" borderId="0" xfId="5" applyFont="1"/>
    <xf numFmtId="165" fontId="5" fillId="0" borderId="0" xfId="0" applyNumberFormat="1" applyFont="1"/>
    <xf numFmtId="167" fontId="0" fillId="0" borderId="0" xfId="1" applyNumberFormat="1" applyFont="1"/>
    <xf numFmtId="168" fontId="2" fillId="4" borderId="0" xfId="5" applyNumberFormat="1" applyFont="1" applyFill="1"/>
    <xf numFmtId="10" fontId="2" fillId="4" borderId="0" xfId="1" applyNumberFormat="1" applyFont="1" applyFill="1"/>
    <xf numFmtId="44" fontId="0" fillId="0" borderId="0" xfId="0" applyNumberFormat="1"/>
    <xf numFmtId="165" fontId="2" fillId="4" borderId="0" xfId="6" applyFont="1" applyFill="1"/>
    <xf numFmtId="10" fontId="0" fillId="7" borderId="0" xfId="1" applyNumberFormat="1" applyFont="1" applyFill="1"/>
  </cellXfs>
  <cellStyles count="8">
    <cellStyle name="Comma [0] 2" xfId="4" xr:uid="{1C64A0D0-031D-184F-8C69-30829865B7A9}"/>
    <cellStyle name="Currency [0] 2" xfId="3" xr:uid="{42D9AA2B-D9D8-E14E-BFB4-C8ABF9963634}"/>
    <cellStyle name="Hipervínculo" xfId="7" builtinId="8"/>
    <cellStyle name="Millares [0]" xfId="5" builtinId="6"/>
    <cellStyle name="Moneda [0]" xfId="6" builtinId="7"/>
    <cellStyle name="Normal" xfId="0" builtinId="0"/>
    <cellStyle name="Normal 2" xfId="2" xr:uid="{5786ACF5-45C9-054B-B32A-7E0984717759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76200</xdr:rowOff>
    </xdr:from>
    <xdr:to>
      <xdr:col>17</xdr:col>
      <xdr:colOff>0</xdr:colOff>
      <xdr:row>39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1E8995-C77F-264B-AB38-F44709968878}"/>
            </a:ext>
          </a:extLst>
        </xdr:cNvPr>
        <xdr:cNvSpPr txBox="1"/>
      </xdr:nvSpPr>
      <xdr:spPr>
        <a:xfrm>
          <a:off x="152400" y="279400"/>
          <a:ext cx="13881100" cy="768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u="sng">
              <a:latin typeface="Arial" panose="020B0604020202020204" pitchFamily="34" charset="0"/>
              <a:cs typeface="Arial" panose="020B0604020202020204" pitchFamily="34" charset="0"/>
            </a:rPr>
            <a:t>Trabajo Final Largo Plazo </a:t>
          </a:r>
          <a:r>
            <a:rPr lang="en-US" sz="1400" b="1" u="sng" baseline="0">
              <a:latin typeface="Arial" panose="020B0604020202020204" pitchFamily="34" charset="0"/>
              <a:cs typeface="Arial" panose="020B0604020202020204" pitchFamily="34" charset="0"/>
            </a:rPr>
            <a:t>- Construcción de Flujo de Caja Proyectado y Criterios de Decisión </a:t>
          </a:r>
        </a:p>
        <a:p>
          <a:endParaRPr lang="en-US" sz="1400" b="1" u="sng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="0" u="none">
              <a:latin typeface="Arial" panose="020B0604020202020204" pitchFamily="34" charset="0"/>
              <a:cs typeface="Arial" panose="020B0604020202020204" pitchFamily="34" charset="0"/>
            </a:rPr>
            <a:t>1. Se</a:t>
          </a:r>
          <a:r>
            <a:rPr lang="en-US" sz="1400" b="0" u="none" baseline="0">
              <a:latin typeface="Arial" panose="020B0604020202020204" pitchFamily="34" charset="0"/>
              <a:cs typeface="Arial" panose="020B0604020202020204" pitchFamily="34" charset="0"/>
            </a:rPr>
            <a:t> desarrollarà el modelo financiero, y flujo de caja proyectado (con sus criterios de decisiòn) del poyecto de emprendimiento ECO BEE.</a:t>
          </a:r>
        </a:p>
        <a:p>
          <a:endParaRPr lang="en-US" sz="1400" b="0" u="none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="0" u="none" baseline="0">
              <a:latin typeface="Arial" panose="020B0604020202020204" pitchFamily="34" charset="0"/>
              <a:cs typeface="Arial" panose="020B0604020202020204" pitchFamily="34" charset="0"/>
            </a:rPr>
            <a:t>2. El año base (Año 0) o pre-operativo será el 2020. </a:t>
          </a:r>
        </a:p>
        <a:p>
          <a:endParaRPr lang="en-US" sz="1400" b="0" u="none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12700</xdr:rowOff>
    </xdr:from>
    <xdr:to>
      <xdr:col>15</xdr:col>
      <xdr:colOff>12700</xdr:colOff>
      <xdr:row>20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1E916C-CD27-0548-93E9-8C870A15E5F2}"/>
            </a:ext>
          </a:extLst>
        </xdr:cNvPr>
        <xdr:cNvSpPr txBox="1"/>
      </xdr:nvSpPr>
      <xdr:spPr>
        <a:xfrm>
          <a:off x="850900" y="215900"/>
          <a:ext cx="11544300" cy="403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sng">
              <a:latin typeface="Arial" panose="020B0604020202020204" pitchFamily="34" charset="0"/>
              <a:cs typeface="Arial" panose="020B0604020202020204" pitchFamily="34" charset="0"/>
            </a:rPr>
            <a:t>Conclusión final proyecto. </a:t>
          </a:r>
        </a:p>
        <a:p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xhibirequipos.com/categoria-producto/equipos-panaderia/horn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BDB80-A3ED-574B-8617-C039BE24AEE7}">
  <dimension ref="A1"/>
  <sheetViews>
    <sheetView topLeftCell="A2" workbookViewId="0">
      <selection activeCell="A2" sqref="A2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9791-0344-7A40-A115-1DE1ADED3F8E}">
  <dimension ref="A3:I53"/>
  <sheetViews>
    <sheetView topLeftCell="A4" zoomScale="130" zoomScaleNormal="130" workbookViewId="0">
      <selection activeCell="C26" sqref="C26"/>
    </sheetView>
  </sheetViews>
  <sheetFormatPr baseColWidth="10" defaultRowHeight="15.75" x14ac:dyDescent="0.25"/>
  <cols>
    <col min="1" max="1" width="27.875" bestFit="1" customWidth="1"/>
    <col min="2" max="3" width="19.875" customWidth="1"/>
    <col min="4" max="9" width="15" bestFit="1" customWidth="1"/>
  </cols>
  <sheetData>
    <row r="3" spans="2:9" x14ac:dyDescent="0.25">
      <c r="C3" s="1" t="s">
        <v>11</v>
      </c>
      <c r="D3" s="1" t="s">
        <v>38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39</v>
      </c>
    </row>
    <row r="4" spans="2:9" x14ac:dyDescent="0.25">
      <c r="C4" s="1">
        <v>2020</v>
      </c>
      <c r="D4" s="1">
        <f>C4+1</f>
        <v>2021</v>
      </c>
      <c r="E4" s="1">
        <f t="shared" ref="E4:I4" si="0">D4+1</f>
        <v>2022</v>
      </c>
      <c r="F4" s="1">
        <f t="shared" si="0"/>
        <v>2023</v>
      </c>
      <c r="G4" s="1">
        <f t="shared" si="0"/>
        <v>2024</v>
      </c>
      <c r="H4" s="1">
        <f t="shared" si="0"/>
        <v>2025</v>
      </c>
      <c r="I4" s="1">
        <f t="shared" si="0"/>
        <v>2026</v>
      </c>
    </row>
    <row r="5" spans="2:9" x14ac:dyDescent="0.25">
      <c r="B5" t="s">
        <v>20</v>
      </c>
      <c r="D5" s="7">
        <v>3.5000000000000003E-2</v>
      </c>
      <c r="E5" s="9">
        <v>3.5000000000000003E-2</v>
      </c>
      <c r="F5" s="9">
        <v>0.03</v>
      </c>
      <c r="G5" s="9">
        <f t="shared" ref="G5:I6" si="1">F5</f>
        <v>0.03</v>
      </c>
      <c r="H5" s="9">
        <f t="shared" si="1"/>
        <v>0.03</v>
      </c>
      <c r="I5" s="9">
        <f t="shared" si="1"/>
        <v>0.03</v>
      </c>
    </row>
    <row r="6" spans="2:9" x14ac:dyDescent="0.25">
      <c r="B6" t="s">
        <v>21</v>
      </c>
      <c r="D6" s="7">
        <v>0.03</v>
      </c>
      <c r="E6" s="9">
        <f>D6</f>
        <v>0.03</v>
      </c>
      <c r="F6" s="9">
        <f>E6</f>
        <v>0.03</v>
      </c>
      <c r="G6" s="9">
        <f t="shared" si="1"/>
        <v>0.03</v>
      </c>
      <c r="H6" s="9">
        <f t="shared" si="1"/>
        <v>0.03</v>
      </c>
      <c r="I6" s="9">
        <f t="shared" si="1"/>
        <v>0.03</v>
      </c>
    </row>
    <row r="7" spans="2:9" x14ac:dyDescent="0.25">
      <c r="B7" s="31" t="s">
        <v>22</v>
      </c>
      <c r="D7" s="6">
        <f>B33</f>
        <v>96768</v>
      </c>
      <c r="E7" s="6">
        <f>D7*(1+E6)</f>
        <v>99671.040000000008</v>
      </c>
      <c r="F7" s="6">
        <f>E7*(1+F6)</f>
        <v>102661.17120000001</v>
      </c>
      <c r="G7" s="6">
        <f>F7*(1+G6)</f>
        <v>105741.00633600002</v>
      </c>
      <c r="H7" s="6">
        <f>G7*(1+H6)</f>
        <v>108913.23652608003</v>
      </c>
      <c r="I7" s="6">
        <f>H7*(1+I6)</f>
        <v>112180.63362186243</v>
      </c>
    </row>
    <row r="8" spans="2:9" x14ac:dyDescent="0.25">
      <c r="B8" s="31" t="s">
        <v>23</v>
      </c>
      <c r="D8" s="41">
        <v>5750</v>
      </c>
      <c r="E8" s="41">
        <f>D8*(1+E5)</f>
        <v>5951.2499999999991</v>
      </c>
      <c r="F8" s="41">
        <f>E8*(1+F5)</f>
        <v>6129.7874999999995</v>
      </c>
      <c r="G8" s="41">
        <f>F8*(1+G5)</f>
        <v>6313.6811249999992</v>
      </c>
      <c r="H8" s="41">
        <f>G8*(1+H5)</f>
        <v>6503.0915587499994</v>
      </c>
      <c r="I8" s="41">
        <f>H8*(1+I5)</f>
        <v>6698.1843055125</v>
      </c>
    </row>
    <row r="9" spans="2:9" x14ac:dyDescent="0.25">
      <c r="B9" s="31" t="s">
        <v>82</v>
      </c>
      <c r="D9" s="40">
        <f>D7*D8</f>
        <v>556416000</v>
      </c>
      <c r="E9" s="40">
        <f t="shared" ref="E9:I9" si="2">E7*E8</f>
        <v>593167276.79999995</v>
      </c>
      <c r="F9" s="40">
        <f t="shared" si="2"/>
        <v>629291163.95712006</v>
      </c>
      <c r="G9" s="40">
        <f t="shared" si="2"/>
        <v>667614995.84210861</v>
      </c>
      <c r="H9" s="40">
        <f t="shared" si="2"/>
        <v>708272749.08889318</v>
      </c>
      <c r="I9" s="40">
        <f t="shared" si="2"/>
        <v>751406559.50840688</v>
      </c>
    </row>
    <row r="10" spans="2:9" x14ac:dyDescent="0.25">
      <c r="B10" t="s">
        <v>123</v>
      </c>
      <c r="D10" s="8">
        <f>B53</f>
        <v>0.42539130434782607</v>
      </c>
      <c r="E10" s="8">
        <f>D10</f>
        <v>0.42539130434782607</v>
      </c>
      <c r="F10" s="8">
        <f t="shared" ref="F10:I10" si="3">E10</f>
        <v>0.42539130434782607</v>
      </c>
      <c r="G10" s="8">
        <f t="shared" si="3"/>
        <v>0.42539130434782607</v>
      </c>
      <c r="H10" s="8">
        <f t="shared" si="3"/>
        <v>0.42539130434782607</v>
      </c>
      <c r="I10" s="8">
        <f t="shared" si="3"/>
        <v>0.42539130434782607</v>
      </c>
    </row>
    <row r="11" spans="2:9" x14ac:dyDescent="0.25">
      <c r="B11" s="50" t="s">
        <v>110</v>
      </c>
      <c r="C11" s="50" t="s">
        <v>114</v>
      </c>
      <c r="D11" s="51">
        <f>D18*2*12</f>
        <v>28649558.759999998</v>
      </c>
      <c r="E11" s="51">
        <f>D11*(1+E5)</f>
        <v>29652293.316599995</v>
      </c>
      <c r="F11" s="51">
        <f t="shared" ref="F11:I11" si="4">E11*(1+F5)</f>
        <v>30541862.116097994</v>
      </c>
      <c r="G11" s="51">
        <f t="shared" si="4"/>
        <v>31458117.979580935</v>
      </c>
      <c r="H11" s="51">
        <f t="shared" si="4"/>
        <v>32401861.518968362</v>
      </c>
      <c r="I11" s="51">
        <f t="shared" si="4"/>
        <v>33373917.364537414</v>
      </c>
    </row>
    <row r="12" spans="2:9" x14ac:dyDescent="0.25">
      <c r="B12" s="50" t="s">
        <v>111</v>
      </c>
      <c r="C12" s="50" t="s">
        <v>113</v>
      </c>
      <c r="D12" s="51">
        <f>D19*3*12</f>
        <v>85948676.280000001</v>
      </c>
      <c r="E12" s="51">
        <f>D12*(1+E5)</f>
        <v>88956879.9498</v>
      </c>
      <c r="F12" s="51">
        <f t="shared" ref="F12:I12" si="5">E12*(1+F5)</f>
        <v>91625586.348294005</v>
      </c>
      <c r="G12" s="51">
        <f t="shared" si="5"/>
        <v>94374353.938742831</v>
      </c>
      <c r="H12" s="51">
        <f t="shared" si="5"/>
        <v>97205584.556905121</v>
      </c>
      <c r="I12" s="51">
        <f t="shared" si="5"/>
        <v>100121752.09361228</v>
      </c>
    </row>
    <row r="13" spans="2:9" x14ac:dyDescent="0.25">
      <c r="B13" t="s">
        <v>120</v>
      </c>
      <c r="D13" s="3">
        <f>D11+D12</f>
        <v>114598235.03999999</v>
      </c>
      <c r="E13" s="3">
        <f t="shared" ref="E13:I13" si="6">E11+E12</f>
        <v>118609173.26639999</v>
      </c>
      <c r="F13" s="3">
        <f t="shared" si="6"/>
        <v>122167448.46439201</v>
      </c>
      <c r="G13" s="3">
        <f t="shared" si="6"/>
        <v>125832471.91832377</v>
      </c>
      <c r="H13" s="3">
        <f t="shared" si="6"/>
        <v>129607446.07587348</v>
      </c>
      <c r="I13" s="3">
        <f t="shared" si="6"/>
        <v>133495669.4581497</v>
      </c>
    </row>
    <row r="14" spans="2:9" x14ac:dyDescent="0.25">
      <c r="B14" s="50" t="s">
        <v>112</v>
      </c>
      <c r="C14" s="52">
        <v>877803</v>
      </c>
      <c r="D14" s="50"/>
    </row>
    <row r="15" spans="2:9" x14ac:dyDescent="0.25">
      <c r="B15" s="50" t="s">
        <v>115</v>
      </c>
      <c r="C15" s="52">
        <v>102854</v>
      </c>
      <c r="D15" s="50"/>
    </row>
    <row r="16" spans="2:9" x14ac:dyDescent="0.25">
      <c r="B16" s="50" t="s">
        <v>119</v>
      </c>
      <c r="C16" s="52">
        <v>33125</v>
      </c>
      <c r="D16" s="50"/>
    </row>
    <row r="17" spans="1:9" x14ac:dyDescent="0.25">
      <c r="B17" s="50" t="s">
        <v>116</v>
      </c>
      <c r="C17" s="53" t="s">
        <v>117</v>
      </c>
      <c r="D17" s="50" t="s">
        <v>118</v>
      </c>
      <c r="E17" s="8"/>
      <c r="F17" s="8"/>
      <c r="G17" s="8"/>
      <c r="H17" s="8"/>
      <c r="I17" s="8">
        <f>H17</f>
        <v>0</v>
      </c>
    </row>
    <row r="18" spans="1:9" x14ac:dyDescent="0.25">
      <c r="B18" s="50">
        <v>1</v>
      </c>
      <c r="C18" s="54">
        <f>$B$18*($C$14-(8%*$C$14)+$C$15)</f>
        <v>910432.76</v>
      </c>
      <c r="D18" s="54">
        <f>B18*($C$14+(8.5%+12%)*$C$14+$C$15+$C$16)</f>
        <v>1193731.615</v>
      </c>
    </row>
    <row r="19" spans="1:9" x14ac:dyDescent="0.25">
      <c r="B19" s="50">
        <v>2</v>
      </c>
      <c r="C19" s="54">
        <f>2*C18</f>
        <v>1820865.52</v>
      </c>
      <c r="D19" s="54">
        <f>B19*($C$14+(8.5%+12%)*$C$14+$C$15+$C$16)</f>
        <v>2387463.23</v>
      </c>
    </row>
    <row r="20" spans="1:9" x14ac:dyDescent="0.25">
      <c r="B20" s="50">
        <v>3</v>
      </c>
      <c r="C20" s="54">
        <f>B20*C18</f>
        <v>2731298.2800000003</v>
      </c>
      <c r="D20" s="54">
        <f>B20*($C$14+(8.5%+12%)*$C$14+$C$15+$C$16)</f>
        <v>3581194.8449999997</v>
      </c>
    </row>
    <row r="21" spans="1:9" x14ac:dyDescent="0.25">
      <c r="B21" s="50">
        <v>4</v>
      </c>
      <c r="C21" s="54">
        <f>B21*C18</f>
        <v>3641731.04</v>
      </c>
      <c r="D21" s="54">
        <f>B21*($C$14+(8.5%+12%)*$C$14+$C$15+$C$16)</f>
        <v>4774926.46</v>
      </c>
    </row>
    <row r="22" spans="1:9" x14ac:dyDescent="0.25">
      <c r="B22" t="s">
        <v>121</v>
      </c>
      <c r="C22" s="8">
        <v>0.09</v>
      </c>
      <c r="D22" s="3">
        <f>$C$22*D9</f>
        <v>50077440</v>
      </c>
      <c r="E22" s="3">
        <f>$C$22*E9</f>
        <v>53385054.911999993</v>
      </c>
      <c r="F22" s="3">
        <f t="shared" ref="F22:I22" si="7">$C$22*F9</f>
        <v>56636204.756140806</v>
      </c>
      <c r="G22" s="3">
        <f t="shared" si="7"/>
        <v>60085349.625789769</v>
      </c>
      <c r="H22" s="3">
        <f t="shared" si="7"/>
        <v>63744547.418000385</v>
      </c>
      <c r="I22" s="3">
        <f t="shared" si="7"/>
        <v>67626590.355756611</v>
      </c>
    </row>
    <row r="23" spans="1:9" x14ac:dyDescent="0.25">
      <c r="B23" t="s">
        <v>122</v>
      </c>
      <c r="C23" s="8">
        <v>0.14499999999999999</v>
      </c>
      <c r="D23" s="3">
        <f>$C$23*D9</f>
        <v>80680320</v>
      </c>
      <c r="E23" s="3">
        <f t="shared" ref="E23:I23" si="8">$C$23*E9</f>
        <v>86009255.135999992</v>
      </c>
      <c r="F23" s="3">
        <f t="shared" si="8"/>
        <v>91247218.773782402</v>
      </c>
      <c r="G23" s="3">
        <f t="shared" si="8"/>
        <v>96804174.397105739</v>
      </c>
      <c r="H23" s="3">
        <f t="shared" si="8"/>
        <v>102699548.61788951</v>
      </c>
      <c r="I23" s="3">
        <f t="shared" si="8"/>
        <v>108953951.12871899</v>
      </c>
    </row>
    <row r="24" spans="1:9" x14ac:dyDescent="0.25">
      <c r="B24" t="s">
        <v>124</v>
      </c>
      <c r="C24" s="8">
        <v>0.34</v>
      </c>
      <c r="D24" s="8">
        <f>C24</f>
        <v>0.34</v>
      </c>
      <c r="E24" s="8">
        <f t="shared" ref="E24:I24" si="9">D24</f>
        <v>0.34</v>
      </c>
      <c r="F24" s="8">
        <f t="shared" si="9"/>
        <v>0.34</v>
      </c>
      <c r="G24" s="8">
        <f t="shared" si="9"/>
        <v>0.34</v>
      </c>
      <c r="H24" s="8">
        <f t="shared" si="9"/>
        <v>0.34</v>
      </c>
      <c r="I24" s="8">
        <f t="shared" si="9"/>
        <v>0.34</v>
      </c>
    </row>
    <row r="25" spans="1:9" x14ac:dyDescent="0.25">
      <c r="B25" t="s">
        <v>40</v>
      </c>
      <c r="C25" s="60">
        <v>7.0000000000000007E-2</v>
      </c>
      <c r="D25" s="3">
        <f>$C$25*D9</f>
        <v>38949120</v>
      </c>
      <c r="E25" s="3">
        <f t="shared" ref="E25:I25" si="10">$C$25*E9</f>
        <v>41521709.376000002</v>
      </c>
      <c r="F25" s="3">
        <f t="shared" si="10"/>
        <v>44050381.476998411</v>
      </c>
      <c r="G25" s="3">
        <f t="shared" si="10"/>
        <v>46733049.708947606</v>
      </c>
      <c r="H25" s="3">
        <f t="shared" si="10"/>
        <v>49579092.436222523</v>
      </c>
      <c r="I25" s="3">
        <f t="shared" si="10"/>
        <v>52598459.165588483</v>
      </c>
    </row>
    <row r="27" spans="1:9" x14ac:dyDescent="0.25">
      <c r="A27" t="s">
        <v>86</v>
      </c>
      <c r="B27" t="s">
        <v>87</v>
      </c>
    </row>
    <row r="28" spans="1:9" x14ac:dyDescent="0.25">
      <c r="D28" t="s">
        <v>96</v>
      </c>
    </row>
    <row r="29" spans="1:9" x14ac:dyDescent="0.25">
      <c r="A29" t="s">
        <v>88</v>
      </c>
      <c r="B29" s="35" t="s">
        <v>85</v>
      </c>
      <c r="D29" s="34">
        <v>57000</v>
      </c>
      <c r="E29" t="s">
        <v>100</v>
      </c>
    </row>
    <row r="30" spans="1:9" x14ac:dyDescent="0.25">
      <c r="A30" t="s">
        <v>78</v>
      </c>
      <c r="B30" s="33">
        <f>12*4</f>
        <v>48</v>
      </c>
      <c r="D30">
        <f>12.5*2500</f>
        <v>31250</v>
      </c>
      <c r="E30" t="s">
        <v>97</v>
      </c>
    </row>
    <row r="31" spans="1:9" x14ac:dyDescent="0.25">
      <c r="A31" t="s">
        <v>79</v>
      </c>
      <c r="B31" s="33">
        <f>8*B30</f>
        <v>384</v>
      </c>
      <c r="D31" s="42">
        <f>D30/D29</f>
        <v>0.54824561403508776</v>
      </c>
      <c r="E31" t="s">
        <v>98</v>
      </c>
    </row>
    <row r="32" spans="1:9" x14ac:dyDescent="0.25">
      <c r="A32" t="s">
        <v>80</v>
      </c>
      <c r="B32" s="33">
        <f>21*B31</f>
        <v>8064</v>
      </c>
    </row>
    <row r="33" spans="1:6" x14ac:dyDescent="0.25">
      <c r="A33" t="s">
        <v>81</v>
      </c>
      <c r="B33" s="33">
        <f>B32*12</f>
        <v>96768</v>
      </c>
      <c r="D33" t="s">
        <v>99</v>
      </c>
    </row>
    <row r="34" spans="1:6" x14ac:dyDescent="0.25">
      <c r="D34" s="3">
        <f>D8</f>
        <v>5750</v>
      </c>
      <c r="E34" t="s">
        <v>101</v>
      </c>
    </row>
    <row r="35" spans="1:6" x14ac:dyDescent="0.25">
      <c r="D35">
        <f>20*20</f>
        <v>400</v>
      </c>
      <c r="E35" t="s">
        <v>97</v>
      </c>
    </row>
    <row r="36" spans="1:6" x14ac:dyDescent="0.25">
      <c r="A36" t="s">
        <v>92</v>
      </c>
      <c r="B36" s="34">
        <v>666</v>
      </c>
      <c r="D36" s="43">
        <f>D35/D34</f>
        <v>6.9565217391304349E-2</v>
      </c>
      <c r="E36" t="s">
        <v>98</v>
      </c>
      <c r="F36" s="44">
        <f>D31/D36</f>
        <v>7.8810307017543861</v>
      </c>
    </row>
    <row r="37" spans="1:6" x14ac:dyDescent="0.25">
      <c r="B37">
        <f>30*30</f>
        <v>900</v>
      </c>
    </row>
    <row r="38" spans="1:6" x14ac:dyDescent="0.25">
      <c r="A38" t="s">
        <v>102</v>
      </c>
      <c r="B38" s="42">
        <f>B36/B37</f>
        <v>0.74</v>
      </c>
    </row>
    <row r="39" spans="1:6" x14ac:dyDescent="0.25">
      <c r="A39" t="s">
        <v>93</v>
      </c>
      <c r="B39" s="46">
        <f>(20*20)*B38</f>
        <v>296</v>
      </c>
    </row>
    <row r="41" spans="1:6" x14ac:dyDescent="0.25">
      <c r="A41" t="s">
        <v>103</v>
      </c>
      <c r="B41" s="34">
        <v>20000</v>
      </c>
    </row>
    <row r="42" spans="1:6" x14ac:dyDescent="0.25">
      <c r="B42" s="12">
        <f>B41/1000</f>
        <v>20</v>
      </c>
    </row>
    <row r="43" spans="1:6" x14ac:dyDescent="0.25">
      <c r="A43" t="s">
        <v>104</v>
      </c>
      <c r="B43" s="12">
        <f>10*B42</f>
        <v>200</v>
      </c>
    </row>
    <row r="44" spans="1:6" x14ac:dyDescent="0.25">
      <c r="A44" t="s">
        <v>105</v>
      </c>
      <c r="B44">
        <f>1000/10</f>
        <v>100</v>
      </c>
    </row>
    <row r="46" spans="1:6" x14ac:dyDescent="0.25">
      <c r="A46" t="s">
        <v>106</v>
      </c>
      <c r="B46" s="45">
        <f>B43*3</f>
        <v>600</v>
      </c>
    </row>
    <row r="48" spans="1:6" x14ac:dyDescent="0.25">
      <c r="A48" t="s">
        <v>107</v>
      </c>
      <c r="B48" s="34">
        <v>31000</v>
      </c>
    </row>
    <row r="49" spans="1:2" x14ac:dyDescent="0.25">
      <c r="B49" s="12">
        <f>B48/300</f>
        <v>103.33333333333333</v>
      </c>
    </row>
    <row r="50" spans="1:2" x14ac:dyDescent="0.25">
      <c r="A50" t="s">
        <v>108</v>
      </c>
      <c r="B50" s="45">
        <f>15*B49</f>
        <v>1550</v>
      </c>
    </row>
    <row r="52" spans="1:2" x14ac:dyDescent="0.25">
      <c r="A52" t="s">
        <v>109</v>
      </c>
      <c r="B52" s="47">
        <f>B39+B46+B50</f>
        <v>2446</v>
      </c>
    </row>
    <row r="53" spans="1:2" x14ac:dyDescent="0.25">
      <c r="B53" s="48">
        <f>B52/D8</f>
        <v>0.42539130434782607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17AF-1138-1446-A735-67354C9FD1B4}">
  <dimension ref="A7:T80"/>
  <sheetViews>
    <sheetView topLeftCell="L1" zoomScale="120" zoomScaleNormal="120" workbookViewId="0">
      <selection activeCell="O28" sqref="O28"/>
    </sheetView>
  </sheetViews>
  <sheetFormatPr baseColWidth="10" defaultRowHeight="15.75" x14ac:dyDescent="0.25"/>
  <cols>
    <col min="11" max="11" width="41.875" customWidth="1"/>
    <col min="13" max="13" width="17.625" bestFit="1" customWidth="1"/>
    <col min="14" max="14" width="17.625" customWidth="1"/>
    <col min="15" max="15" width="16" bestFit="1" customWidth="1"/>
    <col min="16" max="20" width="15" bestFit="1" customWidth="1"/>
  </cols>
  <sheetData>
    <row r="7" spans="1:20" x14ac:dyDescent="0.25">
      <c r="A7" t="s">
        <v>0</v>
      </c>
      <c r="N7" s="1" t="s">
        <v>11</v>
      </c>
      <c r="O7" s="1" t="s">
        <v>38</v>
      </c>
      <c r="P7" s="1" t="s">
        <v>13</v>
      </c>
      <c r="Q7" s="1" t="s">
        <v>14</v>
      </c>
      <c r="R7" s="1" t="s">
        <v>15</v>
      </c>
      <c r="S7" s="1" t="s">
        <v>16</v>
      </c>
      <c r="T7" s="1" t="s">
        <v>39</v>
      </c>
    </row>
    <row r="8" spans="1:20" x14ac:dyDescent="0.25">
      <c r="B8" t="s">
        <v>1</v>
      </c>
      <c r="M8" s="2" t="s">
        <v>17</v>
      </c>
      <c r="N8" s="2">
        <v>2020</v>
      </c>
      <c r="O8" s="1">
        <f>N8+1</f>
        <v>2021</v>
      </c>
      <c r="P8" s="1">
        <f t="shared" ref="P8:T8" si="0">O8+1</f>
        <v>2022</v>
      </c>
      <c r="Q8" s="1">
        <f t="shared" si="0"/>
        <v>2023</v>
      </c>
      <c r="R8" s="1">
        <f t="shared" si="0"/>
        <v>2024</v>
      </c>
      <c r="S8" s="1">
        <f t="shared" si="0"/>
        <v>2025</v>
      </c>
      <c r="T8" s="1">
        <f t="shared" si="0"/>
        <v>2026</v>
      </c>
    </row>
    <row r="9" spans="1:20" x14ac:dyDescent="0.25">
      <c r="K9" t="s">
        <v>2</v>
      </c>
      <c r="M9" s="3"/>
      <c r="N9" s="3">
        <v>0</v>
      </c>
      <c r="O9" s="4">
        <f>'Hoja de supuestos'!D7*'Hoja de supuestos'!D8</f>
        <v>556416000</v>
      </c>
      <c r="P9" s="4">
        <f>'Hoja de supuestos'!E7*'Hoja de supuestos'!E8</f>
        <v>593167276.79999995</v>
      </c>
      <c r="Q9" s="4">
        <f>'Hoja de supuestos'!F7*'Hoja de supuestos'!F8</f>
        <v>629291163.95712006</v>
      </c>
      <c r="R9" s="4">
        <f>'Hoja de supuestos'!G7*'Hoja de supuestos'!G8</f>
        <v>667614995.84210861</v>
      </c>
      <c r="S9" s="4">
        <f>'Hoja de supuestos'!H7*'Hoja de supuestos'!H8</f>
        <v>708272749.08889318</v>
      </c>
      <c r="T9" s="4">
        <f>'Hoja de supuestos'!I7*'Hoja de supuestos'!I8</f>
        <v>751406559.50840688</v>
      </c>
    </row>
    <row r="10" spans="1:20" x14ac:dyDescent="0.25">
      <c r="K10" t="s">
        <v>3</v>
      </c>
      <c r="M10" s="3"/>
      <c r="N10" s="3">
        <v>0</v>
      </c>
      <c r="O10" s="4">
        <f>O9*'Hoja de supuestos'!D10</f>
        <v>236694528</v>
      </c>
      <c r="P10" s="3">
        <f>P9*'Hoja de supuestos'!E10</f>
        <v>252328201.57439998</v>
      </c>
      <c r="Q10" s="3">
        <f>Q9*'Hoja de supuestos'!F10</f>
        <v>267694989.05028099</v>
      </c>
      <c r="R10" s="3">
        <f>R9*'Hoja de supuestos'!G10</f>
        <v>283997613.88344306</v>
      </c>
      <c r="S10" s="3">
        <f>S9*'Hoja de supuestos'!H10</f>
        <v>301293068.56894481</v>
      </c>
      <c r="T10" s="3">
        <f>T9*'Hoja de supuestos'!I10</f>
        <v>319641816.44479358</v>
      </c>
    </row>
    <row r="11" spans="1:20" x14ac:dyDescent="0.25">
      <c r="K11" t="s">
        <v>4</v>
      </c>
      <c r="M11" s="3"/>
      <c r="N11" s="3">
        <v>0</v>
      </c>
      <c r="O11" s="3">
        <f>O9-O10</f>
        <v>319721472</v>
      </c>
      <c r="P11" s="3">
        <f t="shared" ref="P11:T11" si="1">P9-P10</f>
        <v>340839075.2256</v>
      </c>
      <c r="Q11" s="3">
        <f t="shared" si="1"/>
        <v>361596174.90683907</v>
      </c>
      <c r="R11" s="3">
        <f t="shared" si="1"/>
        <v>383617381.95866555</v>
      </c>
      <c r="S11" s="3">
        <f t="shared" si="1"/>
        <v>406979680.51994836</v>
      </c>
      <c r="T11" s="3">
        <f t="shared" si="1"/>
        <v>431764743.0636133</v>
      </c>
    </row>
    <row r="12" spans="1:20" x14ac:dyDescent="0.25">
      <c r="K12" t="s">
        <v>18</v>
      </c>
      <c r="M12" s="3"/>
      <c r="N12" s="3"/>
      <c r="O12" s="5">
        <f>O11/O9</f>
        <v>0.57460869565217387</v>
      </c>
      <c r="P12" s="5">
        <f t="shared" ref="P12:T12" si="2">P11/P9</f>
        <v>0.57460869565217398</v>
      </c>
      <c r="Q12" s="5">
        <f t="shared" si="2"/>
        <v>0.57460869565217387</v>
      </c>
      <c r="R12" s="5">
        <f t="shared" si="2"/>
        <v>0.57460869565217398</v>
      </c>
      <c r="S12" s="5">
        <f t="shared" si="2"/>
        <v>0.57460869565217387</v>
      </c>
      <c r="T12" s="5">
        <f t="shared" si="2"/>
        <v>0.57460869565217398</v>
      </c>
    </row>
    <row r="13" spans="1:20" x14ac:dyDescent="0.25">
      <c r="K13" t="s">
        <v>5</v>
      </c>
      <c r="M13" s="3"/>
      <c r="N13" s="3">
        <v>0</v>
      </c>
      <c r="O13" s="4">
        <f>'Hoja de supuestos'!D22+'Hoja de supuestos'!D23</f>
        <v>130757760</v>
      </c>
      <c r="P13" s="49">
        <f>'Hoja de supuestos'!E22+'Hoja de supuestos'!E23</f>
        <v>139394310.04799998</v>
      </c>
      <c r="Q13" s="49">
        <f>'Hoja de supuestos'!F22+'Hoja de supuestos'!F23</f>
        <v>147883423.5299232</v>
      </c>
      <c r="R13" s="49">
        <f>'Hoja de supuestos'!G22+'Hoja de supuestos'!G23</f>
        <v>156889524.02289551</v>
      </c>
      <c r="S13" s="49">
        <f>'Hoja de supuestos'!H22+'Hoja de supuestos'!H23</f>
        <v>166444096.03588989</v>
      </c>
      <c r="T13" s="49">
        <f>'Hoja de supuestos'!I22+'Hoja de supuestos'!I23</f>
        <v>176580541.48447561</v>
      </c>
    </row>
    <row r="14" spans="1:20" x14ac:dyDescent="0.25">
      <c r="M14" s="3"/>
      <c r="N14" s="3"/>
      <c r="O14" s="10"/>
      <c r="P14" s="5"/>
      <c r="Q14" s="5"/>
      <c r="R14" s="5"/>
      <c r="S14" s="5"/>
      <c r="T14" s="5"/>
    </row>
    <row r="15" spans="1:20" x14ac:dyDescent="0.25">
      <c r="K15" t="s">
        <v>120</v>
      </c>
      <c r="M15" s="3"/>
      <c r="N15" s="3">
        <v>0</v>
      </c>
      <c r="O15" s="4">
        <f>'Hoja de supuestos'!D13</f>
        <v>114598235.03999999</v>
      </c>
      <c r="P15" s="3">
        <f>'Hoja de supuestos'!E13</f>
        <v>118609173.26639999</v>
      </c>
      <c r="Q15" s="3">
        <f>'Hoja de supuestos'!F13</f>
        <v>122167448.46439201</v>
      </c>
      <c r="R15" s="3">
        <f>'Hoja de supuestos'!G13</f>
        <v>125832471.91832377</v>
      </c>
      <c r="S15" s="3">
        <f>'Hoja de supuestos'!H13</f>
        <v>129607446.07587348</v>
      </c>
      <c r="T15" s="3">
        <f>'Hoja de supuestos'!I13</f>
        <v>133495669.4581497</v>
      </c>
    </row>
    <row r="16" spans="1:20" x14ac:dyDescent="0.25">
      <c r="K16" t="s">
        <v>24</v>
      </c>
      <c r="M16" s="3"/>
      <c r="N16" s="3">
        <v>0</v>
      </c>
      <c r="O16" s="38">
        <f>'Maq&amp;Equipos y Depreciación'!D14</f>
        <v>3119520</v>
      </c>
      <c r="P16" s="38">
        <f>'Maq&amp;Equipos y Depreciación'!E14</f>
        <v>3119520</v>
      </c>
      <c r="Q16" s="38">
        <f>'Maq&amp;Equipos y Depreciación'!F14</f>
        <v>3119520</v>
      </c>
      <c r="R16" s="38">
        <f>'Maq&amp;Equipos y Depreciación'!G14</f>
        <v>3119520</v>
      </c>
      <c r="S16" s="38">
        <f>'Maq&amp;Equipos y Depreciación'!H14</f>
        <v>3119520</v>
      </c>
      <c r="T16" s="38">
        <f>'Maq&amp;Equipos y Depreciación'!I14</f>
        <v>3119520</v>
      </c>
    </row>
    <row r="17" spans="11:20" x14ac:dyDescent="0.25">
      <c r="M17" s="3"/>
      <c r="N17" s="3"/>
      <c r="O17" s="39"/>
      <c r="P17" s="5"/>
      <c r="Q17" s="5"/>
      <c r="R17" s="5"/>
      <c r="S17" s="5"/>
      <c r="T17" s="5"/>
    </row>
    <row r="18" spans="11:20" x14ac:dyDescent="0.25">
      <c r="K18" t="s">
        <v>6</v>
      </c>
      <c r="M18" s="3"/>
      <c r="N18" s="3">
        <v>0</v>
      </c>
      <c r="O18" s="3">
        <f>O11-O13-O15-O16</f>
        <v>71245956.960000008</v>
      </c>
      <c r="P18" s="3">
        <f t="shared" ref="P18:T18" si="3">P11-P13-P15-P16</f>
        <v>79716071.911200032</v>
      </c>
      <c r="Q18" s="3">
        <f t="shared" si="3"/>
        <v>88425782.912523866</v>
      </c>
      <c r="R18" s="3">
        <f t="shared" si="3"/>
        <v>97775866.017446265</v>
      </c>
      <c r="S18" s="3">
        <f t="shared" si="3"/>
        <v>107808618.40818499</v>
      </c>
      <c r="T18" s="3">
        <f t="shared" si="3"/>
        <v>118569012.12098798</v>
      </c>
    </row>
    <row r="19" spans="11:20" x14ac:dyDescent="0.25">
      <c r="K19" t="s">
        <v>19</v>
      </c>
      <c r="M19" s="3"/>
      <c r="N19" s="3"/>
      <c r="O19" s="5">
        <f>O18/O9</f>
        <v>0.1280444073498965</v>
      </c>
      <c r="P19" s="5">
        <f t="shared" ref="P19:T19" si="4">P18/P9</f>
        <v>0.13439054214394591</v>
      </c>
      <c r="Q19" s="5">
        <f t="shared" si="4"/>
        <v>0.14051648581315407</v>
      </c>
      <c r="R19" s="5">
        <f t="shared" si="4"/>
        <v>0.14645546703772711</v>
      </c>
      <c r="S19" s="5">
        <f t="shared" si="4"/>
        <v>0.15221342137879465</v>
      </c>
      <c r="T19" s="5">
        <f t="shared" si="4"/>
        <v>0.15779608338601603</v>
      </c>
    </row>
    <row r="20" spans="11:20" x14ac:dyDescent="0.25">
      <c r="K20" t="s">
        <v>7</v>
      </c>
      <c r="M20" s="3"/>
      <c r="N20" s="3">
        <v>0</v>
      </c>
      <c r="O20" s="3">
        <f>'Amortización deuda'!D7</f>
        <v>2640594.6</v>
      </c>
      <c r="P20" s="3">
        <f>'Amortización deuda'!E7</f>
        <v>2500677.4720443799</v>
      </c>
      <c r="Q20" s="3">
        <f>'Amortización deuda'!F7</f>
        <v>2341871.5318147507</v>
      </c>
      <c r="R20" s="3">
        <f>'Amortización deuda'!G7</f>
        <v>2161626.7896541217</v>
      </c>
      <c r="S20" s="3">
        <f>'Amortización deuda'!H7</f>
        <v>1957049.0073018081</v>
      </c>
      <c r="T20" s="3">
        <f>'Amortización deuda'!I7</f>
        <v>1724853.2243319317</v>
      </c>
    </row>
    <row r="21" spans="11:20" x14ac:dyDescent="0.25">
      <c r="K21" t="s">
        <v>125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</row>
    <row r="22" spans="11:20" x14ac:dyDescent="0.25">
      <c r="K22" t="s">
        <v>126</v>
      </c>
      <c r="M22" s="3"/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</row>
    <row r="23" spans="11:20" x14ac:dyDescent="0.25">
      <c r="K23" t="s">
        <v>8</v>
      </c>
      <c r="M23" s="3"/>
      <c r="N23" s="3">
        <v>0</v>
      </c>
      <c r="O23" s="3">
        <f>O18-O20-O21+O22</f>
        <v>68605362.360000014</v>
      </c>
      <c r="P23" s="3">
        <f>P18-P20</f>
        <v>77215394.439155653</v>
      </c>
      <c r="Q23" s="3">
        <f>Q18-Q20</f>
        <v>86083911.380709112</v>
      </c>
      <c r="R23" s="3">
        <f>R18-R20</f>
        <v>95614239.227792144</v>
      </c>
      <c r="S23" s="3">
        <f>S18-S20</f>
        <v>105851569.40088318</v>
      </c>
      <c r="T23" s="3">
        <f>T18-T20</f>
        <v>116844158.89665605</v>
      </c>
    </row>
    <row r="24" spans="11:20" x14ac:dyDescent="0.25">
      <c r="K24" t="s">
        <v>9</v>
      </c>
      <c r="M24" s="3"/>
      <c r="N24" s="3">
        <v>0</v>
      </c>
      <c r="O24" s="3">
        <f>-'Hoja de supuestos'!D24*PyG!O23</f>
        <v>-23325823.202400006</v>
      </c>
      <c r="P24" s="3">
        <f>-'Hoja de supuestos'!E24*PyG!P23</f>
        <v>-26253234.109312925</v>
      </c>
      <c r="Q24" s="3">
        <f>-'Hoja de supuestos'!F24*PyG!Q23</f>
        <v>-29268529.869441099</v>
      </c>
      <c r="R24" s="3">
        <f>-'Hoja de supuestos'!G24*PyG!R23</f>
        <v>-32508841.337449331</v>
      </c>
      <c r="S24" s="3">
        <f>-'Hoja de supuestos'!H24*PyG!S23</f>
        <v>-35989533.596300282</v>
      </c>
      <c r="T24" s="3">
        <f>-'Hoja de supuestos'!I24*PyG!T23</f>
        <v>-39727014.024863057</v>
      </c>
    </row>
    <row r="25" spans="11:20" x14ac:dyDescent="0.25">
      <c r="K25" t="s">
        <v>10</v>
      </c>
      <c r="M25" s="3"/>
      <c r="N25" s="3">
        <v>0</v>
      </c>
      <c r="O25" s="3">
        <f>O23+O24</f>
        <v>45279539.157600008</v>
      </c>
      <c r="P25" s="3">
        <f t="shared" ref="P25:T25" si="5">P23+P24</f>
        <v>50962160.329842731</v>
      </c>
      <c r="Q25" s="3">
        <f t="shared" si="5"/>
        <v>56815381.511268012</v>
      </c>
      <c r="R25" s="3">
        <f t="shared" si="5"/>
        <v>63105397.890342817</v>
      </c>
      <c r="S25" s="3">
        <f t="shared" si="5"/>
        <v>69862035.804582894</v>
      </c>
      <c r="T25" s="3">
        <f t="shared" si="5"/>
        <v>77117144.871793002</v>
      </c>
    </row>
    <row r="26" spans="11:20" x14ac:dyDescent="0.25">
      <c r="K26" t="s">
        <v>127</v>
      </c>
      <c r="M26" s="3"/>
      <c r="N26" s="3">
        <v>0</v>
      </c>
      <c r="O26" s="55">
        <f>O25/O9</f>
        <v>8.1377133579192559E-2</v>
      </c>
      <c r="P26" s="55">
        <f t="shared" ref="P26:T26" si="6">P25/P9</f>
        <v>8.5915326625520844E-2</v>
      </c>
      <c r="Q26" s="55">
        <f t="shared" si="6"/>
        <v>9.0284727905601769E-2</v>
      </c>
      <c r="R26" s="55">
        <f t="shared" si="6"/>
        <v>9.4523637550626982E-2</v>
      </c>
      <c r="S26" s="55">
        <f t="shared" si="6"/>
        <v>9.86371929379634E-2</v>
      </c>
      <c r="T26" s="55">
        <f t="shared" si="6"/>
        <v>0.10263038550294983</v>
      </c>
    </row>
    <row r="27" spans="11:20" x14ac:dyDescent="0.25">
      <c r="O27" s="3"/>
    </row>
    <row r="29" spans="11:20" x14ac:dyDescent="0.25">
      <c r="N29" s="1" t="s">
        <v>11</v>
      </c>
      <c r="O29" s="1" t="s">
        <v>38</v>
      </c>
      <c r="P29" s="1" t="s">
        <v>13</v>
      </c>
      <c r="Q29" s="1" t="s">
        <v>14</v>
      </c>
      <c r="R29" s="1" t="s">
        <v>15</v>
      </c>
      <c r="S29" s="1" t="s">
        <v>16</v>
      </c>
      <c r="T29" s="1" t="s">
        <v>39</v>
      </c>
    </row>
    <row r="30" spans="11:20" x14ac:dyDescent="0.25">
      <c r="M30" s="2"/>
      <c r="N30" s="2"/>
      <c r="O30" s="1"/>
      <c r="P30" s="2">
        <v>2019</v>
      </c>
      <c r="Q30" s="2">
        <v>2020</v>
      </c>
      <c r="R30" s="2">
        <v>2021</v>
      </c>
      <c r="S30" s="2">
        <v>2022</v>
      </c>
      <c r="T30" s="2">
        <v>2023</v>
      </c>
    </row>
    <row r="33" spans="15:15" x14ac:dyDescent="0.25">
      <c r="O33" s="3"/>
    </row>
    <row r="34" spans="15:15" x14ac:dyDescent="0.25">
      <c r="O34" s="3"/>
    </row>
    <row r="35" spans="15:15" x14ac:dyDescent="0.25">
      <c r="O35" s="3"/>
    </row>
    <row r="36" spans="15:15" x14ac:dyDescent="0.25">
      <c r="O36" s="3"/>
    </row>
    <row r="37" spans="15:15" x14ac:dyDescent="0.25">
      <c r="O37" s="3"/>
    </row>
    <row r="38" spans="15:15" x14ac:dyDescent="0.25">
      <c r="O38" s="3"/>
    </row>
    <row r="39" spans="15:15" x14ac:dyDescent="0.25">
      <c r="O39" s="3"/>
    </row>
    <row r="40" spans="15:15" x14ac:dyDescent="0.25">
      <c r="O40" s="3"/>
    </row>
    <row r="41" spans="15:15" x14ac:dyDescent="0.25">
      <c r="O41" s="3"/>
    </row>
    <row r="42" spans="15:15" x14ac:dyDescent="0.25">
      <c r="O42" s="3"/>
    </row>
    <row r="43" spans="15:15" x14ac:dyDescent="0.25">
      <c r="O43" s="3"/>
    </row>
    <row r="44" spans="15:15" x14ac:dyDescent="0.25">
      <c r="O44" s="3"/>
    </row>
    <row r="45" spans="15:15" x14ac:dyDescent="0.25">
      <c r="O45" s="3"/>
    </row>
    <row r="46" spans="15:15" x14ac:dyDescent="0.25">
      <c r="O46" s="3"/>
    </row>
    <row r="47" spans="15:15" x14ac:dyDescent="0.25">
      <c r="O47" s="3"/>
    </row>
    <row r="52" spans="15:15" x14ac:dyDescent="0.25">
      <c r="O52" s="3"/>
    </row>
    <row r="53" spans="15:15" x14ac:dyDescent="0.25">
      <c r="O53" s="3"/>
    </row>
    <row r="54" spans="15:15" x14ac:dyDescent="0.25">
      <c r="O54" s="3"/>
    </row>
    <row r="55" spans="15:15" x14ac:dyDescent="0.25">
      <c r="O55" s="3"/>
    </row>
    <row r="57" spans="15:15" x14ac:dyDescent="0.25">
      <c r="O57" s="3"/>
    </row>
    <row r="58" spans="15:15" x14ac:dyDescent="0.25">
      <c r="O58" s="3"/>
    </row>
    <row r="59" spans="15:15" x14ac:dyDescent="0.25">
      <c r="O59" s="3"/>
    </row>
    <row r="60" spans="15:15" x14ac:dyDescent="0.25">
      <c r="O60" s="3"/>
    </row>
    <row r="63" spans="15:15" x14ac:dyDescent="0.25">
      <c r="O63" s="11"/>
    </row>
    <row r="64" spans="15:15" x14ac:dyDescent="0.25">
      <c r="O64" s="11"/>
    </row>
    <row r="65" spans="15:15" x14ac:dyDescent="0.25">
      <c r="O65" s="11"/>
    </row>
    <row r="66" spans="15:15" x14ac:dyDescent="0.25">
      <c r="O66" s="11"/>
    </row>
    <row r="67" spans="15:15" x14ac:dyDescent="0.25">
      <c r="O67" s="12"/>
    </row>
    <row r="68" spans="15:15" x14ac:dyDescent="0.25">
      <c r="O68" s="12"/>
    </row>
    <row r="70" spans="15:15" x14ac:dyDescent="0.25">
      <c r="O70" s="11"/>
    </row>
    <row r="71" spans="15:15" x14ac:dyDescent="0.25">
      <c r="O71" s="11"/>
    </row>
    <row r="72" spans="15:15" x14ac:dyDescent="0.25">
      <c r="O72" s="11"/>
    </row>
    <row r="73" spans="15:15" x14ac:dyDescent="0.25">
      <c r="O73" s="11"/>
    </row>
    <row r="74" spans="15:15" x14ac:dyDescent="0.25">
      <c r="O74" s="11"/>
    </row>
    <row r="75" spans="15:15" x14ac:dyDescent="0.25">
      <c r="O75" s="11"/>
    </row>
    <row r="78" spans="15:15" x14ac:dyDescent="0.25">
      <c r="O78" s="3"/>
    </row>
    <row r="79" spans="15:15" x14ac:dyDescent="0.25">
      <c r="O79" s="3"/>
    </row>
    <row r="80" spans="15:15" x14ac:dyDescent="0.25">
      <c r="O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9DA3-480A-6B4F-A207-49229246A920}">
  <dimension ref="B2:J20"/>
  <sheetViews>
    <sheetView workbookViewId="0">
      <selection activeCell="E14" sqref="E14"/>
    </sheetView>
  </sheetViews>
  <sheetFormatPr baseColWidth="10" defaultRowHeight="15.75" x14ac:dyDescent="0.25"/>
  <cols>
    <col min="1" max="1" width="9.625" customWidth="1"/>
    <col min="2" max="2" width="23.375" bestFit="1" customWidth="1"/>
    <col min="3" max="3" width="14.875" customWidth="1"/>
    <col min="4" max="4" width="16" bestFit="1" customWidth="1"/>
    <col min="5" max="5" width="16.375" bestFit="1" customWidth="1"/>
    <col min="6" max="9" width="13.5" bestFit="1" customWidth="1"/>
  </cols>
  <sheetData>
    <row r="2" spans="2:10" x14ac:dyDescent="0.25">
      <c r="D2" s="35" t="s">
        <v>94</v>
      </c>
      <c r="E2" t="s">
        <v>95</v>
      </c>
    </row>
    <row r="3" spans="2:10" x14ac:dyDescent="0.25">
      <c r="B3" t="s">
        <v>91</v>
      </c>
      <c r="C3" s="34">
        <v>17992800</v>
      </c>
      <c r="D3">
        <v>15</v>
      </c>
      <c r="E3" s="12">
        <f>C3/D3</f>
        <v>1199520</v>
      </c>
    </row>
    <row r="4" spans="2:10" x14ac:dyDescent="0.25">
      <c r="B4" t="s">
        <v>90</v>
      </c>
      <c r="C4" s="34">
        <v>700000</v>
      </c>
      <c r="D4">
        <v>10</v>
      </c>
      <c r="E4" s="12">
        <f t="shared" ref="E4:E6" si="0">C4/D4</f>
        <v>70000</v>
      </c>
    </row>
    <row r="5" spans="2:10" x14ac:dyDescent="0.25">
      <c r="B5" t="s">
        <v>83</v>
      </c>
      <c r="C5" s="34">
        <v>9000000</v>
      </c>
      <c r="D5">
        <v>5</v>
      </c>
      <c r="E5" s="12">
        <f t="shared" si="0"/>
        <v>1800000</v>
      </c>
    </row>
    <row r="6" spans="2:10" x14ac:dyDescent="0.25">
      <c r="B6" t="s">
        <v>84</v>
      </c>
      <c r="C6" s="34">
        <v>250000</v>
      </c>
      <c r="D6">
        <v>5</v>
      </c>
      <c r="E6" s="12">
        <f t="shared" si="0"/>
        <v>50000</v>
      </c>
    </row>
    <row r="7" spans="2:10" x14ac:dyDescent="0.25">
      <c r="C7" s="23">
        <f>SUM(C3:C6)</f>
        <v>27942800</v>
      </c>
      <c r="E7" s="37">
        <f>SUM(E3:E6)</f>
        <v>3119520</v>
      </c>
    </row>
    <row r="10" spans="2:10" x14ac:dyDescent="0.25">
      <c r="C10" s="1" t="s">
        <v>46</v>
      </c>
      <c r="D10" s="1" t="s">
        <v>38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39</v>
      </c>
    </row>
    <row r="11" spans="2:10" x14ac:dyDescent="0.25">
      <c r="B11" s="2" t="s">
        <v>17</v>
      </c>
      <c r="C11" s="1">
        <v>2020</v>
      </c>
      <c r="D11" s="1">
        <f>C11+1</f>
        <v>2021</v>
      </c>
      <c r="E11" s="2">
        <f>D11+1</f>
        <v>2022</v>
      </c>
      <c r="F11" s="2">
        <f t="shared" ref="F11:I11" si="1">E11+1</f>
        <v>2023</v>
      </c>
      <c r="G11" s="2">
        <f t="shared" si="1"/>
        <v>2024</v>
      </c>
      <c r="H11" s="2">
        <f t="shared" si="1"/>
        <v>2025</v>
      </c>
      <c r="I11" s="2">
        <f t="shared" si="1"/>
        <v>2026</v>
      </c>
    </row>
    <row r="12" spans="2:10" x14ac:dyDescent="0.25">
      <c r="B12" t="s">
        <v>25</v>
      </c>
      <c r="C12" s="4">
        <f>-SUM(C3:C6)</f>
        <v>-27942800</v>
      </c>
      <c r="D12" s="3">
        <f>-C12-D14</f>
        <v>24823280</v>
      </c>
      <c r="E12" s="3">
        <f>D12-D14</f>
        <v>21703760</v>
      </c>
      <c r="F12" s="3">
        <f>E12-E14</f>
        <v>18584240</v>
      </c>
      <c r="G12" s="3">
        <f>F12-F14</f>
        <v>15464720</v>
      </c>
      <c r="H12" s="3">
        <f>G12-G14</f>
        <v>12345200</v>
      </c>
      <c r="I12" s="3">
        <f>H12-H14</f>
        <v>9225680</v>
      </c>
    </row>
    <row r="13" spans="2:10" x14ac:dyDescent="0.25">
      <c r="D13" s="5">
        <f>PyG!O16/'Maq&amp;Equipos y Depreciación'!D12</f>
        <v>0.1256691299457606</v>
      </c>
      <c r="E13" s="5">
        <f>D13</f>
        <v>0.1256691299457606</v>
      </c>
      <c r="F13" s="5">
        <f>E13</f>
        <v>0.1256691299457606</v>
      </c>
      <c r="G13" s="5">
        <f>F13</f>
        <v>0.1256691299457606</v>
      </c>
      <c r="H13" s="5">
        <f>G13</f>
        <v>0.1256691299457606</v>
      </c>
      <c r="I13" s="5">
        <f>H13</f>
        <v>0.1256691299457606</v>
      </c>
      <c r="J13" s="5"/>
    </row>
    <row r="14" spans="2:10" x14ac:dyDescent="0.25">
      <c r="B14" t="s">
        <v>47</v>
      </c>
      <c r="D14" s="3">
        <f>$E$7</f>
        <v>3119520</v>
      </c>
      <c r="E14" s="3">
        <f t="shared" ref="E14:I14" si="2">$E$7</f>
        <v>3119520</v>
      </c>
      <c r="F14" s="3">
        <f t="shared" si="2"/>
        <v>3119520</v>
      </c>
      <c r="G14" s="3">
        <f t="shared" si="2"/>
        <v>3119520</v>
      </c>
      <c r="H14" s="3">
        <f t="shared" si="2"/>
        <v>3119520</v>
      </c>
      <c r="I14" s="3">
        <f t="shared" si="2"/>
        <v>3119520</v>
      </c>
    </row>
    <row r="16" spans="2:10" x14ac:dyDescent="0.25">
      <c r="B16" t="s">
        <v>48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f>-H16-H18</f>
        <v>0</v>
      </c>
    </row>
    <row r="17" spans="2:9" x14ac:dyDescent="0.25">
      <c r="H17" s="13">
        <f>(1/5)</f>
        <v>0.2</v>
      </c>
      <c r="I17" s="8">
        <f>H17</f>
        <v>0.2</v>
      </c>
    </row>
    <row r="18" spans="2:9" x14ac:dyDescent="0.25">
      <c r="H18" s="11">
        <f>-H16*$H$17</f>
        <v>0</v>
      </c>
      <c r="I18" s="11">
        <f>H18</f>
        <v>0</v>
      </c>
    </row>
    <row r="20" spans="2:9" x14ac:dyDescent="0.25">
      <c r="B20" t="s">
        <v>49</v>
      </c>
      <c r="C20" s="11">
        <f>C14+C18</f>
        <v>0</v>
      </c>
      <c r="D20" s="11">
        <f t="shared" ref="D20:G20" si="3">D14+D18</f>
        <v>3119520</v>
      </c>
      <c r="E20" s="11">
        <f>E14+E18</f>
        <v>3119520</v>
      </c>
      <c r="F20" s="11">
        <f>F14+F18</f>
        <v>3119520</v>
      </c>
      <c r="G20" s="11">
        <f t="shared" si="3"/>
        <v>3119520</v>
      </c>
      <c r="H20" s="11">
        <f>H14+H18</f>
        <v>3119520</v>
      </c>
      <c r="I20" s="11">
        <f>I14+I18</f>
        <v>3119520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0769-F8E0-7E4C-B0C1-8E1919183C77}">
  <dimension ref="B1:J21"/>
  <sheetViews>
    <sheetView workbookViewId="0">
      <selection activeCell="D5" sqref="D4:D5"/>
    </sheetView>
  </sheetViews>
  <sheetFormatPr baseColWidth="10" defaultRowHeight="15.75" x14ac:dyDescent="0.25"/>
  <cols>
    <col min="2" max="2" width="15" bestFit="1" customWidth="1"/>
    <col min="3" max="3" width="13.5" bestFit="1" customWidth="1"/>
    <col min="4" max="4" width="16" bestFit="1" customWidth="1"/>
    <col min="5" max="5" width="17.875" bestFit="1" customWidth="1"/>
    <col min="6" max="6" width="15" bestFit="1" customWidth="1"/>
    <col min="7" max="7" width="12.5" bestFit="1" customWidth="1"/>
    <col min="8" max="8" width="13.5" bestFit="1" customWidth="1"/>
    <col min="9" max="9" width="18.625" bestFit="1" customWidth="1"/>
    <col min="10" max="10" width="23.125" bestFit="1" customWidth="1"/>
  </cols>
  <sheetData>
    <row r="1" spans="2:10" x14ac:dyDescent="0.25"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39</v>
      </c>
    </row>
    <row r="2" spans="2:10" x14ac:dyDescent="0.25">
      <c r="C2" s="1">
        <v>2020</v>
      </c>
      <c r="D2" s="2">
        <f>C2+1</f>
        <v>2021</v>
      </c>
      <c r="E2" s="2">
        <f t="shared" ref="E2:I2" si="0">D2+1</f>
        <v>2022</v>
      </c>
      <c r="F2" s="2">
        <f t="shared" si="0"/>
        <v>2023</v>
      </c>
      <c r="G2" s="2">
        <f t="shared" si="0"/>
        <v>2024</v>
      </c>
      <c r="H2" s="2">
        <f t="shared" si="0"/>
        <v>2025</v>
      </c>
      <c r="I2" s="2">
        <f t="shared" si="0"/>
        <v>2026</v>
      </c>
    </row>
    <row r="3" spans="2:10" x14ac:dyDescent="0.25">
      <c r="B3" t="s">
        <v>41</v>
      </c>
      <c r="C3" s="32">
        <f>-'Maq&amp;Equipos y Depreciación'!C12</f>
        <v>27942800</v>
      </c>
    </row>
    <row r="4" spans="2:10" x14ac:dyDescent="0.25">
      <c r="B4" t="s">
        <v>42</v>
      </c>
      <c r="C4" s="12">
        <f>70%*C3</f>
        <v>19559960</v>
      </c>
      <c r="D4" s="8">
        <v>0.7</v>
      </c>
    </row>
    <row r="5" spans="2:10" x14ac:dyDescent="0.25">
      <c r="B5" t="s">
        <v>43</v>
      </c>
      <c r="C5" s="12">
        <f>C3-C4</f>
        <v>8382840</v>
      </c>
      <c r="D5" s="8">
        <v>0.3</v>
      </c>
    </row>
    <row r="6" spans="2:10" x14ac:dyDescent="0.25">
      <c r="B6" t="s">
        <v>26</v>
      </c>
      <c r="C6" s="12">
        <f>C4</f>
        <v>19559960</v>
      </c>
    </row>
    <row r="7" spans="2:10" x14ac:dyDescent="0.25">
      <c r="B7" t="s">
        <v>36</v>
      </c>
      <c r="D7" s="3">
        <f>F12</f>
        <v>2640594.6</v>
      </c>
      <c r="E7" s="3">
        <f>F13</f>
        <v>2500677.4720443799</v>
      </c>
      <c r="F7" s="3">
        <f>F14</f>
        <v>2341871.5318147507</v>
      </c>
      <c r="G7" s="3">
        <f>F15</f>
        <v>2161626.7896541217</v>
      </c>
      <c r="H7" s="3">
        <f>F16</f>
        <v>1957049.0073018081</v>
      </c>
      <c r="I7" s="3">
        <f>F17</f>
        <v>1724853.2243319317</v>
      </c>
    </row>
    <row r="8" spans="2:10" x14ac:dyDescent="0.25">
      <c r="B8" t="s">
        <v>27</v>
      </c>
      <c r="C8">
        <v>10</v>
      </c>
    </row>
    <row r="9" spans="2:10" x14ac:dyDescent="0.25">
      <c r="B9" t="s">
        <v>28</v>
      </c>
      <c r="C9" s="7">
        <v>0.13500000000000001</v>
      </c>
    </row>
    <row r="10" spans="2:10" x14ac:dyDescent="0.25">
      <c r="B10" t="s">
        <v>29</v>
      </c>
      <c r="C10" t="s">
        <v>30</v>
      </c>
    </row>
    <row r="11" spans="2:10" x14ac:dyDescent="0.25">
      <c r="D11" t="s">
        <v>31</v>
      </c>
      <c r="E11" t="s">
        <v>32</v>
      </c>
      <c r="F11" t="s">
        <v>33</v>
      </c>
      <c r="G11" t="s">
        <v>34</v>
      </c>
      <c r="H11" t="s">
        <v>35</v>
      </c>
      <c r="I11" t="s">
        <v>44</v>
      </c>
      <c r="J11" t="s">
        <v>45</v>
      </c>
    </row>
    <row r="12" spans="2:10" x14ac:dyDescent="0.25">
      <c r="C12">
        <v>1</v>
      </c>
      <c r="D12" s="3">
        <f>C6</f>
        <v>19559960</v>
      </c>
      <c r="E12" s="3">
        <f>PMT($C$9,$C$8,-$D$12,,)</f>
        <v>3677017.7700416315</v>
      </c>
      <c r="F12" s="3">
        <f>D12*$C$9</f>
        <v>2640594.6</v>
      </c>
      <c r="G12" s="3">
        <f>E12-F12</f>
        <v>1036423.1700416314</v>
      </c>
      <c r="H12" s="3">
        <f>D12-G12</f>
        <v>18523536.829958368</v>
      </c>
      <c r="I12" s="3">
        <f>F12*'Hoja de supuestos'!D24</f>
        <v>897802.16400000011</v>
      </c>
      <c r="J12" s="3">
        <f>F12-I12</f>
        <v>1742792.436</v>
      </c>
    </row>
    <row r="13" spans="2:10" x14ac:dyDescent="0.25">
      <c r="C13">
        <v>2</v>
      </c>
      <c r="D13" s="3">
        <f>H12</f>
        <v>18523536.829958368</v>
      </c>
      <c r="E13" s="3">
        <f t="shared" ref="E13:E21" si="1">PMT($C$9,$C$8,-$D$12,,)</f>
        <v>3677017.7700416315</v>
      </c>
      <c r="F13" s="3">
        <f>D13*$C$9</f>
        <v>2500677.4720443799</v>
      </c>
      <c r="G13" s="3">
        <f>E13-F13</f>
        <v>1176340.2979972516</v>
      </c>
      <c r="H13" s="3">
        <f>D13-G13</f>
        <v>17347196.531961117</v>
      </c>
      <c r="I13" s="3">
        <f>F13*'Hoja de supuestos'!E24</f>
        <v>850230.34049508919</v>
      </c>
      <c r="J13" s="3">
        <f>F13-I13</f>
        <v>1650447.1315492908</v>
      </c>
    </row>
    <row r="14" spans="2:10" x14ac:dyDescent="0.25">
      <c r="C14">
        <v>3</v>
      </c>
      <c r="D14" s="3">
        <f t="shared" ref="D14:D21" si="2">H13</f>
        <v>17347196.531961117</v>
      </c>
      <c r="E14" s="3">
        <f t="shared" si="1"/>
        <v>3677017.7700416315</v>
      </c>
      <c r="F14" s="3">
        <f t="shared" ref="F14:F21" si="3">D14*$C$9</f>
        <v>2341871.5318147507</v>
      </c>
      <c r="G14" s="3">
        <f t="shared" ref="G14:G21" si="4">E14-F14</f>
        <v>1335146.2382268808</v>
      </c>
      <c r="H14" s="3">
        <f t="shared" ref="H14:H20" si="5">D14-G14</f>
        <v>16012050.293734236</v>
      </c>
      <c r="I14" s="3">
        <f>F14*'Hoja de supuestos'!F24</f>
        <v>796236.32081701537</v>
      </c>
      <c r="J14" s="3">
        <f t="shared" ref="J14:J17" si="6">F14-I14</f>
        <v>1545635.2109977354</v>
      </c>
    </row>
    <row r="15" spans="2:10" x14ac:dyDescent="0.25">
      <c r="C15">
        <v>4</v>
      </c>
      <c r="D15" s="3">
        <f t="shared" si="2"/>
        <v>16012050.293734236</v>
      </c>
      <c r="E15" s="3">
        <f t="shared" si="1"/>
        <v>3677017.7700416315</v>
      </c>
      <c r="F15" s="3">
        <f t="shared" si="3"/>
        <v>2161626.7896541217</v>
      </c>
      <c r="G15" s="3">
        <f t="shared" si="4"/>
        <v>1515390.9803875098</v>
      </c>
      <c r="H15" s="3">
        <f t="shared" si="5"/>
        <v>14496659.313346725</v>
      </c>
      <c r="I15" s="3">
        <f>F15*'Hoja de supuestos'!G24</f>
        <v>734953.10848240147</v>
      </c>
      <c r="J15" s="3">
        <f t="shared" si="6"/>
        <v>1426673.6811717204</v>
      </c>
    </row>
    <row r="16" spans="2:10" x14ac:dyDescent="0.25">
      <c r="C16">
        <v>5</v>
      </c>
      <c r="D16" s="3">
        <f t="shared" si="2"/>
        <v>14496659.313346725</v>
      </c>
      <c r="E16" s="3">
        <f t="shared" si="1"/>
        <v>3677017.7700416315</v>
      </c>
      <c r="F16" s="3">
        <f t="shared" si="3"/>
        <v>1957049.0073018081</v>
      </c>
      <c r="G16" s="3">
        <f t="shared" si="4"/>
        <v>1719968.7627398234</v>
      </c>
      <c r="H16" s="3">
        <f t="shared" si="5"/>
        <v>12776690.550606901</v>
      </c>
      <c r="I16" s="3">
        <f>F16*'Hoja de supuestos'!H24</f>
        <v>665396.66248261475</v>
      </c>
      <c r="J16" s="3">
        <f t="shared" si="6"/>
        <v>1291652.3448191932</v>
      </c>
    </row>
    <row r="17" spans="3:10" x14ac:dyDescent="0.25">
      <c r="C17">
        <v>6</v>
      </c>
      <c r="D17" s="3">
        <f t="shared" si="2"/>
        <v>12776690.550606901</v>
      </c>
      <c r="E17" s="3">
        <f t="shared" si="1"/>
        <v>3677017.7700416315</v>
      </c>
      <c r="F17" s="3">
        <f t="shared" si="3"/>
        <v>1724853.2243319317</v>
      </c>
      <c r="G17" s="3">
        <f t="shared" si="4"/>
        <v>1952164.5457096999</v>
      </c>
      <c r="H17" s="3">
        <f t="shared" si="5"/>
        <v>10824526.004897201</v>
      </c>
      <c r="I17" s="3">
        <f>F17*'Hoja de supuestos'!I24</f>
        <v>586450.09627285681</v>
      </c>
      <c r="J17" s="3">
        <f t="shared" si="6"/>
        <v>1138403.1280590747</v>
      </c>
    </row>
    <row r="18" spans="3:10" x14ac:dyDescent="0.25">
      <c r="C18">
        <v>7</v>
      </c>
      <c r="D18" s="3">
        <f t="shared" si="2"/>
        <v>10824526.004897201</v>
      </c>
      <c r="E18" s="3">
        <f t="shared" si="1"/>
        <v>3677017.7700416315</v>
      </c>
      <c r="F18" s="3">
        <f t="shared" si="3"/>
        <v>1461311.0106611224</v>
      </c>
      <c r="G18" s="3">
        <f t="shared" si="4"/>
        <v>2215706.7593805091</v>
      </c>
      <c r="H18" s="3">
        <f t="shared" si="5"/>
        <v>8608819.2455166914</v>
      </c>
    </row>
    <row r="19" spans="3:10" x14ac:dyDescent="0.25">
      <c r="C19">
        <v>8</v>
      </c>
      <c r="D19" s="3">
        <f t="shared" si="2"/>
        <v>8608819.2455166914</v>
      </c>
      <c r="E19" s="3">
        <f t="shared" si="1"/>
        <v>3677017.7700416315</v>
      </c>
      <c r="F19" s="3">
        <f t="shared" si="3"/>
        <v>1162190.5981447534</v>
      </c>
      <c r="G19" s="3">
        <f t="shared" si="4"/>
        <v>2514827.1718968782</v>
      </c>
      <c r="H19" s="3">
        <f t="shared" si="5"/>
        <v>6093992.0736198127</v>
      </c>
    </row>
    <row r="20" spans="3:10" x14ac:dyDescent="0.25">
      <c r="C20">
        <v>9</v>
      </c>
      <c r="D20" s="3">
        <f t="shared" si="2"/>
        <v>6093992.0736198127</v>
      </c>
      <c r="E20" s="3">
        <f t="shared" si="1"/>
        <v>3677017.7700416315</v>
      </c>
      <c r="F20" s="3">
        <f t="shared" si="3"/>
        <v>822688.92993867479</v>
      </c>
      <c r="G20" s="3">
        <f t="shared" si="4"/>
        <v>2854328.8401029566</v>
      </c>
      <c r="H20" s="3">
        <f t="shared" si="5"/>
        <v>3239663.2335168561</v>
      </c>
    </row>
    <row r="21" spans="3:10" x14ac:dyDescent="0.25">
      <c r="C21">
        <v>10</v>
      </c>
      <c r="D21" s="3">
        <f t="shared" si="2"/>
        <v>3239663.2335168561</v>
      </c>
      <c r="E21" s="3">
        <f t="shared" si="1"/>
        <v>3677017.7700416315</v>
      </c>
      <c r="F21" s="3">
        <f t="shared" si="3"/>
        <v>437354.53652477561</v>
      </c>
      <c r="G21" s="3">
        <f t="shared" si="4"/>
        <v>3239663.2335168561</v>
      </c>
      <c r="H21" s="3">
        <f>D21-G21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0DDE-77E6-394E-BCBA-F863057C848C}">
  <dimension ref="B2:I53"/>
  <sheetViews>
    <sheetView tabSelected="1" topLeftCell="A35" zoomScale="110" zoomScaleNormal="110" workbookViewId="0">
      <selection activeCell="C53" sqref="C53"/>
    </sheetView>
  </sheetViews>
  <sheetFormatPr baseColWidth="10" defaultRowHeight="15.75" x14ac:dyDescent="0.25"/>
  <cols>
    <col min="2" max="2" width="38.125" bestFit="1" customWidth="1"/>
    <col min="3" max="3" width="16.125" bestFit="1" customWidth="1"/>
    <col min="4" max="9" width="13.5" bestFit="1" customWidth="1"/>
  </cols>
  <sheetData>
    <row r="2" spans="2:9" x14ac:dyDescent="0.25">
      <c r="B2" s="14" t="s">
        <v>50</v>
      </c>
      <c r="C2" s="15" t="s">
        <v>11</v>
      </c>
      <c r="D2" s="15" t="s">
        <v>38</v>
      </c>
      <c r="E2" s="15" t="s">
        <v>13</v>
      </c>
      <c r="F2" s="15" t="s">
        <v>14</v>
      </c>
      <c r="G2" s="15" t="s">
        <v>15</v>
      </c>
      <c r="H2" s="15" t="s">
        <v>16</v>
      </c>
      <c r="I2" s="15" t="s">
        <v>39</v>
      </c>
    </row>
    <row r="3" spans="2:9" x14ac:dyDescent="0.25">
      <c r="B3" s="14" t="s">
        <v>17</v>
      </c>
      <c r="C3" s="15">
        <v>2020</v>
      </c>
      <c r="D3" s="15">
        <f>C3+1</f>
        <v>2021</v>
      </c>
      <c r="E3" s="15">
        <f t="shared" ref="E3:I3" si="0">D3+1</f>
        <v>2022</v>
      </c>
      <c r="F3" s="15">
        <f t="shared" si="0"/>
        <v>2023</v>
      </c>
      <c r="G3" s="15">
        <f t="shared" si="0"/>
        <v>2024</v>
      </c>
      <c r="H3" s="15">
        <f t="shared" si="0"/>
        <v>2025</v>
      </c>
      <c r="I3" s="15">
        <f t="shared" si="0"/>
        <v>2026</v>
      </c>
    </row>
    <row r="5" spans="2:9" x14ac:dyDescent="0.25">
      <c r="B5" s="16" t="s">
        <v>37</v>
      </c>
      <c r="C5" s="11">
        <v>0</v>
      </c>
      <c r="D5" s="11">
        <f>PyG!O9</f>
        <v>556416000</v>
      </c>
      <c r="E5" s="11">
        <f>PyG!P9</f>
        <v>593167276.79999995</v>
      </c>
      <c r="F5" s="11">
        <f>PyG!Q9</f>
        <v>629291163.95712006</v>
      </c>
      <c r="G5" s="11">
        <f>PyG!R9</f>
        <v>667614995.84210861</v>
      </c>
      <c r="H5" s="11">
        <f>PyG!S9</f>
        <v>708272749.08889318</v>
      </c>
      <c r="I5" s="11">
        <f>PyG!T9</f>
        <v>751406559.50840688</v>
      </c>
    </row>
    <row r="6" spans="2:9" x14ac:dyDescent="0.25">
      <c r="B6" s="16" t="s">
        <v>51</v>
      </c>
      <c r="C6" s="11">
        <v>0</v>
      </c>
      <c r="D6" s="11">
        <f>PyG!O10</f>
        <v>236694528</v>
      </c>
      <c r="E6" s="11">
        <f>PyG!P10</f>
        <v>252328201.57439998</v>
      </c>
      <c r="F6" s="11">
        <f>PyG!Q10</f>
        <v>267694989.05028099</v>
      </c>
      <c r="G6" s="11">
        <f>PyG!R10</f>
        <v>283997613.88344306</v>
      </c>
      <c r="H6" s="11">
        <f>PyG!S10</f>
        <v>301293068.56894481</v>
      </c>
      <c r="I6" s="11">
        <f>PyG!T10</f>
        <v>319641816.44479358</v>
      </c>
    </row>
    <row r="7" spans="2:9" x14ac:dyDescent="0.25">
      <c r="B7" s="16" t="s">
        <v>52</v>
      </c>
      <c r="C7" s="11">
        <v>0</v>
      </c>
      <c r="D7" s="11">
        <f>PyG!O15+PyG!O13</f>
        <v>245355995.03999999</v>
      </c>
      <c r="E7" s="11">
        <f>PyG!P15+PyG!P13</f>
        <v>258003483.31439996</v>
      </c>
      <c r="F7" s="11">
        <f>PyG!Q15+PyG!Q13</f>
        <v>270050871.99431521</v>
      </c>
      <c r="G7" s="11">
        <f>PyG!R15+PyG!R13</f>
        <v>282721995.94121927</v>
      </c>
      <c r="H7" s="11">
        <f>PyG!S15+PyG!S13</f>
        <v>296051542.11176336</v>
      </c>
      <c r="I7" s="11">
        <f>PyG!T15+PyG!T13</f>
        <v>310076210.94262528</v>
      </c>
    </row>
    <row r="8" spans="2:9" x14ac:dyDescent="0.25">
      <c r="B8" s="17" t="s">
        <v>53</v>
      </c>
      <c r="C8" s="18">
        <v>0</v>
      </c>
      <c r="D8" s="18">
        <f>PyG!O16</f>
        <v>3119520</v>
      </c>
      <c r="E8" s="18">
        <f>PyG!P16</f>
        <v>3119520</v>
      </c>
      <c r="F8" s="18">
        <f>PyG!Q16</f>
        <v>3119520</v>
      </c>
      <c r="G8" s="18">
        <f>PyG!R16</f>
        <v>3119520</v>
      </c>
      <c r="H8" s="18">
        <f>PyG!S16</f>
        <v>3119520</v>
      </c>
      <c r="I8" s="18">
        <f>PyG!T16</f>
        <v>3119520</v>
      </c>
    </row>
    <row r="9" spans="2:9" x14ac:dyDescent="0.25">
      <c r="B9" s="16" t="s">
        <v>54</v>
      </c>
      <c r="C9" s="11"/>
      <c r="D9" s="11">
        <f>D5-D6-D7-D8</f>
        <v>71245956.960000008</v>
      </c>
      <c r="E9" s="11">
        <f t="shared" ref="E9:I9" si="1">E5-E6-E7-E8</f>
        <v>79716071.911200047</v>
      </c>
      <c r="F9" s="11">
        <f t="shared" si="1"/>
        <v>88425782.912523866</v>
      </c>
      <c r="G9" s="11">
        <f t="shared" si="1"/>
        <v>97775866.01744628</v>
      </c>
      <c r="H9" s="11">
        <f t="shared" si="1"/>
        <v>107808618.40818501</v>
      </c>
      <c r="I9" s="11">
        <f t="shared" si="1"/>
        <v>118569012.12098801</v>
      </c>
    </row>
    <row r="10" spans="2:9" x14ac:dyDescent="0.25">
      <c r="B10" s="17" t="s">
        <v>55</v>
      </c>
      <c r="C10" s="19"/>
      <c r="D10" s="18">
        <f>-PyG!O24</f>
        <v>23325823.202400006</v>
      </c>
      <c r="E10" s="18">
        <f>-PyG!P24</f>
        <v>26253234.109312925</v>
      </c>
      <c r="F10" s="18">
        <f>-PyG!Q24</f>
        <v>29268529.869441099</v>
      </c>
      <c r="G10" s="18">
        <f>-PyG!R24</f>
        <v>32508841.337449331</v>
      </c>
      <c r="H10" s="18">
        <f>-PyG!S24</f>
        <v>35989533.596300282</v>
      </c>
      <c r="I10" s="18">
        <f>-PyG!T24</f>
        <v>39727014.024863057</v>
      </c>
    </row>
    <row r="11" spans="2:9" x14ac:dyDescent="0.25">
      <c r="B11" s="16" t="s">
        <v>56</v>
      </c>
      <c r="D11" s="12">
        <f>D9-D10</f>
        <v>47920133.757600002</v>
      </c>
      <c r="E11" s="12">
        <f t="shared" ref="E11:I11" si="2">E9-E10</f>
        <v>53462837.801887125</v>
      </c>
      <c r="F11" s="12">
        <f t="shared" si="2"/>
        <v>59157253.043082766</v>
      </c>
      <c r="G11" s="12">
        <f t="shared" si="2"/>
        <v>65267024.679996952</v>
      </c>
      <c r="H11" s="12">
        <f t="shared" si="2"/>
        <v>71819084.811884731</v>
      </c>
      <c r="I11" s="12">
        <f t="shared" si="2"/>
        <v>78841998.096124947</v>
      </c>
    </row>
    <row r="12" spans="2:9" x14ac:dyDescent="0.25">
      <c r="B12" s="17" t="s">
        <v>57</v>
      </c>
      <c r="C12" s="19"/>
      <c r="D12" s="20">
        <f>D8</f>
        <v>3119520</v>
      </c>
      <c r="E12" s="20">
        <f t="shared" ref="E12:I12" si="3">E8</f>
        <v>3119520</v>
      </c>
      <c r="F12" s="20">
        <f t="shared" si="3"/>
        <v>3119520</v>
      </c>
      <c r="G12" s="20">
        <f t="shared" si="3"/>
        <v>3119520</v>
      </c>
      <c r="H12" s="20">
        <f t="shared" si="3"/>
        <v>3119520</v>
      </c>
      <c r="I12" s="20">
        <f t="shared" si="3"/>
        <v>3119520</v>
      </c>
    </row>
    <row r="13" spans="2:9" x14ac:dyDescent="0.25">
      <c r="B13" s="16" t="s">
        <v>58</v>
      </c>
      <c r="C13" s="11">
        <f t="shared" ref="C13:I13" si="4">SUM(C14:C16)</f>
        <v>-27942800</v>
      </c>
      <c r="D13" s="11">
        <f t="shared" si="4"/>
        <v>-38949120</v>
      </c>
      <c r="E13" s="11">
        <f t="shared" si="4"/>
        <v>-41521709.376000002</v>
      </c>
      <c r="F13" s="11">
        <f t="shared" si="4"/>
        <v>-44050381.476998411</v>
      </c>
      <c r="G13" s="11">
        <f t="shared" si="4"/>
        <v>-46733049.708947606</v>
      </c>
      <c r="H13" s="11">
        <f t="shared" si="4"/>
        <v>-49579092.436222523</v>
      </c>
      <c r="I13" s="11">
        <f t="shared" si="4"/>
        <v>-52598459.165588483</v>
      </c>
    </row>
    <row r="14" spans="2:9" x14ac:dyDescent="0.25">
      <c r="B14" s="21" t="s">
        <v>25</v>
      </c>
      <c r="C14" s="11">
        <f>'Maq&amp;Equipos y Depreciación'!C12</f>
        <v>-27942800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</row>
    <row r="15" spans="2:9" x14ac:dyDescent="0.25">
      <c r="B15" s="21" t="s">
        <v>40</v>
      </c>
      <c r="C15" s="11">
        <f>0</f>
        <v>0</v>
      </c>
      <c r="D15" s="11">
        <f>-'Hoja de supuestos'!D25</f>
        <v>-38949120</v>
      </c>
      <c r="E15" s="11">
        <f>-'Hoja de supuestos'!E25</f>
        <v>-41521709.376000002</v>
      </c>
      <c r="F15" s="11">
        <f>-'Hoja de supuestos'!F25</f>
        <v>-44050381.476998411</v>
      </c>
      <c r="G15" s="11">
        <f>-'Hoja de supuestos'!G25</f>
        <v>-46733049.708947606</v>
      </c>
      <c r="H15" s="11">
        <f>-'Hoja de supuestos'!H25</f>
        <v>-49579092.436222523</v>
      </c>
      <c r="I15" s="11">
        <f>-'Hoja de supuestos'!I25</f>
        <v>-52598459.165588483</v>
      </c>
    </row>
    <row r="16" spans="2:9" x14ac:dyDescent="0.25">
      <c r="B16" s="21" t="s">
        <v>48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f>'Maq&amp;Equipos y Depreciación'!H16</f>
        <v>0</v>
      </c>
      <c r="I16" s="11">
        <v>0</v>
      </c>
    </row>
    <row r="17" spans="2:9" x14ac:dyDescent="0.25">
      <c r="B17" s="22" t="s">
        <v>59</v>
      </c>
      <c r="C17" s="23">
        <f t="shared" ref="C17:I17" si="5">C11+C12+C13</f>
        <v>-27942800</v>
      </c>
      <c r="D17" s="23">
        <f t="shared" si="5"/>
        <v>12090533.757600002</v>
      </c>
      <c r="E17" s="23">
        <f t="shared" si="5"/>
        <v>15060648.425887123</v>
      </c>
      <c r="F17" s="23">
        <f t="shared" si="5"/>
        <v>18226391.566084355</v>
      </c>
      <c r="G17" s="23">
        <f t="shared" si="5"/>
        <v>21653494.971049346</v>
      </c>
      <c r="H17" s="23">
        <f t="shared" si="5"/>
        <v>25359512.375662208</v>
      </c>
      <c r="I17" s="23">
        <f t="shared" si="5"/>
        <v>29363058.930536464</v>
      </c>
    </row>
    <row r="18" spans="2:9" x14ac:dyDescent="0.25">
      <c r="B18" s="24" t="s">
        <v>128</v>
      </c>
      <c r="C18" s="23">
        <f>NPV(18%,D17:I17)+C17</f>
        <v>37343394.362420507</v>
      </c>
      <c r="E18" s="5"/>
      <c r="F18" s="5"/>
      <c r="G18" s="5"/>
    </row>
    <row r="19" spans="2:9" x14ac:dyDescent="0.25">
      <c r="B19" s="24" t="s">
        <v>60</v>
      </c>
      <c r="C19" s="25">
        <f>IRR(C17:I17)</f>
        <v>0.54448763577106574</v>
      </c>
    </row>
    <row r="21" spans="2:9" x14ac:dyDescent="0.25">
      <c r="B21" s="14" t="s">
        <v>61</v>
      </c>
      <c r="C21" s="15" t="s">
        <v>11</v>
      </c>
      <c r="D21" s="15" t="s">
        <v>38</v>
      </c>
      <c r="E21" s="15" t="s">
        <v>13</v>
      </c>
      <c r="F21" s="15" t="s">
        <v>14</v>
      </c>
      <c r="G21" s="15" t="s">
        <v>15</v>
      </c>
      <c r="H21" s="15" t="s">
        <v>16</v>
      </c>
      <c r="I21" s="15" t="s">
        <v>39</v>
      </c>
    </row>
    <row r="22" spans="2:9" x14ac:dyDescent="0.25">
      <c r="B22" s="14" t="s">
        <v>17</v>
      </c>
      <c r="C22" s="15">
        <v>2020</v>
      </c>
      <c r="D22" s="15">
        <f>C22+1</f>
        <v>2021</v>
      </c>
      <c r="E22" s="15">
        <f t="shared" ref="E22:I22" si="6">D22+1</f>
        <v>2022</v>
      </c>
      <c r="F22" s="15">
        <f t="shared" si="6"/>
        <v>2023</v>
      </c>
      <c r="G22" s="15">
        <f t="shared" si="6"/>
        <v>2024</v>
      </c>
      <c r="H22" s="15">
        <f t="shared" si="6"/>
        <v>2025</v>
      </c>
      <c r="I22" s="15">
        <f t="shared" si="6"/>
        <v>2026</v>
      </c>
    </row>
    <row r="23" spans="2:9" x14ac:dyDescent="0.25">
      <c r="B23" s="19" t="s">
        <v>62</v>
      </c>
      <c r="C23" s="18">
        <v>0</v>
      </c>
      <c r="D23" s="18">
        <f>-PyG!O20</f>
        <v>-2640594.6</v>
      </c>
      <c r="E23" s="18">
        <f>-PyG!P20</f>
        <v>-2500677.4720443799</v>
      </c>
      <c r="F23" s="18">
        <f>-PyG!Q20</f>
        <v>-2341871.5318147507</v>
      </c>
      <c r="G23" s="18">
        <f>-PyG!R20</f>
        <v>-2161626.7896541217</v>
      </c>
      <c r="H23" s="18">
        <f>-PyG!S20</f>
        <v>-1957049.0073018081</v>
      </c>
      <c r="I23" s="18">
        <f>-PyG!T20</f>
        <v>-1724853.2243319317</v>
      </c>
    </row>
    <row r="24" spans="2:9" x14ac:dyDescent="0.25">
      <c r="B24" t="s">
        <v>54</v>
      </c>
      <c r="C24" s="12">
        <f>C23</f>
        <v>0</v>
      </c>
      <c r="D24" s="12">
        <f t="shared" ref="D24:I24" si="7">D23</f>
        <v>-2640594.6</v>
      </c>
      <c r="E24" s="12">
        <f t="shared" si="7"/>
        <v>-2500677.4720443799</v>
      </c>
      <c r="F24" s="12">
        <f t="shared" si="7"/>
        <v>-2341871.5318147507</v>
      </c>
      <c r="G24" s="12">
        <f t="shared" si="7"/>
        <v>-2161626.7896541217</v>
      </c>
      <c r="H24" s="12">
        <f t="shared" si="7"/>
        <v>-1957049.0073018081</v>
      </c>
      <c r="I24" s="12">
        <f t="shared" si="7"/>
        <v>-1724853.2243319317</v>
      </c>
    </row>
    <row r="25" spans="2:9" x14ac:dyDescent="0.25">
      <c r="B25" s="19" t="s">
        <v>44</v>
      </c>
      <c r="C25" s="20">
        <f>C24</f>
        <v>0</v>
      </c>
      <c r="D25" s="18">
        <f>'Amortización deuda'!I12</f>
        <v>897802.16400000011</v>
      </c>
      <c r="E25" s="18">
        <f>'Amortización deuda'!I13</f>
        <v>850230.34049508919</v>
      </c>
      <c r="F25" s="18">
        <f>'Amortización deuda'!I14</f>
        <v>796236.32081701537</v>
      </c>
      <c r="G25" s="18">
        <f>'Amortización deuda'!I15</f>
        <v>734953.10848240147</v>
      </c>
      <c r="H25" s="18">
        <f>'Amortización deuda'!I16</f>
        <v>665396.66248261475</v>
      </c>
      <c r="I25" s="18">
        <f>'Amortización deuda'!I17</f>
        <v>586450.09627285681</v>
      </c>
    </row>
    <row r="26" spans="2:9" x14ac:dyDescent="0.25">
      <c r="B26" t="s">
        <v>63</v>
      </c>
      <c r="D26" s="12">
        <f>D24+D25</f>
        <v>-1742792.436</v>
      </c>
      <c r="E26" s="12">
        <f t="shared" ref="E26:I26" si="8">E24+E25</f>
        <v>-1650447.1315492908</v>
      </c>
      <c r="F26" s="12">
        <f t="shared" si="8"/>
        <v>-1545635.2109977354</v>
      </c>
      <c r="G26" s="12">
        <f t="shared" si="8"/>
        <v>-1426673.6811717204</v>
      </c>
      <c r="H26" s="12">
        <f t="shared" si="8"/>
        <v>-1291652.3448191932</v>
      </c>
      <c r="I26" s="12">
        <f t="shared" si="8"/>
        <v>-1138403.1280590747</v>
      </c>
    </row>
    <row r="27" spans="2:9" x14ac:dyDescent="0.25">
      <c r="B27" t="s">
        <v>64</v>
      </c>
      <c r="D27" s="11">
        <f>-'Amortización deuda'!G12</f>
        <v>-1036423.1700416314</v>
      </c>
      <c r="E27" s="11">
        <f>-'Amortización deuda'!G13</f>
        <v>-1176340.2979972516</v>
      </c>
      <c r="F27" s="11">
        <f>-'Amortización deuda'!G14</f>
        <v>-1335146.2382268808</v>
      </c>
      <c r="G27" s="11">
        <f>-'Amortización deuda'!G15</f>
        <v>-1515390.9803875098</v>
      </c>
      <c r="H27" s="11">
        <f>-'Amortización deuda'!G16</f>
        <v>-1719968.7627398234</v>
      </c>
      <c r="I27" s="11">
        <f>-'Amortización deuda'!G17</f>
        <v>-1952164.5457096999</v>
      </c>
    </row>
    <row r="28" spans="2:9" x14ac:dyDescent="0.25">
      <c r="B28" t="s">
        <v>65</v>
      </c>
      <c r="C28" s="12">
        <f>'Amortización deuda'!C6</f>
        <v>19559960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</row>
    <row r="29" spans="2:9" x14ac:dyDescent="0.25">
      <c r="B29" s="22" t="s">
        <v>66</v>
      </c>
      <c r="C29" s="23">
        <f>C26+C27+C28</f>
        <v>19559960</v>
      </c>
      <c r="D29" s="23">
        <f t="shared" ref="D29:I29" si="9">D26+D27+D28</f>
        <v>-2779215.6060416317</v>
      </c>
      <c r="E29" s="23">
        <f t="shared" si="9"/>
        <v>-2826787.4295465425</v>
      </c>
      <c r="F29" s="23">
        <f t="shared" si="9"/>
        <v>-2880781.4492246164</v>
      </c>
      <c r="G29" s="23">
        <f t="shared" si="9"/>
        <v>-2942064.6615592302</v>
      </c>
      <c r="H29" s="23">
        <f t="shared" si="9"/>
        <v>-3011621.1075590169</v>
      </c>
      <c r="I29" s="23">
        <f t="shared" si="9"/>
        <v>-3090567.6737687746</v>
      </c>
    </row>
    <row r="30" spans="2:9" x14ac:dyDescent="0.25">
      <c r="B30" s="24" t="s">
        <v>67</v>
      </c>
      <c r="C30" s="23">
        <f>NPV('Amortización deuda'!$C$9,FlujoCajaLibre!D29:I29)+FlujoCajaLibre!C29</f>
        <v>8129342.591618536</v>
      </c>
    </row>
    <row r="32" spans="2:9" x14ac:dyDescent="0.25">
      <c r="B32" s="14" t="s">
        <v>68</v>
      </c>
      <c r="C32" s="15" t="s">
        <v>11</v>
      </c>
      <c r="D32" s="15" t="s">
        <v>38</v>
      </c>
      <c r="E32" s="15" t="s">
        <v>13</v>
      </c>
      <c r="F32" s="15" t="s">
        <v>14</v>
      </c>
      <c r="G32" s="15" t="s">
        <v>15</v>
      </c>
      <c r="H32" s="15" t="s">
        <v>16</v>
      </c>
      <c r="I32" s="15" t="s">
        <v>39</v>
      </c>
    </row>
    <row r="33" spans="2:9" x14ac:dyDescent="0.25">
      <c r="B33" s="14" t="s">
        <v>17</v>
      </c>
      <c r="C33" s="15">
        <v>2020</v>
      </c>
      <c r="D33" s="15">
        <f>C33+1</f>
        <v>2021</v>
      </c>
      <c r="E33" s="15">
        <f t="shared" ref="E33:I33" si="10">D33+1</f>
        <v>2022</v>
      </c>
      <c r="F33" s="15">
        <f t="shared" si="10"/>
        <v>2023</v>
      </c>
      <c r="G33" s="15">
        <f t="shared" si="10"/>
        <v>2024</v>
      </c>
      <c r="H33" s="15">
        <f t="shared" si="10"/>
        <v>2025</v>
      </c>
      <c r="I33" s="15">
        <f t="shared" si="10"/>
        <v>2026</v>
      </c>
    </row>
    <row r="34" spans="2:9" x14ac:dyDescent="0.25">
      <c r="B34" t="s">
        <v>59</v>
      </c>
      <c r="C34" s="12">
        <f>C17</f>
        <v>-27942800</v>
      </c>
      <c r="D34" s="12">
        <f t="shared" ref="D34:I34" si="11">D17</f>
        <v>12090533.757600002</v>
      </c>
      <c r="E34" s="12">
        <f t="shared" si="11"/>
        <v>15060648.425887123</v>
      </c>
      <c r="F34" s="12">
        <f t="shared" si="11"/>
        <v>18226391.566084355</v>
      </c>
      <c r="G34" s="12">
        <f t="shared" si="11"/>
        <v>21653494.971049346</v>
      </c>
      <c r="H34" s="12">
        <f t="shared" si="11"/>
        <v>25359512.375662208</v>
      </c>
      <c r="I34" s="12">
        <f t="shared" si="11"/>
        <v>29363058.930536464</v>
      </c>
    </row>
    <row r="35" spans="2:9" x14ac:dyDescent="0.25">
      <c r="B35" t="s">
        <v>69</v>
      </c>
      <c r="C35" s="12">
        <f>C29</f>
        <v>19559960</v>
      </c>
      <c r="D35" s="12">
        <f t="shared" ref="D35:I35" si="12">D29</f>
        <v>-2779215.6060416317</v>
      </c>
      <c r="E35" s="12">
        <f t="shared" si="12"/>
        <v>-2826787.4295465425</v>
      </c>
      <c r="F35" s="12">
        <f t="shared" si="12"/>
        <v>-2880781.4492246164</v>
      </c>
      <c r="G35" s="12">
        <f t="shared" si="12"/>
        <v>-2942064.6615592302</v>
      </c>
      <c r="H35" s="12">
        <f t="shared" si="12"/>
        <v>-3011621.1075590169</v>
      </c>
      <c r="I35" s="12">
        <f t="shared" si="12"/>
        <v>-3090567.6737687746</v>
      </c>
    </row>
    <row r="36" spans="2:9" x14ac:dyDescent="0.25">
      <c r="B36" s="22" t="s">
        <v>70</v>
      </c>
      <c r="C36" s="23">
        <f>C34+C35</f>
        <v>-8382840</v>
      </c>
      <c r="D36" s="23">
        <f>D34+D35</f>
        <v>9311318.1515583694</v>
      </c>
      <c r="E36" s="23">
        <f>E34+E35</f>
        <v>12233860.99634058</v>
      </c>
      <c r="F36" s="23">
        <f>F34+F35</f>
        <v>15345610.116859738</v>
      </c>
      <c r="G36" s="23">
        <f>G34+G35</f>
        <v>18711430.309490114</v>
      </c>
      <c r="H36" s="23">
        <f t="shared" ref="H36:I36" si="13">H34+H35</f>
        <v>22347891.26810319</v>
      </c>
      <c r="I36" s="23">
        <f t="shared" si="13"/>
        <v>26272491.25676769</v>
      </c>
    </row>
    <row r="37" spans="2:9" x14ac:dyDescent="0.25">
      <c r="B37" s="24" t="s">
        <v>71</v>
      </c>
      <c r="C37" s="23">
        <f>C18+C30</f>
        <v>45472736.954039045</v>
      </c>
      <c r="H37" s="5">
        <f>+H36/G36-1</f>
        <v>0.19434436055744619</v>
      </c>
      <c r="I37" s="5">
        <f>+I36/H36-1</f>
        <v>0.17561388417286694</v>
      </c>
    </row>
    <row r="38" spans="2:9" x14ac:dyDescent="0.25">
      <c r="B38" s="26" t="s">
        <v>72</v>
      </c>
      <c r="C38" s="27">
        <f>IRR(C36:I36)</f>
        <v>1.3581899370408532</v>
      </c>
    </row>
    <row r="42" spans="2:9" x14ac:dyDescent="0.25">
      <c r="C42" s="58"/>
    </row>
    <row r="43" spans="2:9" x14ac:dyDescent="0.25">
      <c r="B43" t="s">
        <v>73</v>
      </c>
      <c r="C43">
        <v>0</v>
      </c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</row>
    <row r="44" spans="2:9" x14ac:dyDescent="0.25">
      <c r="B44" t="s">
        <v>74</v>
      </c>
      <c r="C44" s="12">
        <f>+C17</f>
        <v>-27942800</v>
      </c>
      <c r="D44" s="28">
        <f>PV(30%,D43,,-D17,)</f>
        <v>9300410.5827692319</v>
      </c>
      <c r="E44" s="28">
        <f t="shared" ref="E44:I44" si="14">PV(30%,E43,,-E17,)</f>
        <v>8911626.2875071727</v>
      </c>
      <c r="F44" s="28">
        <f t="shared" si="14"/>
        <v>8296036.2157871416</v>
      </c>
      <c r="G44" s="28">
        <f t="shared" si="14"/>
        <v>7581490.4838938909</v>
      </c>
      <c r="H44" s="28">
        <f t="shared" si="14"/>
        <v>6830053.9939245293</v>
      </c>
      <c r="I44" s="28">
        <f t="shared" si="14"/>
        <v>6083327.2935673352</v>
      </c>
    </row>
    <row r="45" spans="2:9" x14ac:dyDescent="0.25">
      <c r="B45" t="s">
        <v>133</v>
      </c>
      <c r="C45" s="12">
        <f>+C44</f>
        <v>-27942800</v>
      </c>
      <c r="D45" s="28">
        <f>+C45+D44</f>
        <v>-18642389.41723077</v>
      </c>
      <c r="E45" s="28">
        <f t="shared" ref="E45:I45" si="15">+D45+E44</f>
        <v>-9730763.1297235973</v>
      </c>
      <c r="F45" s="28">
        <f t="shared" si="15"/>
        <v>-1434726.9139364557</v>
      </c>
      <c r="G45" s="28">
        <f t="shared" si="15"/>
        <v>6146763.5699574351</v>
      </c>
      <c r="H45" s="28">
        <f t="shared" si="15"/>
        <v>12976817.563881963</v>
      </c>
      <c r="I45" s="28">
        <f t="shared" si="15"/>
        <v>19060144.857449301</v>
      </c>
    </row>
    <row r="46" spans="2:9" x14ac:dyDescent="0.25">
      <c r="B46" t="s">
        <v>129</v>
      </c>
      <c r="C46" s="12">
        <f>+C17</f>
        <v>-27942800</v>
      </c>
      <c r="D46" s="28">
        <f>+C46+D17</f>
        <v>-15852266.242399998</v>
      </c>
      <c r="E46" s="28">
        <f t="shared" ref="E46:I46" si="16">+D46+E17</f>
        <v>-791617.81651287526</v>
      </c>
      <c r="F46" s="28">
        <f t="shared" si="16"/>
        <v>17434773.74957148</v>
      </c>
      <c r="G46" s="28">
        <f t="shared" si="16"/>
        <v>39088268.720620826</v>
      </c>
      <c r="H46" s="28">
        <f t="shared" si="16"/>
        <v>64447781.096283033</v>
      </c>
      <c r="I46" s="28">
        <f t="shared" si="16"/>
        <v>93810840.026819497</v>
      </c>
    </row>
    <row r="47" spans="2:9" x14ac:dyDescent="0.25">
      <c r="B47" t="s">
        <v>75</v>
      </c>
      <c r="C47" s="28">
        <f>SUM(D44:I44)</f>
        <v>47002944.857449308</v>
      </c>
    </row>
    <row r="48" spans="2:9" x14ac:dyDescent="0.25">
      <c r="B48" s="29" t="s">
        <v>76</v>
      </c>
      <c r="C48" s="30">
        <f>-C47/C13</f>
        <v>1.6821129184422932</v>
      </c>
    </row>
    <row r="49" spans="2:7" x14ac:dyDescent="0.25">
      <c r="B49" s="29" t="s">
        <v>132</v>
      </c>
      <c r="C49" s="30">
        <f>+E43+(F17-F46)/F17</f>
        <v>2.0434325035563221</v>
      </c>
      <c r="D49">
        <v>2</v>
      </c>
      <c r="E49" t="s">
        <v>130</v>
      </c>
      <c r="F49" s="33">
        <f>+(C49-2)*12</f>
        <v>0.52119004267586533</v>
      </c>
      <c r="G49" t="s">
        <v>131</v>
      </c>
    </row>
    <row r="50" spans="2:7" x14ac:dyDescent="0.25">
      <c r="B50" s="29" t="s">
        <v>77</v>
      </c>
      <c r="C50" s="56">
        <f>+F43+(G44-G45)/G44</f>
        <v>3.1892407458644692</v>
      </c>
      <c r="D50">
        <v>3</v>
      </c>
      <c r="E50" t="s">
        <v>130</v>
      </c>
      <c r="F50" s="33">
        <f>+(C50-3)*12</f>
        <v>2.2708889503736298</v>
      </c>
      <c r="G50" t="s">
        <v>131</v>
      </c>
    </row>
    <row r="51" spans="2:7" x14ac:dyDescent="0.25">
      <c r="B51" s="29" t="s">
        <v>134</v>
      </c>
      <c r="C51" s="57">
        <f>+MIRR(C17:I17,18%,18%)</f>
        <v>0.3592747386505426</v>
      </c>
    </row>
    <row r="52" spans="2:7" x14ac:dyDescent="0.25">
      <c r="B52" s="29" t="s">
        <v>135</v>
      </c>
      <c r="C52" s="57">
        <f>70%*(1-34%)*13.5%+30%*18%</f>
        <v>0.11637</v>
      </c>
    </row>
    <row r="53" spans="2:7" x14ac:dyDescent="0.25">
      <c r="B53" s="29" t="s">
        <v>136</v>
      </c>
      <c r="C53" s="59">
        <f>+I36/(C52-9%)</f>
        <v>996302285.04996908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7F98-189D-D547-97FA-F1683E36D646}">
  <dimension ref="A1"/>
  <sheetViews>
    <sheetView workbookViewId="0">
      <selection activeCell="G28" sqref="G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C1E0-49B9-A143-9EDB-ACFC88F3D922}">
  <dimension ref="A1"/>
  <sheetViews>
    <sheetView workbookViewId="0">
      <selection activeCell="A2" sqref="A2"/>
    </sheetView>
  </sheetViews>
  <sheetFormatPr baseColWidth="10" defaultRowHeight="15.75" x14ac:dyDescent="0.25"/>
  <sheetData>
    <row r="1" spans="1:1" x14ac:dyDescent="0.25">
      <c r="A1" s="36" t="s">
        <v>89</v>
      </c>
    </row>
  </sheetData>
  <hyperlinks>
    <hyperlink ref="A1" r:id="rId1" xr:uid="{6653B615-8742-494C-A288-3C4637D931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Inicio</vt:lpstr>
      <vt:lpstr>Hoja de supuestos</vt:lpstr>
      <vt:lpstr>PyG</vt:lpstr>
      <vt:lpstr>Maq&amp;Equipos y Depreciación</vt:lpstr>
      <vt:lpstr>Amortización deuda</vt:lpstr>
      <vt:lpstr>FlujoCajaLibre</vt:lpstr>
      <vt:lpstr>Conclusión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andres montes gomez</cp:lastModifiedBy>
  <dcterms:created xsi:type="dcterms:W3CDTF">2020-04-14T22:46:55Z</dcterms:created>
  <dcterms:modified xsi:type="dcterms:W3CDTF">2020-06-02T00:10:56Z</dcterms:modified>
</cp:coreProperties>
</file>