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D8879015-A01B-4457-B59F-AB1951DEE5C8}" xr6:coauthVersionLast="45" xr6:coauthVersionMax="45" xr10:uidLastSave="{00000000-0000-0000-0000-000000000000}"/>
  <bookViews>
    <workbookView xWindow="-120" yWindow="-120" windowWidth="20730" windowHeight="11160" tabRatio="500" firstSheet="2" activeTab="5" xr2:uid="{00000000-000D-0000-FFFF-FFFF00000000}"/>
  </bookViews>
  <sheets>
    <sheet name="Resumen" sheetId="1" r:id="rId1"/>
    <sheet name="Concentrado" sheetId="2" r:id="rId2"/>
    <sheet name="Lechon" sheetId="3" r:id="rId3"/>
    <sheet name="O.Gastos" sheetId="4" r:id="rId4"/>
    <sheet name="Flujo de Caja" sheetId="5" r:id="rId5"/>
    <sheet name="Flujo de Caja Liquidando" sheetId="8" r:id="rId6"/>
    <sheet name="Gráficas" sheetId="6" r:id="rId7"/>
    <sheet name="Construcción-Arrendamiento" sheetId="7" r:id="rId8"/>
    <sheet name="Tierra Propia - Arrendamiento" sheetId="12" r:id="rId9"/>
    <sheet name="Construcción-Part" sheetId="10" r:id="rId10"/>
    <sheet name="Propio sin Leasing" sheetId="13" r:id="rId11"/>
    <sheet name="J. Gómez" sheetId="14" r:id="rId12"/>
  </sheets>
  <externalReferences>
    <externalReference r:id="rId13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7" i="4"/>
  <c r="C13" i="4"/>
  <c r="C14" i="4"/>
  <c r="C16" i="4"/>
  <c r="A8" i="3"/>
  <c r="A9" i="3"/>
  <c r="A10" i="3"/>
  <c r="A11" i="3"/>
  <c r="A12" i="3"/>
  <c r="A13" i="3"/>
  <c r="A14" i="3"/>
  <c r="A15" i="3"/>
  <c r="A16" i="3"/>
  <c r="A17" i="3"/>
  <c r="A18" i="3"/>
  <c r="A19" i="3"/>
  <c r="C19" i="3"/>
  <c r="B7" i="1"/>
  <c r="B3" i="5"/>
  <c r="B5" i="5"/>
  <c r="B8" i="5"/>
  <c r="H11" i="5"/>
  <c r="I11" i="5"/>
  <c r="J11" i="5"/>
  <c r="K11" i="5"/>
  <c r="L11" i="5"/>
  <c r="M11" i="5"/>
  <c r="N11" i="5"/>
  <c r="O11" i="5"/>
  <c r="P11" i="5"/>
  <c r="Q11" i="5"/>
  <c r="AF11" i="5"/>
  <c r="B69" i="5"/>
  <c r="B68" i="5"/>
  <c r="B34" i="5"/>
  <c r="B32" i="5"/>
  <c r="B33" i="5"/>
  <c r="B31" i="5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C4" i="2"/>
  <c r="C6" i="2"/>
  <c r="C9" i="2"/>
  <c r="B21" i="5"/>
  <c r="B23" i="5"/>
  <c r="B22" i="5"/>
  <c r="B5" i="1"/>
  <c r="H17" i="2"/>
  <c r="H18" i="2"/>
  <c r="B4" i="1"/>
  <c r="B3" i="1"/>
  <c r="B10" i="1"/>
  <c r="B11" i="1"/>
  <c r="B12" i="1"/>
  <c r="B13" i="1"/>
  <c r="B14" i="1"/>
  <c r="C14" i="1"/>
  <c r="C13" i="1"/>
  <c r="C5" i="2"/>
  <c r="C7" i="2"/>
  <c r="G23" i="2"/>
  <c r="H23" i="2"/>
  <c r="B69" i="8"/>
  <c r="B68" i="8"/>
  <c r="B3" i="8"/>
  <c r="B12" i="12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DC10" i="14"/>
  <c r="DD10" i="14"/>
  <c r="DE10" i="14"/>
  <c r="DF10" i="14"/>
  <c r="DG10" i="14"/>
  <c r="DH10" i="14"/>
  <c r="DI10" i="14"/>
  <c r="DJ10" i="14"/>
  <c r="DK10" i="14"/>
  <c r="DL10" i="14"/>
  <c r="DM10" i="14"/>
  <c r="DN10" i="14"/>
  <c r="DO10" i="14"/>
  <c r="DP10" i="14"/>
  <c r="DQ10" i="14"/>
  <c r="DR10" i="14"/>
  <c r="DS10" i="14"/>
  <c r="DT10" i="14"/>
  <c r="DU10" i="14"/>
  <c r="DV10" i="14"/>
  <c r="L10" i="14"/>
  <c r="H10" i="14"/>
  <c r="I10" i="14"/>
  <c r="J10" i="14"/>
  <c r="K10" i="14"/>
  <c r="G10" i="14"/>
  <c r="H27" i="14"/>
  <c r="H26" i="14"/>
  <c r="I26" i="14"/>
  <c r="B43" i="5"/>
  <c r="B10" i="14"/>
  <c r="G3" i="14"/>
  <c r="G5" i="14"/>
  <c r="G4" i="14"/>
  <c r="G15" i="14"/>
  <c r="H3" i="14"/>
  <c r="H5" i="14"/>
  <c r="H4" i="14"/>
  <c r="H15" i="14"/>
  <c r="I3" i="14"/>
  <c r="I5" i="14"/>
  <c r="I4" i="14"/>
  <c r="I15" i="14"/>
  <c r="J3" i="14"/>
  <c r="J5" i="14"/>
  <c r="J4" i="14"/>
  <c r="J15" i="14"/>
  <c r="K3" i="14"/>
  <c r="K5" i="14"/>
  <c r="K4" i="14"/>
  <c r="K15" i="14"/>
  <c r="L3" i="14"/>
  <c r="L5" i="14"/>
  <c r="L4" i="14"/>
  <c r="L15" i="14"/>
  <c r="M5" i="14"/>
  <c r="N5" i="14"/>
  <c r="O5" i="14"/>
  <c r="F15" i="14"/>
  <c r="B9" i="14"/>
  <c r="B5" i="14"/>
  <c r="DV11" i="13"/>
  <c r="H3" i="13"/>
  <c r="I3" i="13"/>
  <c r="J3" i="13"/>
  <c r="K3" i="13"/>
  <c r="L3" i="13"/>
  <c r="G3" i="13"/>
  <c r="B10" i="13"/>
  <c r="G5" i="13"/>
  <c r="G9" i="13"/>
  <c r="G4" i="13"/>
  <c r="G13" i="13"/>
  <c r="H5" i="13"/>
  <c r="H9" i="13"/>
  <c r="H4" i="13"/>
  <c r="H13" i="13"/>
  <c r="I5" i="13"/>
  <c r="I9" i="13"/>
  <c r="I4" i="13"/>
  <c r="I13" i="13"/>
  <c r="J5" i="13"/>
  <c r="J9" i="13"/>
  <c r="J4" i="13"/>
  <c r="J13" i="13"/>
  <c r="K5" i="13"/>
  <c r="K9" i="13"/>
  <c r="K4" i="13"/>
  <c r="K13" i="13"/>
  <c r="L5" i="13"/>
  <c r="L9" i="13"/>
  <c r="L4" i="13"/>
  <c r="L13" i="13"/>
  <c r="M5" i="13"/>
  <c r="M9" i="13"/>
  <c r="M4" i="13"/>
  <c r="M13" i="13"/>
  <c r="N5" i="13"/>
  <c r="N9" i="13"/>
  <c r="N4" i="13"/>
  <c r="N13" i="13"/>
  <c r="O5" i="13"/>
  <c r="O9" i="13"/>
  <c r="O4" i="13"/>
  <c r="O13" i="13"/>
  <c r="P9" i="13"/>
  <c r="Q9" i="13"/>
  <c r="B5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CB9" i="13"/>
  <c r="CC9" i="13"/>
  <c r="CD9" i="13"/>
  <c r="CE9" i="13"/>
  <c r="CF9" i="13"/>
  <c r="CG9" i="13"/>
  <c r="CH9" i="13"/>
  <c r="CI9" i="13"/>
  <c r="CJ9" i="13"/>
  <c r="CK9" i="13"/>
  <c r="CL9" i="13"/>
  <c r="CM9" i="13"/>
  <c r="CN9" i="13"/>
  <c r="CO9" i="13"/>
  <c r="CP9" i="13"/>
  <c r="CQ9" i="13"/>
  <c r="CR9" i="13"/>
  <c r="CS9" i="13"/>
  <c r="CT9" i="13"/>
  <c r="CU9" i="13"/>
  <c r="CV9" i="13"/>
  <c r="CW9" i="13"/>
  <c r="CX9" i="13"/>
  <c r="CY9" i="13"/>
  <c r="CZ9" i="13"/>
  <c r="DA9" i="13"/>
  <c r="DB9" i="13"/>
  <c r="DC9" i="13"/>
  <c r="DD9" i="13"/>
  <c r="DE9" i="13"/>
  <c r="DF9" i="13"/>
  <c r="DG9" i="13"/>
  <c r="DH9" i="13"/>
  <c r="DI9" i="13"/>
  <c r="DJ9" i="13"/>
  <c r="DK9" i="13"/>
  <c r="DL9" i="13"/>
  <c r="DM9" i="13"/>
  <c r="DN9" i="13"/>
  <c r="DO9" i="13"/>
  <c r="DP9" i="13"/>
  <c r="DQ9" i="13"/>
  <c r="DR9" i="13"/>
  <c r="DS9" i="13"/>
  <c r="DT9" i="13"/>
  <c r="DU9" i="13"/>
  <c r="DV9" i="13"/>
  <c r="F13" i="13"/>
  <c r="B9" i="13"/>
  <c r="DV11" i="12"/>
  <c r="B10" i="12"/>
  <c r="G5" i="12"/>
  <c r="G9" i="12"/>
  <c r="G4" i="12"/>
  <c r="G13" i="12"/>
  <c r="H5" i="12"/>
  <c r="H9" i="12"/>
  <c r="H4" i="12"/>
  <c r="H13" i="12"/>
  <c r="I5" i="12"/>
  <c r="I9" i="12"/>
  <c r="I4" i="12"/>
  <c r="I13" i="12"/>
  <c r="J5" i="12"/>
  <c r="J9" i="12"/>
  <c r="J4" i="12"/>
  <c r="J13" i="12"/>
  <c r="K5" i="12"/>
  <c r="K9" i="12"/>
  <c r="K4" i="12"/>
  <c r="K13" i="12"/>
  <c r="L5" i="12"/>
  <c r="L9" i="12"/>
  <c r="L4" i="12"/>
  <c r="L13" i="12"/>
  <c r="M5" i="12"/>
  <c r="M9" i="12"/>
  <c r="M4" i="12"/>
  <c r="M13" i="12"/>
  <c r="N5" i="12"/>
  <c r="N9" i="12"/>
  <c r="N4" i="12"/>
  <c r="N13" i="12"/>
  <c r="O5" i="12"/>
  <c r="O9" i="12"/>
  <c r="O4" i="12"/>
  <c r="O13" i="12"/>
  <c r="P10" i="12"/>
  <c r="P9" i="12"/>
  <c r="Q10" i="12"/>
  <c r="Q9" i="12"/>
  <c r="B5" i="12"/>
  <c r="R10" i="12"/>
  <c r="R9" i="12"/>
  <c r="S10" i="12"/>
  <c r="S9" i="12"/>
  <c r="T10" i="12"/>
  <c r="T9" i="12"/>
  <c r="U10" i="12"/>
  <c r="U9" i="12"/>
  <c r="V10" i="12"/>
  <c r="V9" i="12"/>
  <c r="W10" i="12"/>
  <c r="W9" i="12"/>
  <c r="X10" i="12"/>
  <c r="X9" i="12"/>
  <c r="Y10" i="12"/>
  <c r="Y9" i="12"/>
  <c r="Z10" i="12"/>
  <c r="Z9" i="12"/>
  <c r="AA10" i="12"/>
  <c r="AA9" i="12"/>
  <c r="AB10" i="12"/>
  <c r="AB9" i="12"/>
  <c r="AC10" i="12"/>
  <c r="AC9" i="12"/>
  <c r="AD10" i="12"/>
  <c r="AD9" i="12"/>
  <c r="AE10" i="12"/>
  <c r="AE9" i="12"/>
  <c r="AF10" i="12"/>
  <c r="AF9" i="12"/>
  <c r="AG10" i="12"/>
  <c r="AG9" i="12"/>
  <c r="AH10" i="12"/>
  <c r="AH9" i="12"/>
  <c r="AI10" i="12"/>
  <c r="AI9" i="12"/>
  <c r="AJ10" i="12"/>
  <c r="AJ9" i="12"/>
  <c r="AK10" i="12"/>
  <c r="AK9" i="12"/>
  <c r="AL10" i="12"/>
  <c r="AL9" i="12"/>
  <c r="AM10" i="12"/>
  <c r="AM9" i="12"/>
  <c r="AN10" i="12"/>
  <c r="AN9" i="12"/>
  <c r="AO10" i="12"/>
  <c r="AO9" i="12"/>
  <c r="AP10" i="12"/>
  <c r="AP9" i="12"/>
  <c r="AQ10" i="12"/>
  <c r="AQ9" i="12"/>
  <c r="AR10" i="12"/>
  <c r="AR9" i="12"/>
  <c r="AS10" i="12"/>
  <c r="AS9" i="12"/>
  <c r="AT10" i="12"/>
  <c r="AT9" i="12"/>
  <c r="AU10" i="12"/>
  <c r="AU9" i="12"/>
  <c r="AV10" i="12"/>
  <c r="AV9" i="12"/>
  <c r="AW10" i="12"/>
  <c r="AW9" i="12"/>
  <c r="AX10" i="12"/>
  <c r="AX9" i="12"/>
  <c r="AY10" i="12"/>
  <c r="AY9" i="12"/>
  <c r="AZ10" i="12"/>
  <c r="AZ9" i="12"/>
  <c r="BA10" i="12"/>
  <c r="BA9" i="12"/>
  <c r="BB10" i="12"/>
  <c r="BB9" i="12"/>
  <c r="BC10" i="12"/>
  <c r="BC9" i="12"/>
  <c r="BD10" i="12"/>
  <c r="BD9" i="12"/>
  <c r="BE10" i="12"/>
  <c r="BE9" i="12"/>
  <c r="BF10" i="12"/>
  <c r="BF9" i="12"/>
  <c r="BG10" i="12"/>
  <c r="BG9" i="12"/>
  <c r="BH10" i="12"/>
  <c r="BH9" i="12"/>
  <c r="BI10" i="12"/>
  <c r="BI9" i="12"/>
  <c r="BJ10" i="12"/>
  <c r="BJ9" i="12"/>
  <c r="BK10" i="12"/>
  <c r="BK9" i="12"/>
  <c r="BL10" i="12"/>
  <c r="BL9" i="12"/>
  <c r="BM10" i="12"/>
  <c r="BM9" i="12"/>
  <c r="BN10" i="12"/>
  <c r="BN9" i="12"/>
  <c r="BO10" i="12"/>
  <c r="BO9" i="12"/>
  <c r="BP10" i="12"/>
  <c r="BP9" i="12"/>
  <c r="BQ10" i="12"/>
  <c r="BQ9" i="12"/>
  <c r="BR10" i="12"/>
  <c r="BR9" i="12"/>
  <c r="BS10" i="12"/>
  <c r="BS9" i="12"/>
  <c r="BT10" i="12"/>
  <c r="BT9" i="12"/>
  <c r="BU10" i="12"/>
  <c r="BU9" i="12"/>
  <c r="BV10" i="12"/>
  <c r="BV9" i="12"/>
  <c r="BW10" i="12"/>
  <c r="BW9" i="12"/>
  <c r="BX10" i="12"/>
  <c r="BX9" i="12"/>
  <c r="BY10" i="12"/>
  <c r="BY9" i="12"/>
  <c r="BZ10" i="12"/>
  <c r="BZ9" i="12"/>
  <c r="CA10" i="12"/>
  <c r="CA9" i="12"/>
  <c r="CB10" i="12"/>
  <c r="CB9" i="12"/>
  <c r="CC10" i="12"/>
  <c r="CC9" i="12"/>
  <c r="CD10" i="12"/>
  <c r="CD9" i="12"/>
  <c r="CE10" i="12"/>
  <c r="CE9" i="12"/>
  <c r="CF10" i="12"/>
  <c r="CF9" i="12"/>
  <c r="CG10" i="12"/>
  <c r="CG9" i="12"/>
  <c r="CH10" i="12"/>
  <c r="CH9" i="12"/>
  <c r="CI10" i="12"/>
  <c r="CI9" i="12"/>
  <c r="CJ10" i="12"/>
  <c r="CJ9" i="12"/>
  <c r="CK10" i="12"/>
  <c r="CK9" i="12"/>
  <c r="CL10" i="12"/>
  <c r="CL9" i="12"/>
  <c r="CM10" i="12"/>
  <c r="CM9" i="12"/>
  <c r="CN10" i="12"/>
  <c r="CN9" i="12"/>
  <c r="CO10" i="12"/>
  <c r="CO9" i="12"/>
  <c r="CP10" i="12"/>
  <c r="CP9" i="12"/>
  <c r="CQ10" i="12"/>
  <c r="CQ9" i="12"/>
  <c r="CR10" i="12"/>
  <c r="CR9" i="12"/>
  <c r="CS10" i="12"/>
  <c r="CS9" i="12"/>
  <c r="CT10" i="12"/>
  <c r="CT9" i="12"/>
  <c r="CU10" i="12"/>
  <c r="CU9" i="12"/>
  <c r="CV10" i="12"/>
  <c r="CV9" i="12"/>
  <c r="CW10" i="12"/>
  <c r="CW9" i="12"/>
  <c r="CX10" i="12"/>
  <c r="CX9" i="12"/>
  <c r="CY10" i="12"/>
  <c r="CY9" i="12"/>
  <c r="CZ10" i="12"/>
  <c r="CZ9" i="12"/>
  <c r="DA10" i="12"/>
  <c r="DA9" i="12"/>
  <c r="DB10" i="12"/>
  <c r="DB9" i="12"/>
  <c r="DC10" i="12"/>
  <c r="DC9" i="12"/>
  <c r="DD10" i="12"/>
  <c r="DD9" i="12"/>
  <c r="DE10" i="12"/>
  <c r="DE9" i="12"/>
  <c r="DF10" i="12"/>
  <c r="DF9" i="12"/>
  <c r="DG10" i="12"/>
  <c r="DG9" i="12"/>
  <c r="DH10" i="12"/>
  <c r="DH9" i="12"/>
  <c r="DI10" i="12"/>
  <c r="DI9" i="12"/>
  <c r="DJ10" i="12"/>
  <c r="DJ9" i="12"/>
  <c r="DK10" i="12"/>
  <c r="DK9" i="12"/>
  <c r="DL10" i="12"/>
  <c r="DL9" i="12"/>
  <c r="DM10" i="12"/>
  <c r="DM9" i="12"/>
  <c r="DN10" i="12"/>
  <c r="DN9" i="12"/>
  <c r="DO10" i="12"/>
  <c r="DO9" i="12"/>
  <c r="DP10" i="12"/>
  <c r="DP9" i="12"/>
  <c r="DQ10" i="12"/>
  <c r="DQ9" i="12"/>
  <c r="DR10" i="12"/>
  <c r="DR9" i="12"/>
  <c r="DS10" i="12"/>
  <c r="DS9" i="12"/>
  <c r="DT10" i="12"/>
  <c r="DT9" i="12"/>
  <c r="DU10" i="12"/>
  <c r="DU9" i="12"/>
  <c r="DV10" i="12"/>
  <c r="DV9" i="12"/>
  <c r="F13" i="12"/>
  <c r="B9" i="12"/>
  <c r="B10" i="10"/>
  <c r="G5" i="10"/>
  <c r="G9" i="10"/>
  <c r="G4" i="10"/>
  <c r="G13" i="10"/>
  <c r="H5" i="10"/>
  <c r="H9" i="10"/>
  <c r="H4" i="10"/>
  <c r="H13" i="10"/>
  <c r="I5" i="10"/>
  <c r="I9" i="10"/>
  <c r="I4" i="10"/>
  <c r="I13" i="10"/>
  <c r="J5" i="10"/>
  <c r="J9" i="10"/>
  <c r="J4" i="10"/>
  <c r="J13" i="10"/>
  <c r="K5" i="10"/>
  <c r="K9" i="10"/>
  <c r="K4" i="10"/>
  <c r="K13" i="10"/>
  <c r="L5" i="10"/>
  <c r="L9" i="10"/>
  <c r="L4" i="10"/>
  <c r="L13" i="10"/>
  <c r="M5" i="10"/>
  <c r="M9" i="10"/>
  <c r="M4" i="10"/>
  <c r="M13" i="10"/>
  <c r="N5" i="10"/>
  <c r="N9" i="10"/>
  <c r="N4" i="10"/>
  <c r="N13" i="10"/>
  <c r="O5" i="10"/>
  <c r="O9" i="10"/>
  <c r="O4" i="10"/>
  <c r="O13" i="10"/>
  <c r="P5" i="10"/>
  <c r="P10" i="10"/>
  <c r="P9" i="10"/>
  <c r="P4" i="10"/>
  <c r="P13" i="10"/>
  <c r="Q5" i="10"/>
  <c r="Q10" i="10"/>
  <c r="Q9" i="10"/>
  <c r="Q4" i="10"/>
  <c r="Q13" i="10"/>
  <c r="B5" i="10"/>
  <c r="F3" i="10"/>
  <c r="R3" i="10"/>
  <c r="R5" i="10"/>
  <c r="R10" i="10"/>
  <c r="R9" i="10"/>
  <c r="R4" i="10"/>
  <c r="R13" i="10"/>
  <c r="S10" i="10"/>
  <c r="S9" i="10"/>
  <c r="T10" i="10"/>
  <c r="T9" i="10"/>
  <c r="U10" i="10"/>
  <c r="U9" i="10"/>
  <c r="V10" i="10"/>
  <c r="V9" i="10"/>
  <c r="W10" i="10"/>
  <c r="W9" i="10"/>
  <c r="X10" i="10"/>
  <c r="X9" i="10"/>
  <c r="Y10" i="10"/>
  <c r="Y9" i="10"/>
  <c r="Z10" i="10"/>
  <c r="Z9" i="10"/>
  <c r="AA10" i="10"/>
  <c r="AA9" i="10"/>
  <c r="AB10" i="10"/>
  <c r="AB9" i="10"/>
  <c r="AC10" i="10"/>
  <c r="AC9" i="10"/>
  <c r="AD3" i="10"/>
  <c r="AD10" i="10"/>
  <c r="AD9" i="10"/>
  <c r="AE10" i="10"/>
  <c r="AE9" i="10"/>
  <c r="AF10" i="10"/>
  <c r="AF9" i="10"/>
  <c r="AG10" i="10"/>
  <c r="AG9" i="10"/>
  <c r="AH10" i="10"/>
  <c r="AH9" i="10"/>
  <c r="AI10" i="10"/>
  <c r="AI9" i="10"/>
  <c r="AJ10" i="10"/>
  <c r="AJ9" i="10"/>
  <c r="AK10" i="10"/>
  <c r="AK9" i="10"/>
  <c r="AL10" i="10"/>
  <c r="AL9" i="10"/>
  <c r="AM10" i="10"/>
  <c r="AM9" i="10"/>
  <c r="AN10" i="10"/>
  <c r="AN9" i="10"/>
  <c r="AO10" i="10"/>
  <c r="AO9" i="10"/>
  <c r="AP10" i="10"/>
  <c r="AP9" i="10"/>
  <c r="AQ10" i="10"/>
  <c r="AQ9" i="10"/>
  <c r="AR10" i="10"/>
  <c r="AR9" i="10"/>
  <c r="AS10" i="10"/>
  <c r="AS9" i="10"/>
  <c r="AT10" i="10"/>
  <c r="AT9" i="10"/>
  <c r="AU10" i="10"/>
  <c r="AU9" i="10"/>
  <c r="AV10" i="10"/>
  <c r="AV9" i="10"/>
  <c r="AW10" i="10"/>
  <c r="AW9" i="10"/>
  <c r="AX10" i="10"/>
  <c r="AX9" i="10"/>
  <c r="AY10" i="10"/>
  <c r="AY9" i="10"/>
  <c r="AZ10" i="10"/>
  <c r="AZ9" i="10"/>
  <c r="BA10" i="10"/>
  <c r="BA9" i="10"/>
  <c r="BB10" i="10"/>
  <c r="BB9" i="10"/>
  <c r="BC10" i="10"/>
  <c r="BC9" i="10"/>
  <c r="BD10" i="10"/>
  <c r="BD9" i="10"/>
  <c r="BE10" i="10"/>
  <c r="BE9" i="10"/>
  <c r="BF10" i="10"/>
  <c r="BF9" i="10"/>
  <c r="BG10" i="10"/>
  <c r="BG9" i="10"/>
  <c r="BH10" i="10"/>
  <c r="BH9" i="10"/>
  <c r="BI10" i="10"/>
  <c r="BI9" i="10"/>
  <c r="BJ10" i="10"/>
  <c r="BJ9" i="10"/>
  <c r="BK10" i="10"/>
  <c r="BK9" i="10"/>
  <c r="BL10" i="10"/>
  <c r="BL9" i="10"/>
  <c r="BM10" i="10"/>
  <c r="BM9" i="10"/>
  <c r="BN10" i="10"/>
  <c r="BN9" i="10"/>
  <c r="BO10" i="10"/>
  <c r="BO9" i="10"/>
  <c r="BP10" i="10"/>
  <c r="BP9" i="10"/>
  <c r="BQ10" i="10"/>
  <c r="BQ9" i="10"/>
  <c r="BR10" i="10"/>
  <c r="BR9" i="10"/>
  <c r="BS10" i="10"/>
  <c r="BS9" i="10"/>
  <c r="BT10" i="10"/>
  <c r="BT9" i="10"/>
  <c r="BU10" i="10"/>
  <c r="BU9" i="10"/>
  <c r="BV10" i="10"/>
  <c r="BV9" i="10"/>
  <c r="BW10" i="10"/>
  <c r="BW9" i="10"/>
  <c r="BX10" i="10"/>
  <c r="BX9" i="10"/>
  <c r="BY10" i="10"/>
  <c r="BY9" i="10"/>
  <c r="BZ10" i="10"/>
  <c r="BZ9" i="10"/>
  <c r="CA10" i="10"/>
  <c r="CA9" i="10"/>
  <c r="CB10" i="10"/>
  <c r="CB9" i="10"/>
  <c r="CC10" i="10"/>
  <c r="CC9" i="10"/>
  <c r="CD10" i="10"/>
  <c r="CD9" i="10"/>
  <c r="CE10" i="10"/>
  <c r="CE9" i="10"/>
  <c r="CF10" i="10"/>
  <c r="CF9" i="10"/>
  <c r="CG10" i="10"/>
  <c r="CG9" i="10"/>
  <c r="CH10" i="10"/>
  <c r="CH9" i="10"/>
  <c r="CI10" i="10"/>
  <c r="CI9" i="10"/>
  <c r="CJ10" i="10"/>
  <c r="CJ9" i="10"/>
  <c r="CK10" i="10"/>
  <c r="CK9" i="10"/>
  <c r="CL10" i="10"/>
  <c r="CL9" i="10"/>
  <c r="CM10" i="10"/>
  <c r="CM9" i="10"/>
  <c r="CN10" i="10"/>
  <c r="CN9" i="10"/>
  <c r="CO10" i="10"/>
  <c r="CO9" i="10"/>
  <c r="CP10" i="10"/>
  <c r="CP9" i="10"/>
  <c r="CQ10" i="10"/>
  <c r="CQ9" i="10"/>
  <c r="CR10" i="10"/>
  <c r="CR9" i="10"/>
  <c r="CS10" i="10"/>
  <c r="CS9" i="10"/>
  <c r="CT10" i="10"/>
  <c r="CT9" i="10"/>
  <c r="CU10" i="10"/>
  <c r="CU9" i="10"/>
  <c r="CV10" i="10"/>
  <c r="CV9" i="10"/>
  <c r="CW10" i="10"/>
  <c r="CW9" i="10"/>
  <c r="CX10" i="10"/>
  <c r="CX9" i="10"/>
  <c r="CY10" i="10"/>
  <c r="CY9" i="10"/>
  <c r="CZ10" i="10"/>
  <c r="CZ9" i="10"/>
  <c r="DA10" i="10"/>
  <c r="DA9" i="10"/>
  <c r="DB10" i="10"/>
  <c r="DB9" i="10"/>
  <c r="DC10" i="10"/>
  <c r="DC9" i="10"/>
  <c r="DD10" i="10"/>
  <c r="DD9" i="10"/>
  <c r="DE10" i="10"/>
  <c r="DE9" i="10"/>
  <c r="DF10" i="10"/>
  <c r="DF9" i="10"/>
  <c r="DG10" i="10"/>
  <c r="DG9" i="10"/>
  <c r="DH10" i="10"/>
  <c r="DH9" i="10"/>
  <c r="DI10" i="10"/>
  <c r="DI9" i="10"/>
  <c r="DJ10" i="10"/>
  <c r="DJ9" i="10"/>
  <c r="DK10" i="10"/>
  <c r="DK9" i="10"/>
  <c r="DL10" i="10"/>
  <c r="DL9" i="10"/>
  <c r="DM10" i="10"/>
  <c r="DM9" i="10"/>
  <c r="DN10" i="10"/>
  <c r="DN9" i="10"/>
  <c r="DO10" i="10"/>
  <c r="DO9" i="10"/>
  <c r="DP10" i="10"/>
  <c r="DP9" i="10"/>
  <c r="DQ10" i="10"/>
  <c r="DQ9" i="10"/>
  <c r="DR10" i="10"/>
  <c r="DR9" i="10"/>
  <c r="DS10" i="10"/>
  <c r="DS9" i="10"/>
  <c r="DT10" i="10"/>
  <c r="DT9" i="10"/>
  <c r="DU10" i="10"/>
  <c r="DU9" i="10"/>
  <c r="DV10" i="10"/>
  <c r="DV9" i="10"/>
  <c r="DV11" i="10"/>
  <c r="F13" i="10"/>
  <c r="B9" i="10"/>
  <c r="B5" i="7"/>
  <c r="DV11" i="7"/>
  <c r="B9" i="7"/>
  <c r="B10" i="7"/>
  <c r="H5" i="7"/>
  <c r="I5" i="7"/>
  <c r="J5" i="7"/>
  <c r="K5" i="7"/>
  <c r="L5" i="7"/>
  <c r="M5" i="7"/>
  <c r="N5" i="7"/>
  <c r="O5" i="7"/>
  <c r="G5" i="7"/>
  <c r="G9" i="7"/>
  <c r="G4" i="7"/>
  <c r="G13" i="7"/>
  <c r="H9" i="7"/>
  <c r="H4" i="7"/>
  <c r="H13" i="7"/>
  <c r="I9" i="7"/>
  <c r="I4" i="7"/>
  <c r="I13" i="7"/>
  <c r="J9" i="7"/>
  <c r="J4" i="7"/>
  <c r="J13" i="7"/>
  <c r="K9" i="7"/>
  <c r="K4" i="7"/>
  <c r="K13" i="7"/>
  <c r="L9" i="7"/>
  <c r="L4" i="7"/>
  <c r="L13" i="7"/>
  <c r="M9" i="7"/>
  <c r="M4" i="7"/>
  <c r="M13" i="7"/>
  <c r="N9" i="7"/>
  <c r="N4" i="7"/>
  <c r="N13" i="7"/>
  <c r="O9" i="7"/>
  <c r="O4" i="7"/>
  <c r="O13" i="7"/>
  <c r="F3" i="7"/>
  <c r="R3" i="7"/>
  <c r="AD3" i="7"/>
  <c r="F13" i="7"/>
  <c r="P10" i="7"/>
  <c r="P9" i="7"/>
  <c r="Q10" i="7"/>
  <c r="Q9" i="7"/>
  <c r="R10" i="7"/>
  <c r="R9" i="7"/>
  <c r="S10" i="7"/>
  <c r="S9" i="7"/>
  <c r="T10" i="7"/>
  <c r="T9" i="7"/>
  <c r="U10" i="7"/>
  <c r="U9" i="7"/>
  <c r="V10" i="7"/>
  <c r="V9" i="7"/>
  <c r="W10" i="7"/>
  <c r="W9" i="7"/>
  <c r="X10" i="7"/>
  <c r="X9" i="7"/>
  <c r="Y10" i="7"/>
  <c r="Y9" i="7"/>
  <c r="Z10" i="7"/>
  <c r="Z9" i="7"/>
  <c r="AA10" i="7"/>
  <c r="AA9" i="7"/>
  <c r="AB10" i="7"/>
  <c r="AB9" i="7"/>
  <c r="AC10" i="7"/>
  <c r="AC9" i="7"/>
  <c r="AD10" i="7"/>
  <c r="AD9" i="7"/>
  <c r="AE10" i="7"/>
  <c r="AE9" i="7"/>
  <c r="AF10" i="7"/>
  <c r="AF9" i="7"/>
  <c r="AG10" i="7"/>
  <c r="AG9" i="7"/>
  <c r="AH10" i="7"/>
  <c r="AH9" i="7"/>
  <c r="AI10" i="7"/>
  <c r="AI9" i="7"/>
  <c r="AJ10" i="7"/>
  <c r="AJ9" i="7"/>
  <c r="AK10" i="7"/>
  <c r="AK9" i="7"/>
  <c r="AL10" i="7"/>
  <c r="AL9" i="7"/>
  <c r="AM10" i="7"/>
  <c r="AM9" i="7"/>
  <c r="AN10" i="7"/>
  <c r="AN9" i="7"/>
  <c r="AO10" i="7"/>
  <c r="AO9" i="7"/>
  <c r="AP10" i="7"/>
  <c r="AP9" i="7"/>
  <c r="AQ10" i="7"/>
  <c r="AQ9" i="7"/>
  <c r="AR10" i="7"/>
  <c r="AR9" i="7"/>
  <c r="AS10" i="7"/>
  <c r="AS9" i="7"/>
  <c r="AT10" i="7"/>
  <c r="AT9" i="7"/>
  <c r="AU10" i="7"/>
  <c r="AU9" i="7"/>
  <c r="AV10" i="7"/>
  <c r="AV9" i="7"/>
  <c r="AW10" i="7"/>
  <c r="AW9" i="7"/>
  <c r="AX10" i="7"/>
  <c r="AX9" i="7"/>
  <c r="AY10" i="7"/>
  <c r="AY9" i="7"/>
  <c r="AZ10" i="7"/>
  <c r="AZ9" i="7"/>
  <c r="BA10" i="7"/>
  <c r="BA9" i="7"/>
  <c r="BB10" i="7"/>
  <c r="BB9" i="7"/>
  <c r="BC10" i="7"/>
  <c r="BC9" i="7"/>
  <c r="BD10" i="7"/>
  <c r="BD9" i="7"/>
  <c r="BE10" i="7"/>
  <c r="BE9" i="7"/>
  <c r="BF10" i="7"/>
  <c r="BF9" i="7"/>
  <c r="BG10" i="7"/>
  <c r="BG9" i="7"/>
  <c r="BH10" i="7"/>
  <c r="BH9" i="7"/>
  <c r="BI10" i="7"/>
  <c r="BI9" i="7"/>
  <c r="BJ10" i="7"/>
  <c r="BJ9" i="7"/>
  <c r="BK10" i="7"/>
  <c r="BK9" i="7"/>
  <c r="BL10" i="7"/>
  <c r="BL9" i="7"/>
  <c r="BM10" i="7"/>
  <c r="BM9" i="7"/>
  <c r="BN10" i="7"/>
  <c r="BN9" i="7"/>
  <c r="BO10" i="7"/>
  <c r="BO9" i="7"/>
  <c r="BP10" i="7"/>
  <c r="BP9" i="7"/>
  <c r="BQ10" i="7"/>
  <c r="BQ9" i="7"/>
  <c r="BR10" i="7"/>
  <c r="BR9" i="7"/>
  <c r="BS10" i="7"/>
  <c r="BS9" i="7"/>
  <c r="BT10" i="7"/>
  <c r="BT9" i="7"/>
  <c r="BU10" i="7"/>
  <c r="BU9" i="7"/>
  <c r="BV10" i="7"/>
  <c r="BV9" i="7"/>
  <c r="BW10" i="7"/>
  <c r="BW9" i="7"/>
  <c r="BX10" i="7"/>
  <c r="BX9" i="7"/>
  <c r="BY10" i="7"/>
  <c r="BY9" i="7"/>
  <c r="BZ10" i="7"/>
  <c r="BZ9" i="7"/>
  <c r="CA10" i="7"/>
  <c r="CA9" i="7"/>
  <c r="CB10" i="7"/>
  <c r="CB9" i="7"/>
  <c r="CC10" i="7"/>
  <c r="CC9" i="7"/>
  <c r="CD10" i="7"/>
  <c r="CD9" i="7"/>
  <c r="CE10" i="7"/>
  <c r="CE9" i="7"/>
  <c r="CF10" i="7"/>
  <c r="CF9" i="7"/>
  <c r="CG10" i="7"/>
  <c r="CG9" i="7"/>
  <c r="CH10" i="7"/>
  <c r="CH9" i="7"/>
  <c r="CI10" i="7"/>
  <c r="CI9" i="7"/>
  <c r="CJ10" i="7"/>
  <c r="CJ9" i="7"/>
  <c r="CK10" i="7"/>
  <c r="CK9" i="7"/>
  <c r="CL10" i="7"/>
  <c r="CL9" i="7"/>
  <c r="CM10" i="7"/>
  <c r="CM9" i="7"/>
  <c r="CN10" i="7"/>
  <c r="CN9" i="7"/>
  <c r="CO10" i="7"/>
  <c r="CO9" i="7"/>
  <c r="CP10" i="7"/>
  <c r="CP9" i="7"/>
  <c r="CQ10" i="7"/>
  <c r="CQ9" i="7"/>
  <c r="CR10" i="7"/>
  <c r="CR9" i="7"/>
  <c r="CS10" i="7"/>
  <c r="CS9" i="7"/>
  <c r="CT10" i="7"/>
  <c r="CT9" i="7"/>
  <c r="CU10" i="7"/>
  <c r="CU9" i="7"/>
  <c r="CV10" i="7"/>
  <c r="CV9" i="7"/>
  <c r="CW10" i="7"/>
  <c r="CW9" i="7"/>
  <c r="CX10" i="7"/>
  <c r="CX9" i="7"/>
  <c r="CY10" i="7"/>
  <c r="CY9" i="7"/>
  <c r="CZ10" i="7"/>
  <c r="CZ9" i="7"/>
  <c r="DA10" i="7"/>
  <c r="DA9" i="7"/>
  <c r="DB10" i="7"/>
  <c r="DB9" i="7"/>
  <c r="DC10" i="7"/>
  <c r="DC9" i="7"/>
  <c r="DD10" i="7"/>
  <c r="DD9" i="7"/>
  <c r="DE10" i="7"/>
  <c r="DE9" i="7"/>
  <c r="DF10" i="7"/>
  <c r="DF9" i="7"/>
  <c r="DG10" i="7"/>
  <c r="DG9" i="7"/>
  <c r="DH10" i="7"/>
  <c r="DH9" i="7"/>
  <c r="DI10" i="7"/>
  <c r="DI9" i="7"/>
  <c r="DJ10" i="7"/>
  <c r="DJ9" i="7"/>
  <c r="DK10" i="7"/>
  <c r="DK9" i="7"/>
  <c r="DL10" i="7"/>
  <c r="DL9" i="7"/>
  <c r="DM10" i="7"/>
  <c r="DM9" i="7"/>
  <c r="DN10" i="7"/>
  <c r="DN9" i="7"/>
  <c r="DO10" i="7"/>
  <c r="DO9" i="7"/>
  <c r="DP10" i="7"/>
  <c r="DP9" i="7"/>
  <c r="DQ10" i="7"/>
  <c r="DQ9" i="7"/>
  <c r="DR10" i="7"/>
  <c r="DR9" i="7"/>
  <c r="DS10" i="7"/>
  <c r="DS9" i="7"/>
  <c r="DT10" i="7"/>
  <c r="DT9" i="7"/>
  <c r="DU10" i="7"/>
  <c r="DU9" i="7"/>
  <c r="DV10" i="7"/>
  <c r="DV9" i="7"/>
  <c r="B5" i="8"/>
  <c r="B64" i="8"/>
  <c r="B23" i="8"/>
  <c r="B20" i="8"/>
  <c r="AC7" i="8"/>
  <c r="C64" i="8"/>
  <c r="AB7" i="8"/>
  <c r="D64" i="8"/>
  <c r="AA7" i="8"/>
  <c r="H7" i="8"/>
  <c r="E64" i="8"/>
  <c r="A45" i="8"/>
  <c r="C44" i="8"/>
  <c r="B43" i="8"/>
  <c r="B40" i="8"/>
  <c r="B39" i="8"/>
  <c r="F7" i="8"/>
  <c r="B8" i="8"/>
  <c r="A20" i="3"/>
  <c r="A21" i="3"/>
  <c r="A22" i="3"/>
  <c r="B26" i="8"/>
  <c r="F8" i="8"/>
  <c r="B28" i="8"/>
  <c r="F10" i="8"/>
  <c r="F9" i="8"/>
  <c r="F6" i="8"/>
  <c r="B32" i="8"/>
  <c r="B33" i="8"/>
  <c r="B31" i="8"/>
  <c r="F13" i="8"/>
  <c r="B34" i="8"/>
  <c r="F14" i="8"/>
  <c r="F12" i="8"/>
  <c r="F5" i="8"/>
  <c r="F15" i="8"/>
  <c r="F17" i="8"/>
  <c r="F18" i="8"/>
  <c r="F19" i="8"/>
  <c r="F20" i="8"/>
  <c r="F21" i="8"/>
  <c r="F16" i="8"/>
  <c r="F22" i="8"/>
  <c r="F23" i="8"/>
  <c r="F24" i="8"/>
  <c r="F3" i="8"/>
  <c r="F28" i="8"/>
  <c r="F29" i="8"/>
  <c r="F30" i="8"/>
  <c r="G7" i="8"/>
  <c r="G8" i="8"/>
  <c r="G10" i="8"/>
  <c r="G9" i="8"/>
  <c r="G6" i="8"/>
  <c r="G13" i="8"/>
  <c r="G14" i="8"/>
  <c r="G12" i="8"/>
  <c r="G5" i="8"/>
  <c r="G15" i="8"/>
  <c r="G17" i="8"/>
  <c r="G18" i="8"/>
  <c r="G19" i="8"/>
  <c r="G20" i="8"/>
  <c r="G21" i="8"/>
  <c r="G16" i="8"/>
  <c r="G22" i="8"/>
  <c r="G23" i="8"/>
  <c r="G24" i="8"/>
  <c r="G3" i="8"/>
  <c r="G28" i="8"/>
  <c r="G29" i="8"/>
  <c r="G30" i="8"/>
  <c r="H8" i="8"/>
  <c r="H10" i="8"/>
  <c r="H11" i="8"/>
  <c r="H9" i="8"/>
  <c r="H6" i="8"/>
  <c r="H13" i="8"/>
  <c r="H14" i="8"/>
  <c r="H12" i="8"/>
  <c r="H5" i="8"/>
  <c r="H15" i="8"/>
  <c r="H17" i="8"/>
  <c r="H18" i="8"/>
  <c r="H19" i="8"/>
  <c r="H20" i="8"/>
  <c r="H21" i="8"/>
  <c r="H16" i="8"/>
  <c r="H22" i="8"/>
  <c r="H23" i="8"/>
  <c r="H24" i="8"/>
  <c r="H3" i="8"/>
  <c r="H28" i="8"/>
  <c r="H29" i="8"/>
  <c r="H30" i="8"/>
  <c r="I4" i="8"/>
  <c r="I7" i="8"/>
  <c r="I8" i="8"/>
  <c r="I10" i="8"/>
  <c r="I11" i="8"/>
  <c r="I9" i="8"/>
  <c r="I6" i="8"/>
  <c r="I13" i="8"/>
  <c r="I14" i="8"/>
  <c r="I12" i="8"/>
  <c r="I5" i="8"/>
  <c r="I15" i="8"/>
  <c r="I17" i="8"/>
  <c r="I18" i="8"/>
  <c r="I19" i="8"/>
  <c r="I20" i="8"/>
  <c r="I21" i="8"/>
  <c r="I16" i="8"/>
  <c r="I22" i="8"/>
  <c r="I23" i="8"/>
  <c r="I24" i="8"/>
  <c r="I3" i="8"/>
  <c r="I28" i="8"/>
  <c r="I29" i="8"/>
  <c r="I30" i="8"/>
  <c r="J4" i="8"/>
  <c r="J7" i="8"/>
  <c r="J8" i="8"/>
  <c r="J10" i="8"/>
  <c r="J11" i="8"/>
  <c r="J9" i="8"/>
  <c r="J6" i="8"/>
  <c r="J13" i="8"/>
  <c r="J14" i="8"/>
  <c r="J12" i="8"/>
  <c r="J5" i="8"/>
  <c r="J15" i="8"/>
  <c r="J17" i="8"/>
  <c r="J18" i="8"/>
  <c r="J19" i="8"/>
  <c r="J20" i="8"/>
  <c r="J21" i="8"/>
  <c r="J16" i="8"/>
  <c r="J22" i="8"/>
  <c r="J23" i="8"/>
  <c r="J24" i="8"/>
  <c r="J3" i="8"/>
  <c r="J28" i="8"/>
  <c r="J29" i="8"/>
  <c r="J30" i="8"/>
  <c r="K4" i="8"/>
  <c r="K7" i="8"/>
  <c r="K8" i="8"/>
  <c r="K10" i="8"/>
  <c r="K11" i="8"/>
  <c r="K9" i="8"/>
  <c r="K6" i="8"/>
  <c r="K13" i="8"/>
  <c r="K14" i="8"/>
  <c r="K12" i="8"/>
  <c r="K5" i="8"/>
  <c r="K15" i="8"/>
  <c r="K17" i="8"/>
  <c r="K18" i="8"/>
  <c r="K19" i="8"/>
  <c r="K20" i="8"/>
  <c r="K21" i="8"/>
  <c r="K16" i="8"/>
  <c r="K22" i="8"/>
  <c r="K23" i="8"/>
  <c r="K24" i="8"/>
  <c r="K3" i="8"/>
  <c r="K28" i="8"/>
  <c r="K29" i="8"/>
  <c r="K30" i="8"/>
  <c r="L4" i="8"/>
  <c r="L7" i="8"/>
  <c r="L8" i="8"/>
  <c r="L10" i="8"/>
  <c r="L11" i="8"/>
  <c r="L9" i="8"/>
  <c r="L6" i="8"/>
  <c r="L13" i="8"/>
  <c r="L14" i="8"/>
  <c r="L12" i="8"/>
  <c r="L5" i="8"/>
  <c r="L15" i="8"/>
  <c r="L17" i="8"/>
  <c r="L18" i="8"/>
  <c r="L19" i="8"/>
  <c r="L20" i="8"/>
  <c r="L21" i="8"/>
  <c r="L16" i="8"/>
  <c r="L22" i="8"/>
  <c r="L23" i="8"/>
  <c r="L24" i="8"/>
  <c r="L3" i="8"/>
  <c r="L28" i="8"/>
  <c r="L29" i="8"/>
  <c r="L30" i="8"/>
  <c r="M4" i="8"/>
  <c r="M7" i="8"/>
  <c r="M8" i="8"/>
  <c r="M10" i="8"/>
  <c r="M11" i="8"/>
  <c r="M9" i="8"/>
  <c r="M6" i="8"/>
  <c r="M13" i="8"/>
  <c r="M14" i="8"/>
  <c r="M12" i="8"/>
  <c r="M5" i="8"/>
  <c r="M15" i="8"/>
  <c r="M17" i="8"/>
  <c r="M18" i="8"/>
  <c r="M19" i="8"/>
  <c r="M20" i="8"/>
  <c r="M21" i="8"/>
  <c r="M16" i="8"/>
  <c r="M22" i="8"/>
  <c r="M23" i="8"/>
  <c r="M24" i="8"/>
  <c r="M3" i="8"/>
  <c r="M28" i="8"/>
  <c r="M29" i="8"/>
  <c r="M30" i="8"/>
  <c r="N4" i="8"/>
  <c r="N7" i="8"/>
  <c r="N8" i="8"/>
  <c r="N10" i="8"/>
  <c r="N11" i="8"/>
  <c r="N9" i="8"/>
  <c r="N6" i="8"/>
  <c r="N13" i="8"/>
  <c r="N14" i="8"/>
  <c r="N12" i="8"/>
  <c r="N5" i="8"/>
  <c r="N15" i="8"/>
  <c r="N17" i="8"/>
  <c r="N18" i="8"/>
  <c r="N19" i="8"/>
  <c r="N20" i="8"/>
  <c r="N21" i="8"/>
  <c r="N16" i="8"/>
  <c r="N22" i="8"/>
  <c r="N23" i="8"/>
  <c r="N24" i="8"/>
  <c r="N3" i="8"/>
  <c r="N28" i="8"/>
  <c r="N29" i="8"/>
  <c r="N30" i="8"/>
  <c r="O4" i="8"/>
  <c r="O7" i="8"/>
  <c r="O8" i="8"/>
  <c r="O10" i="8"/>
  <c r="O11" i="8"/>
  <c r="O9" i="8"/>
  <c r="O6" i="8"/>
  <c r="O13" i="8"/>
  <c r="O14" i="8"/>
  <c r="O12" i="8"/>
  <c r="O5" i="8"/>
  <c r="O15" i="8"/>
  <c r="O17" i="8"/>
  <c r="O18" i="8"/>
  <c r="O19" i="8"/>
  <c r="O20" i="8"/>
  <c r="O21" i="8"/>
  <c r="O16" i="8"/>
  <c r="O22" i="8"/>
  <c r="O23" i="8"/>
  <c r="O24" i="8"/>
  <c r="O3" i="8"/>
  <c r="O28" i="8"/>
  <c r="O29" i="8"/>
  <c r="O30" i="8"/>
  <c r="P4" i="8"/>
  <c r="P7" i="8"/>
  <c r="P8" i="8"/>
  <c r="P10" i="8"/>
  <c r="P11" i="8"/>
  <c r="P9" i="8"/>
  <c r="P6" i="8"/>
  <c r="P13" i="8"/>
  <c r="P14" i="8"/>
  <c r="P12" i="8"/>
  <c r="P5" i="8"/>
  <c r="P15" i="8"/>
  <c r="P17" i="8"/>
  <c r="P18" i="8"/>
  <c r="P19" i="8"/>
  <c r="P20" i="8"/>
  <c r="P21" i="8"/>
  <c r="P16" i="8"/>
  <c r="P22" i="8"/>
  <c r="P23" i="8"/>
  <c r="P24" i="8"/>
  <c r="P3" i="8"/>
  <c r="P28" i="8"/>
  <c r="P29" i="8"/>
  <c r="P30" i="8"/>
  <c r="Q4" i="8"/>
  <c r="Q7" i="8"/>
  <c r="Q8" i="8"/>
  <c r="Q10" i="8"/>
  <c r="Q11" i="8"/>
  <c r="Q9" i="8"/>
  <c r="Q6" i="8"/>
  <c r="Q13" i="8"/>
  <c r="Q14" i="8"/>
  <c r="Q12" i="8"/>
  <c r="Q5" i="8"/>
  <c r="Q15" i="8"/>
  <c r="Q17" i="8"/>
  <c r="Q18" i="8"/>
  <c r="Q19" i="8"/>
  <c r="Q20" i="8"/>
  <c r="Q21" i="8"/>
  <c r="Q16" i="8"/>
  <c r="Q22" i="8"/>
  <c r="Q23" i="8"/>
  <c r="Q24" i="8"/>
  <c r="Q3" i="8"/>
  <c r="Q28" i="8"/>
  <c r="Q29" i="8"/>
  <c r="Q30" i="8"/>
  <c r="R4" i="8"/>
  <c r="R7" i="8"/>
  <c r="R8" i="8"/>
  <c r="R10" i="8"/>
  <c r="R11" i="8"/>
  <c r="R9" i="8"/>
  <c r="R6" i="8"/>
  <c r="R13" i="8"/>
  <c r="R14" i="8"/>
  <c r="R12" i="8"/>
  <c r="R5" i="8"/>
  <c r="R15" i="8"/>
  <c r="R17" i="8"/>
  <c r="R18" i="8"/>
  <c r="R19" i="8"/>
  <c r="R20" i="8"/>
  <c r="R21" i="8"/>
  <c r="R16" i="8"/>
  <c r="R22" i="8"/>
  <c r="R23" i="8"/>
  <c r="R24" i="8"/>
  <c r="R3" i="8"/>
  <c r="R28" i="8"/>
  <c r="R29" i="8"/>
  <c r="R30" i="8"/>
  <c r="S4" i="8"/>
  <c r="S7" i="8"/>
  <c r="S8" i="8"/>
  <c r="S10" i="8"/>
  <c r="S11" i="8"/>
  <c r="S9" i="8"/>
  <c r="S6" i="8"/>
  <c r="S13" i="8"/>
  <c r="S14" i="8"/>
  <c r="S12" i="8"/>
  <c r="S5" i="8"/>
  <c r="S15" i="8"/>
  <c r="S17" i="8"/>
  <c r="S18" i="8"/>
  <c r="S19" i="8"/>
  <c r="S20" i="8"/>
  <c r="S21" i="8"/>
  <c r="S16" i="8"/>
  <c r="S22" i="8"/>
  <c r="S23" i="8"/>
  <c r="S24" i="8"/>
  <c r="S3" i="8"/>
  <c r="S28" i="8"/>
  <c r="S29" i="8"/>
  <c r="S30" i="8"/>
  <c r="T4" i="8"/>
  <c r="T7" i="8"/>
  <c r="T8" i="8"/>
  <c r="T10" i="8"/>
  <c r="T11" i="8"/>
  <c r="T9" i="8"/>
  <c r="T6" i="8"/>
  <c r="T13" i="8"/>
  <c r="T14" i="8"/>
  <c r="T12" i="8"/>
  <c r="T5" i="8"/>
  <c r="T15" i="8"/>
  <c r="T17" i="8"/>
  <c r="T18" i="8"/>
  <c r="T19" i="8"/>
  <c r="T20" i="8"/>
  <c r="T21" i="8"/>
  <c r="T16" i="8"/>
  <c r="T22" i="8"/>
  <c r="T23" i="8"/>
  <c r="T24" i="8"/>
  <c r="T3" i="8"/>
  <c r="T28" i="8"/>
  <c r="T29" i="8"/>
  <c r="T30" i="8"/>
  <c r="U4" i="8"/>
  <c r="U7" i="8"/>
  <c r="U8" i="8"/>
  <c r="U10" i="8"/>
  <c r="U11" i="8"/>
  <c r="U9" i="8"/>
  <c r="U6" i="8"/>
  <c r="U13" i="8"/>
  <c r="U14" i="8"/>
  <c r="U12" i="8"/>
  <c r="U5" i="8"/>
  <c r="U15" i="8"/>
  <c r="U17" i="8"/>
  <c r="U18" i="8"/>
  <c r="U19" i="8"/>
  <c r="U20" i="8"/>
  <c r="U21" i="8"/>
  <c r="U16" i="8"/>
  <c r="U22" i="8"/>
  <c r="U23" i="8"/>
  <c r="U24" i="8"/>
  <c r="U3" i="8"/>
  <c r="U28" i="8"/>
  <c r="U29" i="8"/>
  <c r="U30" i="8"/>
  <c r="V4" i="8"/>
  <c r="V7" i="8"/>
  <c r="V8" i="8"/>
  <c r="V10" i="8"/>
  <c r="V11" i="8"/>
  <c r="V9" i="8"/>
  <c r="V6" i="8"/>
  <c r="V13" i="8"/>
  <c r="V14" i="8"/>
  <c r="V12" i="8"/>
  <c r="V5" i="8"/>
  <c r="V15" i="8"/>
  <c r="V17" i="8"/>
  <c r="V18" i="8"/>
  <c r="V19" i="8"/>
  <c r="V20" i="8"/>
  <c r="V21" i="8"/>
  <c r="V16" i="8"/>
  <c r="V22" i="8"/>
  <c r="V23" i="8"/>
  <c r="V24" i="8"/>
  <c r="V3" i="8"/>
  <c r="V28" i="8"/>
  <c r="V29" i="8"/>
  <c r="V30" i="8"/>
  <c r="W4" i="8"/>
  <c r="W7" i="8"/>
  <c r="W8" i="8"/>
  <c r="W10" i="8"/>
  <c r="W11" i="8"/>
  <c r="W9" i="8"/>
  <c r="W6" i="8"/>
  <c r="W13" i="8"/>
  <c r="W14" i="8"/>
  <c r="W12" i="8"/>
  <c r="W5" i="8"/>
  <c r="W15" i="8"/>
  <c r="W17" i="8"/>
  <c r="W18" i="8"/>
  <c r="W19" i="8"/>
  <c r="W20" i="8"/>
  <c r="W21" i="8"/>
  <c r="W16" i="8"/>
  <c r="W22" i="8"/>
  <c r="W23" i="8"/>
  <c r="W24" i="8"/>
  <c r="W3" i="8"/>
  <c r="W28" i="8"/>
  <c r="W29" i="8"/>
  <c r="W30" i="8"/>
  <c r="X4" i="8"/>
  <c r="X7" i="8"/>
  <c r="X8" i="8"/>
  <c r="X10" i="8"/>
  <c r="X11" i="8"/>
  <c r="X9" i="8"/>
  <c r="X6" i="8"/>
  <c r="X13" i="8"/>
  <c r="X14" i="8"/>
  <c r="X12" i="8"/>
  <c r="X5" i="8"/>
  <c r="X15" i="8"/>
  <c r="X17" i="8"/>
  <c r="X18" i="8"/>
  <c r="X19" i="8"/>
  <c r="X20" i="8"/>
  <c r="X21" i="8"/>
  <c r="X16" i="8"/>
  <c r="X22" i="8"/>
  <c r="X23" i="8"/>
  <c r="X24" i="8"/>
  <c r="X3" i="8"/>
  <c r="X28" i="8"/>
  <c r="X29" i="8"/>
  <c r="X30" i="8"/>
  <c r="Y4" i="8"/>
  <c r="Y7" i="8"/>
  <c r="Y8" i="8"/>
  <c r="Y10" i="8"/>
  <c r="Y11" i="8"/>
  <c r="Y9" i="8"/>
  <c r="Y6" i="8"/>
  <c r="Y13" i="8"/>
  <c r="Y14" i="8"/>
  <c r="Y12" i="8"/>
  <c r="Y5" i="8"/>
  <c r="Y15" i="8"/>
  <c r="Y17" i="8"/>
  <c r="Y18" i="8"/>
  <c r="Y19" i="8"/>
  <c r="Y20" i="8"/>
  <c r="Y21" i="8"/>
  <c r="Y16" i="8"/>
  <c r="Y22" i="8"/>
  <c r="Y23" i="8"/>
  <c r="Y24" i="8"/>
  <c r="Y3" i="8"/>
  <c r="Y28" i="8"/>
  <c r="Y29" i="8"/>
  <c r="Y30" i="8"/>
  <c r="Z4" i="8"/>
  <c r="Z7" i="8"/>
  <c r="Z8" i="8"/>
  <c r="Z10" i="8"/>
  <c r="Z11" i="8"/>
  <c r="Z9" i="8"/>
  <c r="Z6" i="8"/>
  <c r="Z13" i="8"/>
  <c r="Z14" i="8"/>
  <c r="Z12" i="8"/>
  <c r="Z5" i="8"/>
  <c r="Z15" i="8"/>
  <c r="Z17" i="8"/>
  <c r="Z18" i="8"/>
  <c r="Z19" i="8"/>
  <c r="Z20" i="8"/>
  <c r="Z21" i="8"/>
  <c r="Z16" i="8"/>
  <c r="Z22" i="8"/>
  <c r="Z23" i="8"/>
  <c r="Z24" i="8"/>
  <c r="Z3" i="8"/>
  <c r="Z28" i="8"/>
  <c r="Z29" i="8"/>
  <c r="Z30" i="8"/>
  <c r="AA4" i="8"/>
  <c r="AA10" i="8"/>
  <c r="AA11" i="8"/>
  <c r="AA9" i="8"/>
  <c r="AA6" i="8"/>
  <c r="AA13" i="8"/>
  <c r="AA14" i="8"/>
  <c r="AA12" i="8"/>
  <c r="AA5" i="8"/>
  <c r="AA15" i="8"/>
  <c r="AA17" i="8"/>
  <c r="AA18" i="8"/>
  <c r="AA19" i="8"/>
  <c r="AA20" i="8"/>
  <c r="AA21" i="8"/>
  <c r="AA16" i="8"/>
  <c r="AA22" i="8"/>
  <c r="AA23" i="8"/>
  <c r="AA24" i="8"/>
  <c r="AA3" i="8"/>
  <c r="AA28" i="8"/>
  <c r="AA29" i="8"/>
  <c r="AA30" i="8"/>
  <c r="AB4" i="8"/>
  <c r="AB10" i="8"/>
  <c r="AB11" i="8"/>
  <c r="AB9" i="8"/>
  <c r="AB6" i="8"/>
  <c r="AB13" i="8"/>
  <c r="AB14" i="8"/>
  <c r="AB12" i="8"/>
  <c r="AB5" i="8"/>
  <c r="AB15" i="8"/>
  <c r="AB17" i="8"/>
  <c r="AB18" i="8"/>
  <c r="AB19" i="8"/>
  <c r="AB20" i="8"/>
  <c r="AB21" i="8"/>
  <c r="AB16" i="8"/>
  <c r="AB22" i="8"/>
  <c r="AB23" i="8"/>
  <c r="AB24" i="8"/>
  <c r="AB3" i="8"/>
  <c r="AB28" i="8"/>
  <c r="AB29" i="8"/>
  <c r="AB30" i="8"/>
  <c r="AC4" i="8"/>
  <c r="AC10" i="8"/>
  <c r="AC11" i="8"/>
  <c r="AC9" i="8"/>
  <c r="AC6" i="8"/>
  <c r="AC13" i="8"/>
  <c r="AC14" i="8"/>
  <c r="AC12" i="8"/>
  <c r="AC5" i="8"/>
  <c r="AC15" i="8"/>
  <c r="AC17" i="8"/>
  <c r="AC18" i="8"/>
  <c r="AC19" i="8"/>
  <c r="AC20" i="8"/>
  <c r="AC21" i="8"/>
  <c r="AC16" i="8"/>
  <c r="AC22" i="8"/>
  <c r="AC23" i="8"/>
  <c r="AC24" i="8"/>
  <c r="AC3" i="8"/>
  <c r="AC28" i="8"/>
  <c r="AC29" i="8"/>
  <c r="F35" i="8"/>
  <c r="AF3" i="8"/>
  <c r="AF25" i="8"/>
  <c r="AF28" i="8"/>
  <c r="AF29" i="8"/>
  <c r="AF30" i="8"/>
  <c r="AG3" i="8"/>
  <c r="AG25" i="8"/>
  <c r="AG28" i="8"/>
  <c r="AG29" i="8"/>
  <c r="AF34" i="8"/>
  <c r="F34" i="8"/>
  <c r="AF33" i="8"/>
  <c r="F33" i="8"/>
  <c r="AF32" i="8"/>
  <c r="F32" i="8"/>
  <c r="AG30" i="8"/>
  <c r="AC30" i="8"/>
  <c r="AG24" i="8"/>
  <c r="AF24" i="8"/>
  <c r="AG23" i="8"/>
  <c r="AF23" i="8"/>
  <c r="AG22" i="8"/>
  <c r="AF22" i="8"/>
  <c r="B22" i="8"/>
  <c r="AG21" i="8"/>
  <c r="AF21" i="8"/>
  <c r="AG20" i="8"/>
  <c r="AF20" i="8"/>
  <c r="AG19" i="8"/>
  <c r="AF19" i="8"/>
  <c r="AG18" i="8"/>
  <c r="AF18" i="8"/>
  <c r="AG17" i="8"/>
  <c r="AF17" i="8"/>
  <c r="AG16" i="8"/>
  <c r="AF16" i="8"/>
  <c r="AG15" i="8"/>
  <c r="AF15" i="8"/>
  <c r="AG14" i="8"/>
  <c r="AF14" i="8"/>
  <c r="AG13" i="8"/>
  <c r="AF13" i="8"/>
  <c r="AG12" i="8"/>
  <c r="AF12" i="8"/>
  <c r="B12" i="8"/>
  <c r="AG11" i="8"/>
  <c r="AF11" i="8"/>
  <c r="B11" i="8"/>
  <c r="AG10" i="8"/>
  <c r="AF10" i="8"/>
  <c r="AG9" i="8"/>
  <c r="AF9" i="8"/>
  <c r="AG8" i="8"/>
  <c r="AF8" i="8"/>
  <c r="AG7" i="8"/>
  <c r="AF7" i="8"/>
  <c r="AG6" i="8"/>
  <c r="AF6" i="8"/>
  <c r="AG5" i="8"/>
  <c r="AF5" i="8"/>
  <c r="AG4" i="8"/>
  <c r="AF4" i="8"/>
  <c r="B40" i="5"/>
  <c r="F21" i="5"/>
  <c r="G21" i="5"/>
  <c r="H21" i="5"/>
  <c r="I21" i="5"/>
  <c r="J21" i="5"/>
  <c r="K21" i="5"/>
  <c r="L21" i="5"/>
  <c r="M21" i="5"/>
  <c r="N21" i="5"/>
  <c r="O21" i="5"/>
  <c r="P21" i="5"/>
  <c r="Q21" i="5"/>
  <c r="AF21" i="5"/>
  <c r="R21" i="5"/>
  <c r="S21" i="5"/>
  <c r="T21" i="5"/>
  <c r="U21" i="5"/>
  <c r="V21" i="5"/>
  <c r="W21" i="5"/>
  <c r="X21" i="5"/>
  <c r="Y21" i="5"/>
  <c r="Z21" i="5"/>
  <c r="AA21" i="5"/>
  <c r="AB21" i="5"/>
  <c r="AC21" i="5"/>
  <c r="AG21" i="5"/>
  <c r="AF25" i="5"/>
  <c r="E64" i="5"/>
  <c r="C64" i="5"/>
  <c r="D64" i="5"/>
  <c r="B64" i="5"/>
  <c r="P10" i="3"/>
  <c r="F9" i="3"/>
  <c r="F10" i="3"/>
  <c r="N10" i="3"/>
  <c r="Q10" i="3"/>
  <c r="R10" i="3"/>
  <c r="P11" i="3"/>
  <c r="F11" i="3"/>
  <c r="N11" i="3"/>
  <c r="Q11" i="3"/>
  <c r="R11" i="3"/>
  <c r="P12" i="3"/>
  <c r="F12" i="3"/>
  <c r="N12" i="3"/>
  <c r="Q12" i="3"/>
  <c r="R12" i="3"/>
  <c r="P13" i="3"/>
  <c r="F13" i="3"/>
  <c r="N13" i="3"/>
  <c r="Q13" i="3"/>
  <c r="R13" i="3"/>
  <c r="P14" i="3"/>
  <c r="F14" i="3"/>
  <c r="N14" i="3"/>
  <c r="Q14" i="3"/>
  <c r="R14" i="3"/>
  <c r="P15" i="3"/>
  <c r="F15" i="3"/>
  <c r="N15" i="3"/>
  <c r="Q15" i="3"/>
  <c r="R15" i="3"/>
  <c r="P16" i="3"/>
  <c r="F16" i="3"/>
  <c r="N16" i="3"/>
  <c r="Q16" i="3"/>
  <c r="R16" i="3"/>
  <c r="P17" i="3"/>
  <c r="F17" i="3"/>
  <c r="N17" i="3"/>
  <c r="Q17" i="3"/>
  <c r="R17" i="3"/>
  <c r="P18" i="3"/>
  <c r="F18" i="3"/>
  <c r="N18" i="3"/>
  <c r="Q18" i="3"/>
  <c r="R18" i="3"/>
  <c r="P19" i="3"/>
  <c r="F19" i="3"/>
  <c r="N19" i="3"/>
  <c r="Q19" i="3"/>
  <c r="R19" i="3"/>
  <c r="P20" i="3"/>
  <c r="F20" i="3"/>
  <c r="N20" i="3"/>
  <c r="Q20" i="3"/>
  <c r="R20" i="3"/>
  <c r="P21" i="3"/>
  <c r="F21" i="3"/>
  <c r="N21" i="3"/>
  <c r="Q21" i="3"/>
  <c r="R21" i="3"/>
  <c r="I22" i="3"/>
  <c r="P22" i="3"/>
  <c r="F22" i="3"/>
  <c r="N22" i="3"/>
  <c r="Q22" i="3"/>
  <c r="R22" i="3"/>
  <c r="I23" i="3"/>
  <c r="P23" i="3"/>
  <c r="F23" i="3"/>
  <c r="N23" i="3"/>
  <c r="Q23" i="3"/>
  <c r="R23" i="3"/>
  <c r="I24" i="3"/>
  <c r="P24" i="3"/>
  <c r="F24" i="3"/>
  <c r="N24" i="3"/>
  <c r="Q24" i="3"/>
  <c r="R24" i="3"/>
  <c r="P9" i="3"/>
  <c r="N9" i="3"/>
  <c r="Q9" i="3"/>
  <c r="R9" i="3"/>
  <c r="B20" i="5"/>
  <c r="B12" i="5"/>
  <c r="B11" i="5"/>
  <c r="K9" i="3"/>
  <c r="K10" i="3"/>
  <c r="K11" i="3"/>
  <c r="K12" i="3"/>
  <c r="K13" i="3"/>
  <c r="K14" i="3"/>
  <c r="K15" i="3"/>
  <c r="K16" i="3"/>
  <c r="K17" i="3"/>
  <c r="K18" i="3"/>
  <c r="K19" i="3"/>
  <c r="G4" i="6"/>
  <c r="P8" i="6"/>
  <c r="O8" i="6"/>
  <c r="Q10" i="6"/>
  <c r="B26" i="5"/>
  <c r="B1" i="6"/>
  <c r="G3" i="6"/>
  <c r="K20" i="3"/>
  <c r="G5" i="6"/>
  <c r="K21" i="3"/>
  <c r="G6" i="6"/>
  <c r="K22" i="3"/>
  <c r="G7" i="6"/>
  <c r="K23" i="3"/>
  <c r="G8" i="6"/>
  <c r="K24" i="3"/>
  <c r="G9" i="6"/>
  <c r="G2" i="6"/>
  <c r="B39" i="5"/>
  <c r="B28" i="5"/>
  <c r="A45" i="5"/>
  <c r="C44" i="5"/>
  <c r="F2" i="6"/>
  <c r="F3" i="6"/>
  <c r="F4" i="6"/>
  <c r="F5" i="6"/>
  <c r="F6" i="6"/>
  <c r="F7" i="6"/>
  <c r="F8" i="6"/>
  <c r="F9" i="6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9" i="3"/>
  <c r="M24" i="3"/>
  <c r="L24" i="3"/>
  <c r="H24" i="3"/>
  <c r="G24" i="3"/>
  <c r="M23" i="3"/>
  <c r="L23" i="3"/>
  <c r="H23" i="3"/>
  <c r="H22" i="3"/>
  <c r="G22" i="3"/>
  <c r="G23" i="3"/>
  <c r="L22" i="3"/>
  <c r="M22" i="3"/>
  <c r="L21" i="3"/>
  <c r="F4" i="1"/>
  <c r="F7" i="1"/>
  <c r="F8" i="1"/>
  <c r="G8" i="1"/>
  <c r="G7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G6" i="1"/>
  <c r="H7" i="1"/>
  <c r="G5" i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G10" i="3"/>
  <c r="G11" i="3"/>
  <c r="G12" i="3"/>
  <c r="G13" i="3"/>
  <c r="G14" i="3"/>
  <c r="G15" i="3"/>
  <c r="G16" i="3"/>
  <c r="G17" i="3"/>
  <c r="G18" i="3"/>
  <c r="G19" i="3"/>
  <c r="G20" i="3"/>
  <c r="G21" i="3"/>
  <c r="G9" i="3"/>
  <c r="E7" i="3"/>
  <c r="E8" i="3"/>
  <c r="L9" i="3"/>
  <c r="H10" i="3"/>
  <c r="H11" i="3"/>
  <c r="H12" i="3"/>
  <c r="H13" i="3"/>
  <c r="H14" i="3"/>
  <c r="H15" i="3"/>
  <c r="C10" i="1"/>
  <c r="C5" i="1"/>
  <c r="C3" i="1"/>
  <c r="D5" i="1"/>
  <c r="C7" i="1"/>
  <c r="D7" i="1"/>
  <c r="C4" i="1"/>
  <c r="D4" i="1"/>
  <c r="G17" i="2"/>
  <c r="G18" i="2"/>
  <c r="G27" i="2"/>
  <c r="G26" i="2"/>
  <c r="G24" i="2"/>
  <c r="F16" i="2"/>
  <c r="F15" i="2"/>
  <c r="F14" i="2"/>
  <c r="F13" i="2"/>
  <c r="C10" i="2"/>
  <c r="A23" i="3"/>
  <c r="A24" i="3"/>
  <c r="A25" i="3"/>
  <c r="A26" i="3"/>
  <c r="A27" i="3"/>
  <c r="C27" i="3"/>
  <c r="C26" i="3"/>
  <c r="C25" i="3"/>
  <c r="C24" i="3"/>
  <c r="C23" i="3"/>
  <c r="C22" i="3"/>
  <c r="C21" i="3"/>
  <c r="C20" i="3"/>
  <c r="C18" i="3"/>
  <c r="C17" i="3"/>
  <c r="C16" i="3"/>
  <c r="C15" i="3"/>
  <c r="M14" i="3"/>
  <c r="L14" i="3"/>
  <c r="C14" i="3"/>
  <c r="M13" i="3"/>
  <c r="L13" i="3"/>
  <c r="C13" i="3"/>
  <c r="M12" i="3"/>
  <c r="L12" i="3"/>
  <c r="C12" i="3"/>
  <c r="M11" i="3"/>
  <c r="L11" i="3"/>
  <c r="C11" i="3"/>
  <c r="M10" i="3"/>
  <c r="L10" i="3"/>
  <c r="C10" i="3"/>
  <c r="M9" i="3"/>
  <c r="C9" i="3"/>
  <c r="C8" i="3"/>
  <c r="C7" i="3"/>
  <c r="H16" i="3"/>
  <c r="M15" i="3"/>
  <c r="L15" i="3"/>
  <c r="L16" i="3"/>
  <c r="M16" i="3"/>
  <c r="H17" i="3"/>
  <c r="H18" i="3"/>
  <c r="M17" i="3"/>
  <c r="L17" i="3"/>
  <c r="L18" i="3"/>
  <c r="M18" i="3"/>
  <c r="H19" i="3"/>
  <c r="H20" i="3"/>
  <c r="M19" i="3"/>
  <c r="L19" i="3"/>
  <c r="L20" i="3"/>
  <c r="M20" i="3"/>
  <c r="H21" i="3"/>
  <c r="M21" i="3"/>
  <c r="F7" i="5"/>
  <c r="F8" i="5"/>
  <c r="F10" i="5"/>
  <c r="F9" i="5"/>
  <c r="F6" i="5"/>
  <c r="F13" i="5"/>
  <c r="F14" i="5"/>
  <c r="F12" i="5"/>
  <c r="F5" i="5"/>
  <c r="F15" i="5"/>
  <c r="F17" i="5"/>
  <c r="F18" i="5"/>
  <c r="F19" i="5"/>
  <c r="F20" i="5"/>
  <c r="F16" i="5"/>
  <c r="F22" i="5"/>
  <c r="F23" i="5"/>
  <c r="F24" i="5"/>
  <c r="F3" i="5"/>
  <c r="F28" i="5"/>
  <c r="F29" i="5"/>
  <c r="F30" i="5"/>
  <c r="G7" i="5"/>
  <c r="G8" i="5"/>
  <c r="G10" i="5"/>
  <c r="G9" i="5"/>
  <c r="G6" i="5"/>
  <c r="G13" i="5"/>
  <c r="G14" i="5"/>
  <c r="G12" i="5"/>
  <c r="G5" i="5"/>
  <c r="G15" i="5"/>
  <c r="G17" i="5"/>
  <c r="G18" i="5"/>
  <c r="G19" i="5"/>
  <c r="G20" i="5"/>
  <c r="G16" i="5"/>
  <c r="G22" i="5"/>
  <c r="G23" i="5"/>
  <c r="G24" i="5"/>
  <c r="G3" i="5"/>
  <c r="G28" i="5"/>
  <c r="G29" i="5"/>
  <c r="G30" i="5"/>
  <c r="H7" i="5"/>
  <c r="H8" i="5"/>
  <c r="H10" i="5"/>
  <c r="H9" i="5"/>
  <c r="H6" i="5"/>
  <c r="H13" i="5"/>
  <c r="H14" i="5"/>
  <c r="H12" i="5"/>
  <c r="H5" i="5"/>
  <c r="H15" i="5"/>
  <c r="H17" i="5"/>
  <c r="H18" i="5"/>
  <c r="H19" i="5"/>
  <c r="H20" i="5"/>
  <c r="H16" i="5"/>
  <c r="H22" i="5"/>
  <c r="H23" i="5"/>
  <c r="H24" i="5"/>
  <c r="H3" i="5"/>
  <c r="H28" i="5"/>
  <c r="H29" i="5"/>
  <c r="H30" i="5"/>
  <c r="I4" i="5"/>
  <c r="I7" i="5"/>
  <c r="I8" i="5"/>
  <c r="I10" i="5"/>
  <c r="I9" i="5"/>
  <c r="I6" i="5"/>
  <c r="I13" i="5"/>
  <c r="I14" i="5"/>
  <c r="I12" i="5"/>
  <c r="I5" i="5"/>
  <c r="I15" i="5"/>
  <c r="I17" i="5"/>
  <c r="I18" i="5"/>
  <c r="I19" i="5"/>
  <c r="I20" i="5"/>
  <c r="I16" i="5"/>
  <c r="I22" i="5"/>
  <c r="I23" i="5"/>
  <c r="I24" i="5"/>
  <c r="I3" i="5"/>
  <c r="I28" i="5"/>
  <c r="I29" i="5"/>
  <c r="I30" i="5"/>
  <c r="J4" i="5"/>
  <c r="J7" i="5"/>
  <c r="J8" i="5"/>
  <c r="J10" i="5"/>
  <c r="J9" i="5"/>
  <c r="J6" i="5"/>
  <c r="J13" i="5"/>
  <c r="J14" i="5"/>
  <c r="J12" i="5"/>
  <c r="J5" i="5"/>
  <c r="J15" i="5"/>
  <c r="J17" i="5"/>
  <c r="J18" i="5"/>
  <c r="J19" i="5"/>
  <c r="J20" i="5"/>
  <c r="J16" i="5"/>
  <c r="J22" i="5"/>
  <c r="J23" i="5"/>
  <c r="J24" i="5"/>
  <c r="J3" i="5"/>
  <c r="J28" i="5"/>
  <c r="J29" i="5"/>
  <c r="J30" i="5"/>
  <c r="K4" i="5"/>
  <c r="K7" i="5"/>
  <c r="K8" i="5"/>
  <c r="K10" i="5"/>
  <c r="K9" i="5"/>
  <c r="K6" i="5"/>
  <c r="K13" i="5"/>
  <c r="K14" i="5"/>
  <c r="K12" i="5"/>
  <c r="K5" i="5"/>
  <c r="K15" i="5"/>
  <c r="K17" i="5"/>
  <c r="K18" i="5"/>
  <c r="K19" i="5"/>
  <c r="K20" i="5"/>
  <c r="K16" i="5"/>
  <c r="K22" i="5"/>
  <c r="K23" i="5"/>
  <c r="K24" i="5"/>
  <c r="K3" i="5"/>
  <c r="K28" i="5"/>
  <c r="K29" i="5"/>
  <c r="K30" i="5"/>
  <c r="L4" i="5"/>
  <c r="L7" i="5"/>
  <c r="L8" i="5"/>
  <c r="L10" i="5"/>
  <c r="L9" i="5"/>
  <c r="L6" i="5"/>
  <c r="L13" i="5"/>
  <c r="L14" i="5"/>
  <c r="L12" i="5"/>
  <c r="L5" i="5"/>
  <c r="L15" i="5"/>
  <c r="L17" i="5"/>
  <c r="L18" i="5"/>
  <c r="L19" i="5"/>
  <c r="L20" i="5"/>
  <c r="L16" i="5"/>
  <c r="L22" i="5"/>
  <c r="L23" i="5"/>
  <c r="L24" i="5"/>
  <c r="L3" i="5"/>
  <c r="L28" i="5"/>
  <c r="L29" i="5"/>
  <c r="L30" i="5"/>
  <c r="M4" i="5"/>
  <c r="M7" i="5"/>
  <c r="M8" i="5"/>
  <c r="M10" i="5"/>
  <c r="M9" i="5"/>
  <c r="M6" i="5"/>
  <c r="M13" i="5"/>
  <c r="M14" i="5"/>
  <c r="M12" i="5"/>
  <c r="M5" i="5"/>
  <c r="M15" i="5"/>
  <c r="M17" i="5"/>
  <c r="M18" i="5"/>
  <c r="M19" i="5"/>
  <c r="M20" i="5"/>
  <c r="M16" i="5"/>
  <c r="M22" i="5"/>
  <c r="M23" i="5"/>
  <c r="M24" i="5"/>
  <c r="M3" i="5"/>
  <c r="M28" i="5"/>
  <c r="M29" i="5"/>
  <c r="M30" i="5"/>
  <c r="N4" i="5"/>
  <c r="N7" i="5"/>
  <c r="N8" i="5"/>
  <c r="N10" i="5"/>
  <c r="N9" i="5"/>
  <c r="N6" i="5"/>
  <c r="N13" i="5"/>
  <c r="N14" i="5"/>
  <c r="N12" i="5"/>
  <c r="N5" i="5"/>
  <c r="N15" i="5"/>
  <c r="N17" i="5"/>
  <c r="N18" i="5"/>
  <c r="N19" i="5"/>
  <c r="N20" i="5"/>
  <c r="N16" i="5"/>
  <c r="N22" i="5"/>
  <c r="N23" i="5"/>
  <c r="N24" i="5"/>
  <c r="N3" i="5"/>
  <c r="N28" i="5"/>
  <c r="N29" i="5"/>
  <c r="N30" i="5"/>
  <c r="O4" i="5"/>
  <c r="O7" i="5"/>
  <c r="O8" i="5"/>
  <c r="O10" i="5"/>
  <c r="O9" i="5"/>
  <c r="O6" i="5"/>
  <c r="O13" i="5"/>
  <c r="O14" i="5"/>
  <c r="O12" i="5"/>
  <c r="O5" i="5"/>
  <c r="O15" i="5"/>
  <c r="O17" i="5"/>
  <c r="O18" i="5"/>
  <c r="O19" i="5"/>
  <c r="O20" i="5"/>
  <c r="O16" i="5"/>
  <c r="O22" i="5"/>
  <c r="O23" i="5"/>
  <c r="O24" i="5"/>
  <c r="O3" i="5"/>
  <c r="O28" i="5"/>
  <c r="O29" i="5"/>
  <c r="O30" i="5"/>
  <c r="P4" i="5"/>
  <c r="P7" i="5"/>
  <c r="P8" i="5"/>
  <c r="P10" i="5"/>
  <c r="P9" i="5"/>
  <c r="P6" i="5"/>
  <c r="P13" i="5"/>
  <c r="P14" i="5"/>
  <c r="P12" i="5"/>
  <c r="P5" i="5"/>
  <c r="P15" i="5"/>
  <c r="P17" i="5"/>
  <c r="P18" i="5"/>
  <c r="P19" i="5"/>
  <c r="P20" i="5"/>
  <c r="P16" i="5"/>
  <c r="P22" i="5"/>
  <c r="P23" i="5"/>
  <c r="P24" i="5"/>
  <c r="P3" i="5"/>
  <c r="P28" i="5"/>
  <c r="P29" i="5"/>
  <c r="P30" i="5"/>
  <c r="Q4" i="5"/>
  <c r="Q7" i="5"/>
  <c r="Q8" i="5"/>
  <c r="Q10" i="5"/>
  <c r="Q9" i="5"/>
  <c r="Q6" i="5"/>
  <c r="Q13" i="5"/>
  <c r="Q14" i="5"/>
  <c r="Q12" i="5"/>
  <c r="Q5" i="5"/>
  <c r="Q15" i="5"/>
  <c r="Q17" i="5"/>
  <c r="Q18" i="5"/>
  <c r="Q19" i="5"/>
  <c r="Q20" i="5"/>
  <c r="Q16" i="5"/>
  <c r="Q22" i="5"/>
  <c r="Q23" i="5"/>
  <c r="Q24" i="5"/>
  <c r="Q3" i="5"/>
  <c r="Q28" i="5"/>
  <c r="Q29" i="5"/>
  <c r="Q30" i="5"/>
  <c r="R4" i="5"/>
  <c r="R7" i="5"/>
  <c r="R8" i="5"/>
  <c r="R10" i="5"/>
  <c r="R11" i="5"/>
  <c r="R9" i="5"/>
  <c r="R6" i="5"/>
  <c r="R13" i="5"/>
  <c r="R14" i="5"/>
  <c r="R12" i="5"/>
  <c r="R5" i="5"/>
  <c r="R15" i="5"/>
  <c r="R17" i="5"/>
  <c r="R18" i="5"/>
  <c r="R19" i="5"/>
  <c r="R20" i="5"/>
  <c r="R16" i="5"/>
  <c r="R22" i="5"/>
  <c r="R23" i="5"/>
  <c r="R24" i="5"/>
  <c r="R3" i="5"/>
  <c r="R28" i="5"/>
  <c r="R29" i="5"/>
  <c r="R30" i="5"/>
  <c r="S4" i="5"/>
  <c r="S7" i="5"/>
  <c r="S8" i="5"/>
  <c r="S10" i="5"/>
  <c r="S11" i="5"/>
  <c r="S9" i="5"/>
  <c r="S6" i="5"/>
  <c r="S13" i="5"/>
  <c r="S14" i="5"/>
  <c r="S12" i="5"/>
  <c r="S5" i="5"/>
  <c r="S15" i="5"/>
  <c r="S17" i="5"/>
  <c r="S18" i="5"/>
  <c r="S19" i="5"/>
  <c r="S20" i="5"/>
  <c r="S16" i="5"/>
  <c r="S22" i="5"/>
  <c r="S23" i="5"/>
  <c r="S24" i="5"/>
  <c r="S3" i="5"/>
  <c r="S28" i="5"/>
  <c r="S29" i="5"/>
  <c r="S30" i="5"/>
  <c r="T4" i="5"/>
  <c r="T7" i="5"/>
  <c r="T8" i="5"/>
  <c r="T10" i="5"/>
  <c r="T11" i="5"/>
  <c r="T9" i="5"/>
  <c r="T6" i="5"/>
  <c r="T13" i="5"/>
  <c r="T14" i="5"/>
  <c r="T12" i="5"/>
  <c r="T5" i="5"/>
  <c r="T15" i="5"/>
  <c r="T17" i="5"/>
  <c r="T18" i="5"/>
  <c r="T19" i="5"/>
  <c r="T20" i="5"/>
  <c r="T16" i="5"/>
  <c r="T22" i="5"/>
  <c r="T23" i="5"/>
  <c r="T24" i="5"/>
  <c r="T3" i="5"/>
  <c r="T28" i="5"/>
  <c r="T29" i="5"/>
  <c r="T30" i="5"/>
  <c r="U4" i="5"/>
  <c r="U7" i="5"/>
  <c r="U8" i="5"/>
  <c r="U10" i="5"/>
  <c r="U11" i="5"/>
  <c r="U9" i="5"/>
  <c r="U6" i="5"/>
  <c r="U13" i="5"/>
  <c r="U14" i="5"/>
  <c r="U12" i="5"/>
  <c r="U5" i="5"/>
  <c r="U15" i="5"/>
  <c r="U17" i="5"/>
  <c r="U18" i="5"/>
  <c r="U19" i="5"/>
  <c r="U20" i="5"/>
  <c r="U16" i="5"/>
  <c r="U22" i="5"/>
  <c r="U23" i="5"/>
  <c r="U24" i="5"/>
  <c r="U3" i="5"/>
  <c r="U28" i="5"/>
  <c r="U29" i="5"/>
  <c r="U30" i="5"/>
  <c r="V4" i="5"/>
  <c r="V7" i="5"/>
  <c r="V8" i="5"/>
  <c r="V10" i="5"/>
  <c r="V11" i="5"/>
  <c r="V9" i="5"/>
  <c r="V6" i="5"/>
  <c r="V13" i="5"/>
  <c r="V14" i="5"/>
  <c r="V12" i="5"/>
  <c r="V5" i="5"/>
  <c r="V15" i="5"/>
  <c r="V17" i="5"/>
  <c r="V18" i="5"/>
  <c r="V19" i="5"/>
  <c r="V20" i="5"/>
  <c r="V16" i="5"/>
  <c r="V22" i="5"/>
  <c r="V23" i="5"/>
  <c r="V24" i="5"/>
  <c r="V3" i="5"/>
  <c r="V28" i="5"/>
  <c r="V29" i="5"/>
  <c r="V30" i="5"/>
  <c r="W4" i="5"/>
  <c r="W7" i="5"/>
  <c r="W8" i="5"/>
  <c r="W10" i="5"/>
  <c r="W11" i="5"/>
  <c r="W9" i="5"/>
  <c r="W6" i="5"/>
  <c r="W13" i="5"/>
  <c r="W14" i="5"/>
  <c r="W12" i="5"/>
  <c r="W5" i="5"/>
  <c r="W15" i="5"/>
  <c r="W17" i="5"/>
  <c r="W18" i="5"/>
  <c r="W19" i="5"/>
  <c r="W20" i="5"/>
  <c r="W16" i="5"/>
  <c r="W22" i="5"/>
  <c r="W23" i="5"/>
  <c r="W24" i="5"/>
  <c r="W3" i="5"/>
  <c r="W28" i="5"/>
  <c r="W29" i="5"/>
  <c r="W30" i="5"/>
  <c r="X4" i="5"/>
  <c r="X7" i="5"/>
  <c r="X8" i="5"/>
  <c r="X10" i="5"/>
  <c r="X11" i="5"/>
  <c r="X9" i="5"/>
  <c r="X6" i="5"/>
  <c r="X13" i="5"/>
  <c r="X14" i="5"/>
  <c r="X12" i="5"/>
  <c r="X5" i="5"/>
  <c r="X15" i="5"/>
  <c r="X17" i="5"/>
  <c r="X18" i="5"/>
  <c r="X19" i="5"/>
  <c r="X20" i="5"/>
  <c r="X16" i="5"/>
  <c r="X22" i="5"/>
  <c r="X23" i="5"/>
  <c r="X24" i="5"/>
  <c r="X3" i="5"/>
  <c r="X28" i="5"/>
  <c r="X29" i="5"/>
  <c r="X30" i="5"/>
  <c r="Y4" i="5"/>
  <c r="Y7" i="5"/>
  <c r="Y8" i="5"/>
  <c r="Y10" i="5"/>
  <c r="Y11" i="5"/>
  <c r="Y9" i="5"/>
  <c r="Y6" i="5"/>
  <c r="Y13" i="5"/>
  <c r="Y14" i="5"/>
  <c r="Y12" i="5"/>
  <c r="Y5" i="5"/>
  <c r="Y15" i="5"/>
  <c r="Y17" i="5"/>
  <c r="Y18" i="5"/>
  <c r="Y19" i="5"/>
  <c r="Y20" i="5"/>
  <c r="Y16" i="5"/>
  <c r="Y22" i="5"/>
  <c r="Y23" i="5"/>
  <c r="Y24" i="5"/>
  <c r="Y3" i="5"/>
  <c r="Y28" i="5"/>
  <c r="Y29" i="5"/>
  <c r="Y30" i="5"/>
  <c r="Z4" i="5"/>
  <c r="Z7" i="5"/>
  <c r="Z8" i="5"/>
  <c r="Z10" i="5"/>
  <c r="Z11" i="5"/>
  <c r="Z9" i="5"/>
  <c r="Z6" i="5"/>
  <c r="Z13" i="5"/>
  <c r="Z14" i="5"/>
  <c r="Z12" i="5"/>
  <c r="Z5" i="5"/>
  <c r="Z15" i="5"/>
  <c r="Z17" i="5"/>
  <c r="Z18" i="5"/>
  <c r="Z19" i="5"/>
  <c r="Z20" i="5"/>
  <c r="Z16" i="5"/>
  <c r="Z22" i="5"/>
  <c r="Z23" i="5"/>
  <c r="Z24" i="5"/>
  <c r="Z3" i="5"/>
  <c r="Z28" i="5"/>
  <c r="Z29" i="5"/>
  <c r="Z30" i="5"/>
  <c r="AA4" i="5"/>
  <c r="AA7" i="5"/>
  <c r="AA8" i="5"/>
  <c r="AA10" i="5"/>
  <c r="AA11" i="5"/>
  <c r="AA9" i="5"/>
  <c r="AA6" i="5"/>
  <c r="AA13" i="5"/>
  <c r="AA14" i="5"/>
  <c r="AA12" i="5"/>
  <c r="AA5" i="5"/>
  <c r="AA15" i="5"/>
  <c r="AA17" i="5"/>
  <c r="AA18" i="5"/>
  <c r="AA19" i="5"/>
  <c r="AA20" i="5"/>
  <c r="AA16" i="5"/>
  <c r="AA22" i="5"/>
  <c r="AA23" i="5"/>
  <c r="AA24" i="5"/>
  <c r="AA3" i="5"/>
  <c r="AA28" i="5"/>
  <c r="AA29" i="5"/>
  <c r="AA30" i="5"/>
  <c r="AB4" i="5"/>
  <c r="AB7" i="5"/>
  <c r="AB8" i="5"/>
  <c r="AB10" i="5"/>
  <c r="AB11" i="5"/>
  <c r="AB9" i="5"/>
  <c r="AB6" i="5"/>
  <c r="AB13" i="5"/>
  <c r="AB14" i="5"/>
  <c r="AB12" i="5"/>
  <c r="AB5" i="5"/>
  <c r="AB15" i="5"/>
  <c r="AB17" i="5"/>
  <c r="AB18" i="5"/>
  <c r="AB19" i="5"/>
  <c r="AB20" i="5"/>
  <c r="AB16" i="5"/>
  <c r="AB22" i="5"/>
  <c r="AB23" i="5"/>
  <c r="AB24" i="5"/>
  <c r="AB3" i="5"/>
  <c r="AB28" i="5"/>
  <c r="AB29" i="5"/>
  <c r="AB30" i="5"/>
  <c r="AC25" i="5"/>
  <c r="AC4" i="5"/>
  <c r="AC7" i="5"/>
  <c r="AC8" i="5"/>
  <c r="AC10" i="5"/>
  <c r="AC11" i="5"/>
  <c r="AC9" i="5"/>
  <c r="AC6" i="5"/>
  <c r="AC13" i="5"/>
  <c r="AC14" i="5"/>
  <c r="AC12" i="5"/>
  <c r="AC5" i="5"/>
  <c r="AC15" i="5"/>
  <c r="AC17" i="5"/>
  <c r="AC18" i="5"/>
  <c r="AC19" i="5"/>
  <c r="AC20" i="5"/>
  <c r="AC16" i="5"/>
  <c r="AC22" i="5"/>
  <c r="AC23" i="5"/>
  <c r="AC24" i="5"/>
  <c r="AC3" i="5"/>
  <c r="AC28" i="5"/>
  <c r="AC29" i="5"/>
  <c r="AC30" i="5"/>
  <c r="F32" i="5"/>
  <c r="F33" i="5"/>
  <c r="F34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G10" i="5"/>
  <c r="AF10" i="5"/>
  <c r="AG9" i="5"/>
  <c r="AF9" i="5"/>
  <c r="AG8" i="5"/>
  <c r="AF8" i="5"/>
  <c r="AG7" i="5"/>
  <c r="AF7" i="5"/>
  <c r="AG6" i="5"/>
  <c r="AF6" i="5"/>
  <c r="AG5" i="5"/>
  <c r="AF5" i="5"/>
  <c r="AG4" i="5"/>
  <c r="AF4" i="5"/>
  <c r="AF3" i="5"/>
  <c r="AF28" i="5"/>
  <c r="AF29" i="5"/>
  <c r="AF30" i="5"/>
  <c r="AG3" i="5"/>
  <c r="AG25" i="5"/>
  <c r="AG28" i="5"/>
  <c r="AG29" i="5"/>
  <c r="AG30" i="5"/>
  <c r="F35" i="5"/>
  <c r="AF32" i="5"/>
  <c r="AF33" i="5"/>
  <c r="AF34" i="5"/>
  <c r="D7" i="5"/>
  <c r="D8" i="5"/>
  <c r="B6" i="7"/>
  <c r="P6" i="7"/>
  <c r="P5" i="7"/>
  <c r="P4" i="7"/>
  <c r="P13" i="7"/>
  <c r="Q6" i="7"/>
  <c r="Q5" i="7"/>
  <c r="Q4" i="7"/>
  <c r="Q13" i="7"/>
  <c r="R6" i="7"/>
  <c r="R5" i="7"/>
  <c r="R4" i="7"/>
  <c r="R13" i="7"/>
  <c r="S6" i="7"/>
  <c r="S7" i="7"/>
  <c r="S5" i="7"/>
  <c r="S4" i="7"/>
  <c r="S13" i="7"/>
  <c r="T6" i="7"/>
  <c r="T7" i="7"/>
  <c r="T5" i="7"/>
  <c r="T4" i="7"/>
  <c r="T13" i="7"/>
  <c r="U6" i="7"/>
  <c r="U7" i="7"/>
  <c r="U5" i="7"/>
  <c r="U4" i="7"/>
  <c r="U13" i="7"/>
  <c r="V6" i="7"/>
  <c r="V7" i="7"/>
  <c r="V5" i="7"/>
  <c r="V4" i="7"/>
  <c r="V13" i="7"/>
  <c r="W6" i="7"/>
  <c r="W7" i="7"/>
  <c r="W5" i="7"/>
  <c r="W4" i="7"/>
  <c r="W13" i="7"/>
  <c r="X6" i="7"/>
  <c r="X7" i="7"/>
  <c r="X5" i="7"/>
  <c r="X4" i="7"/>
  <c r="X13" i="7"/>
  <c r="Y6" i="7"/>
  <c r="Y7" i="7"/>
  <c r="Y5" i="7"/>
  <c r="Y4" i="7"/>
  <c r="Y13" i="7"/>
  <c r="Z6" i="7"/>
  <c r="Z7" i="7"/>
  <c r="Z5" i="7"/>
  <c r="Z4" i="7"/>
  <c r="Z13" i="7"/>
  <c r="AA6" i="7"/>
  <c r="AA7" i="7"/>
  <c r="AA5" i="7"/>
  <c r="AA4" i="7"/>
  <c r="AA13" i="7"/>
  <c r="AB6" i="7"/>
  <c r="AB7" i="7"/>
  <c r="AB5" i="7"/>
  <c r="AB4" i="7"/>
  <c r="AB13" i="7"/>
  <c r="AC6" i="7"/>
  <c r="AC7" i="7"/>
  <c r="AC5" i="7"/>
  <c r="AC4" i="7"/>
  <c r="AC13" i="7"/>
  <c r="AD6" i="7"/>
  <c r="AD7" i="7"/>
  <c r="AD5" i="7"/>
  <c r="AD4" i="7"/>
  <c r="AD13" i="7"/>
  <c r="AE6" i="7"/>
  <c r="AE7" i="7"/>
  <c r="AE5" i="7"/>
  <c r="AE4" i="7"/>
  <c r="AE13" i="7"/>
  <c r="AF6" i="7"/>
  <c r="AF7" i="7"/>
  <c r="AF5" i="7"/>
  <c r="AF4" i="7"/>
  <c r="AF13" i="7"/>
  <c r="AG6" i="7"/>
  <c r="AG7" i="7"/>
  <c r="AG5" i="7"/>
  <c r="AG4" i="7"/>
  <c r="AG13" i="7"/>
  <c r="AH6" i="7"/>
  <c r="AH7" i="7"/>
  <c r="AH5" i="7"/>
  <c r="AH4" i="7"/>
  <c r="AH13" i="7"/>
  <c r="AI6" i="7"/>
  <c r="AI7" i="7"/>
  <c r="AI5" i="7"/>
  <c r="AI4" i="7"/>
  <c r="AI13" i="7"/>
  <c r="AJ6" i="7"/>
  <c r="AJ7" i="7"/>
  <c r="AJ5" i="7"/>
  <c r="AJ4" i="7"/>
  <c r="AJ13" i="7"/>
  <c r="AK6" i="7"/>
  <c r="AK7" i="7"/>
  <c r="AK5" i="7"/>
  <c r="AK4" i="7"/>
  <c r="AK13" i="7"/>
  <c r="AL6" i="7"/>
  <c r="AL7" i="7"/>
  <c r="AL5" i="7"/>
  <c r="AL4" i="7"/>
  <c r="AL13" i="7"/>
  <c r="AM6" i="7"/>
  <c r="AM7" i="7"/>
  <c r="AM5" i="7"/>
  <c r="AM4" i="7"/>
  <c r="AM13" i="7"/>
  <c r="AN6" i="7"/>
  <c r="AN7" i="7"/>
  <c r="AN5" i="7"/>
  <c r="AN4" i="7"/>
  <c r="AN13" i="7"/>
  <c r="AO6" i="7"/>
  <c r="AO7" i="7"/>
  <c r="AO5" i="7"/>
  <c r="AO4" i="7"/>
  <c r="AO13" i="7"/>
  <c r="AP6" i="7"/>
  <c r="AP7" i="7"/>
  <c r="AP5" i="7"/>
  <c r="AP4" i="7"/>
  <c r="AP13" i="7"/>
  <c r="AQ6" i="7"/>
  <c r="AQ7" i="7"/>
  <c r="AQ5" i="7"/>
  <c r="AQ4" i="7"/>
  <c r="AQ13" i="7"/>
  <c r="AR6" i="7"/>
  <c r="AR7" i="7"/>
  <c r="AR5" i="7"/>
  <c r="AR4" i="7"/>
  <c r="AR13" i="7"/>
  <c r="AS6" i="7"/>
  <c r="AS7" i="7"/>
  <c r="AS5" i="7"/>
  <c r="AS4" i="7"/>
  <c r="AS13" i="7"/>
  <c r="AT6" i="7"/>
  <c r="AT7" i="7"/>
  <c r="AT5" i="7"/>
  <c r="AT4" i="7"/>
  <c r="AT13" i="7"/>
  <c r="AU6" i="7"/>
  <c r="AU7" i="7"/>
  <c r="AU5" i="7"/>
  <c r="AU4" i="7"/>
  <c r="AU13" i="7"/>
  <c r="AV6" i="7"/>
  <c r="AV7" i="7"/>
  <c r="AV5" i="7"/>
  <c r="AV4" i="7"/>
  <c r="AV13" i="7"/>
  <c r="AW6" i="7"/>
  <c r="AW7" i="7"/>
  <c r="AW5" i="7"/>
  <c r="AW4" i="7"/>
  <c r="AW13" i="7"/>
  <c r="AX6" i="7"/>
  <c r="AX7" i="7"/>
  <c r="AX5" i="7"/>
  <c r="AX4" i="7"/>
  <c r="AX13" i="7"/>
  <c r="AY6" i="7"/>
  <c r="AY7" i="7"/>
  <c r="AY5" i="7"/>
  <c r="AY4" i="7"/>
  <c r="AY13" i="7"/>
  <c r="AZ6" i="7"/>
  <c r="AZ7" i="7"/>
  <c r="AZ5" i="7"/>
  <c r="AZ4" i="7"/>
  <c r="AZ13" i="7"/>
  <c r="BA6" i="7"/>
  <c r="BA7" i="7"/>
  <c r="BA5" i="7"/>
  <c r="BA4" i="7"/>
  <c r="BA13" i="7"/>
  <c r="BB6" i="7"/>
  <c r="BB7" i="7"/>
  <c r="BB5" i="7"/>
  <c r="BB4" i="7"/>
  <c r="BB13" i="7"/>
  <c r="BC6" i="7"/>
  <c r="BC7" i="7"/>
  <c r="BC5" i="7"/>
  <c r="BC4" i="7"/>
  <c r="BC13" i="7"/>
  <c r="BD6" i="7"/>
  <c r="BD7" i="7"/>
  <c r="BD5" i="7"/>
  <c r="BD4" i="7"/>
  <c r="BD13" i="7"/>
  <c r="BE6" i="7"/>
  <c r="BE7" i="7"/>
  <c r="BE5" i="7"/>
  <c r="BE4" i="7"/>
  <c r="BE13" i="7"/>
  <c r="BF6" i="7"/>
  <c r="BF7" i="7"/>
  <c r="BF5" i="7"/>
  <c r="BF4" i="7"/>
  <c r="BF13" i="7"/>
  <c r="BG6" i="7"/>
  <c r="BG7" i="7"/>
  <c r="BG5" i="7"/>
  <c r="BG4" i="7"/>
  <c r="BG13" i="7"/>
  <c r="BH6" i="7"/>
  <c r="BH7" i="7"/>
  <c r="BH5" i="7"/>
  <c r="BH4" i="7"/>
  <c r="BH13" i="7"/>
  <c r="BI6" i="7"/>
  <c r="BI7" i="7"/>
  <c r="BI5" i="7"/>
  <c r="BI4" i="7"/>
  <c r="BI13" i="7"/>
  <c r="BJ6" i="7"/>
  <c r="BJ7" i="7"/>
  <c r="BJ5" i="7"/>
  <c r="BJ4" i="7"/>
  <c r="BJ13" i="7"/>
  <c r="BK6" i="7"/>
  <c r="BK7" i="7"/>
  <c r="BK5" i="7"/>
  <c r="BK4" i="7"/>
  <c r="BK13" i="7"/>
  <c r="BL6" i="7"/>
  <c r="BL7" i="7"/>
  <c r="BL5" i="7"/>
  <c r="BL4" i="7"/>
  <c r="BL13" i="7"/>
  <c r="BM6" i="7"/>
  <c r="BM7" i="7"/>
  <c r="BM5" i="7"/>
  <c r="BM4" i="7"/>
  <c r="BM13" i="7"/>
  <c r="BN6" i="7"/>
  <c r="BN7" i="7"/>
  <c r="BN5" i="7"/>
  <c r="BN4" i="7"/>
  <c r="BN13" i="7"/>
  <c r="BO6" i="7"/>
  <c r="BO7" i="7"/>
  <c r="BO5" i="7"/>
  <c r="BO4" i="7"/>
  <c r="BO13" i="7"/>
  <c r="BP6" i="7"/>
  <c r="BP7" i="7"/>
  <c r="BP5" i="7"/>
  <c r="BP4" i="7"/>
  <c r="BP13" i="7"/>
  <c r="BQ6" i="7"/>
  <c r="BQ7" i="7"/>
  <c r="BQ5" i="7"/>
  <c r="BQ4" i="7"/>
  <c r="BQ13" i="7"/>
  <c r="BR6" i="7"/>
  <c r="BR7" i="7"/>
  <c r="BR5" i="7"/>
  <c r="BR4" i="7"/>
  <c r="BR13" i="7"/>
  <c r="BS6" i="7"/>
  <c r="BS7" i="7"/>
  <c r="BS5" i="7"/>
  <c r="BS4" i="7"/>
  <c r="BS13" i="7"/>
  <c r="BT6" i="7"/>
  <c r="BT7" i="7"/>
  <c r="BT5" i="7"/>
  <c r="BT4" i="7"/>
  <c r="BT13" i="7"/>
  <c r="BU6" i="7"/>
  <c r="BU7" i="7"/>
  <c r="BU5" i="7"/>
  <c r="BU4" i="7"/>
  <c r="BU13" i="7"/>
  <c r="BV6" i="7"/>
  <c r="BV7" i="7"/>
  <c r="BV5" i="7"/>
  <c r="BV4" i="7"/>
  <c r="BV13" i="7"/>
  <c r="BW6" i="7"/>
  <c r="BW7" i="7"/>
  <c r="BW5" i="7"/>
  <c r="BW4" i="7"/>
  <c r="BW13" i="7"/>
  <c r="BX6" i="7"/>
  <c r="BX7" i="7"/>
  <c r="BX5" i="7"/>
  <c r="BX4" i="7"/>
  <c r="BX13" i="7"/>
  <c r="BY6" i="7"/>
  <c r="BY7" i="7"/>
  <c r="BY5" i="7"/>
  <c r="BY4" i="7"/>
  <c r="BY13" i="7"/>
  <c r="BZ6" i="7"/>
  <c r="BZ7" i="7"/>
  <c r="BZ5" i="7"/>
  <c r="BZ4" i="7"/>
  <c r="BZ13" i="7"/>
  <c r="CA6" i="7"/>
  <c r="CA7" i="7"/>
  <c r="CA5" i="7"/>
  <c r="CA4" i="7"/>
  <c r="CA13" i="7"/>
  <c r="CB6" i="7"/>
  <c r="CB7" i="7"/>
  <c r="CB5" i="7"/>
  <c r="CB4" i="7"/>
  <c r="CB13" i="7"/>
  <c r="CC6" i="7"/>
  <c r="CC7" i="7"/>
  <c r="CC5" i="7"/>
  <c r="CC4" i="7"/>
  <c r="CC13" i="7"/>
  <c r="CD6" i="7"/>
  <c r="CD7" i="7"/>
  <c r="CD5" i="7"/>
  <c r="CD4" i="7"/>
  <c r="CD13" i="7"/>
  <c r="CE6" i="7"/>
  <c r="CE7" i="7"/>
  <c r="CE5" i="7"/>
  <c r="CE4" i="7"/>
  <c r="CE13" i="7"/>
  <c r="CF6" i="7"/>
  <c r="CF7" i="7"/>
  <c r="CF5" i="7"/>
  <c r="CF4" i="7"/>
  <c r="CF13" i="7"/>
  <c r="CG6" i="7"/>
  <c r="CG7" i="7"/>
  <c r="CG5" i="7"/>
  <c r="CG4" i="7"/>
  <c r="CG13" i="7"/>
  <c r="CH6" i="7"/>
  <c r="CH7" i="7"/>
  <c r="CH5" i="7"/>
  <c r="CH4" i="7"/>
  <c r="CH13" i="7"/>
  <c r="CI6" i="7"/>
  <c r="CI7" i="7"/>
  <c r="CI5" i="7"/>
  <c r="CI4" i="7"/>
  <c r="CI13" i="7"/>
  <c r="CJ6" i="7"/>
  <c r="CJ7" i="7"/>
  <c r="CJ5" i="7"/>
  <c r="CJ4" i="7"/>
  <c r="CJ13" i="7"/>
  <c r="CK6" i="7"/>
  <c r="CK7" i="7"/>
  <c r="CK5" i="7"/>
  <c r="CK4" i="7"/>
  <c r="CK13" i="7"/>
  <c r="CL6" i="7"/>
  <c r="CL7" i="7"/>
  <c r="CL5" i="7"/>
  <c r="CL4" i="7"/>
  <c r="CL13" i="7"/>
  <c r="CM6" i="7"/>
  <c r="CM7" i="7"/>
  <c r="CM5" i="7"/>
  <c r="CM4" i="7"/>
  <c r="CM13" i="7"/>
  <c r="CN6" i="7"/>
  <c r="CN7" i="7"/>
  <c r="CN5" i="7"/>
  <c r="CN4" i="7"/>
  <c r="CN13" i="7"/>
  <c r="CO6" i="7"/>
  <c r="CO7" i="7"/>
  <c r="CO5" i="7"/>
  <c r="CO4" i="7"/>
  <c r="CO13" i="7"/>
  <c r="CP6" i="7"/>
  <c r="CP7" i="7"/>
  <c r="CP5" i="7"/>
  <c r="CP4" i="7"/>
  <c r="CP13" i="7"/>
  <c r="CQ6" i="7"/>
  <c r="CQ7" i="7"/>
  <c r="CQ5" i="7"/>
  <c r="CQ4" i="7"/>
  <c r="CQ13" i="7"/>
  <c r="CR6" i="7"/>
  <c r="CR7" i="7"/>
  <c r="CR5" i="7"/>
  <c r="CR4" i="7"/>
  <c r="CR13" i="7"/>
  <c r="CS6" i="7"/>
  <c r="CS7" i="7"/>
  <c r="CS5" i="7"/>
  <c r="CS4" i="7"/>
  <c r="CS13" i="7"/>
  <c r="CT6" i="7"/>
  <c r="CT7" i="7"/>
  <c r="CT5" i="7"/>
  <c r="CT4" i="7"/>
  <c r="CT13" i="7"/>
  <c r="CU6" i="7"/>
  <c r="CU7" i="7"/>
  <c r="CU5" i="7"/>
  <c r="CU4" i="7"/>
  <c r="CU13" i="7"/>
  <c r="CV6" i="7"/>
  <c r="CV7" i="7"/>
  <c r="CV5" i="7"/>
  <c r="CV4" i="7"/>
  <c r="CV13" i="7"/>
  <c r="CW6" i="7"/>
  <c r="CW7" i="7"/>
  <c r="CW5" i="7"/>
  <c r="CW4" i="7"/>
  <c r="CW13" i="7"/>
  <c r="CX6" i="7"/>
  <c r="CX7" i="7"/>
  <c r="CX5" i="7"/>
  <c r="CX4" i="7"/>
  <c r="CX13" i="7"/>
  <c r="CY6" i="7"/>
  <c r="CY7" i="7"/>
  <c r="CY5" i="7"/>
  <c r="CY4" i="7"/>
  <c r="CY13" i="7"/>
  <c r="CZ6" i="7"/>
  <c r="CZ7" i="7"/>
  <c r="CZ5" i="7"/>
  <c r="CZ4" i="7"/>
  <c r="CZ13" i="7"/>
  <c r="DA6" i="7"/>
  <c r="DA7" i="7"/>
  <c r="DA5" i="7"/>
  <c r="DA4" i="7"/>
  <c r="DA13" i="7"/>
  <c r="DB6" i="7"/>
  <c r="DB7" i="7"/>
  <c r="DB5" i="7"/>
  <c r="DB4" i="7"/>
  <c r="DB13" i="7"/>
  <c r="DC6" i="7"/>
  <c r="DC7" i="7"/>
  <c r="DC5" i="7"/>
  <c r="DC4" i="7"/>
  <c r="DC13" i="7"/>
  <c r="DD6" i="7"/>
  <c r="DD7" i="7"/>
  <c r="DD5" i="7"/>
  <c r="DD4" i="7"/>
  <c r="DD13" i="7"/>
  <c r="DE6" i="7"/>
  <c r="DE7" i="7"/>
  <c r="DE5" i="7"/>
  <c r="DE4" i="7"/>
  <c r="DE13" i="7"/>
  <c r="DF6" i="7"/>
  <c r="DF7" i="7"/>
  <c r="DF5" i="7"/>
  <c r="DF4" i="7"/>
  <c r="DF13" i="7"/>
  <c r="DG6" i="7"/>
  <c r="DG7" i="7"/>
  <c r="DG5" i="7"/>
  <c r="DG4" i="7"/>
  <c r="DG13" i="7"/>
  <c r="DH6" i="7"/>
  <c r="DH7" i="7"/>
  <c r="DH5" i="7"/>
  <c r="DH4" i="7"/>
  <c r="DH13" i="7"/>
  <c r="DI6" i="7"/>
  <c r="DI7" i="7"/>
  <c r="DI5" i="7"/>
  <c r="DI4" i="7"/>
  <c r="DI13" i="7"/>
  <c r="DJ6" i="7"/>
  <c r="DJ7" i="7"/>
  <c r="DJ5" i="7"/>
  <c r="DJ4" i="7"/>
  <c r="DJ13" i="7"/>
  <c r="DK6" i="7"/>
  <c r="DK7" i="7"/>
  <c r="DK5" i="7"/>
  <c r="DK4" i="7"/>
  <c r="DK13" i="7"/>
  <c r="DL6" i="7"/>
  <c r="DL7" i="7"/>
  <c r="DL5" i="7"/>
  <c r="DL4" i="7"/>
  <c r="DL13" i="7"/>
  <c r="DM6" i="7"/>
  <c r="DM7" i="7"/>
  <c r="DM5" i="7"/>
  <c r="DM4" i="7"/>
  <c r="DM13" i="7"/>
  <c r="DN6" i="7"/>
  <c r="DN7" i="7"/>
  <c r="DN5" i="7"/>
  <c r="DN4" i="7"/>
  <c r="DN13" i="7"/>
  <c r="DO6" i="7"/>
  <c r="DO7" i="7"/>
  <c r="DO5" i="7"/>
  <c r="DO4" i="7"/>
  <c r="DO13" i="7"/>
  <c r="DP6" i="7"/>
  <c r="DP7" i="7"/>
  <c r="DP5" i="7"/>
  <c r="DP4" i="7"/>
  <c r="DP13" i="7"/>
  <c r="DQ6" i="7"/>
  <c r="DQ7" i="7"/>
  <c r="DQ5" i="7"/>
  <c r="DQ4" i="7"/>
  <c r="DQ13" i="7"/>
  <c r="DR6" i="7"/>
  <c r="DR7" i="7"/>
  <c r="DR5" i="7"/>
  <c r="DR4" i="7"/>
  <c r="DR13" i="7"/>
  <c r="DS6" i="7"/>
  <c r="DS7" i="7"/>
  <c r="DS5" i="7"/>
  <c r="DS4" i="7"/>
  <c r="DS13" i="7"/>
  <c r="DT6" i="7"/>
  <c r="DT7" i="7"/>
  <c r="DT5" i="7"/>
  <c r="DT4" i="7"/>
  <c r="DT13" i="7"/>
  <c r="DU6" i="7"/>
  <c r="DU7" i="7"/>
  <c r="DU5" i="7"/>
  <c r="DU4" i="7"/>
  <c r="DU13" i="7"/>
  <c r="DV6" i="7"/>
  <c r="DV7" i="7"/>
  <c r="DV5" i="7"/>
  <c r="DV4" i="7"/>
  <c r="DV13" i="7"/>
  <c r="F14" i="7"/>
  <c r="S7" i="10"/>
  <c r="S5" i="10"/>
  <c r="S4" i="10"/>
  <c r="S13" i="10"/>
  <c r="T7" i="10"/>
  <c r="T5" i="10"/>
  <c r="T4" i="10"/>
  <c r="T13" i="10"/>
  <c r="U7" i="10"/>
  <c r="U5" i="10"/>
  <c r="U4" i="10"/>
  <c r="U13" i="10"/>
  <c r="V7" i="10"/>
  <c r="V5" i="10"/>
  <c r="V4" i="10"/>
  <c r="V13" i="10"/>
  <c r="W7" i="10"/>
  <c r="W5" i="10"/>
  <c r="W4" i="10"/>
  <c r="W13" i="10"/>
  <c r="X7" i="10"/>
  <c r="X5" i="10"/>
  <c r="X4" i="10"/>
  <c r="X13" i="10"/>
  <c r="Y7" i="10"/>
  <c r="Y5" i="10"/>
  <c r="Y4" i="10"/>
  <c r="Y13" i="10"/>
  <c r="Z7" i="10"/>
  <c r="Z5" i="10"/>
  <c r="Z4" i="10"/>
  <c r="Z13" i="10"/>
  <c r="AA7" i="10"/>
  <c r="AA5" i="10"/>
  <c r="AA4" i="10"/>
  <c r="AA13" i="10"/>
  <c r="AB7" i="10"/>
  <c r="AB5" i="10"/>
  <c r="AB4" i="10"/>
  <c r="AB13" i="10"/>
  <c r="AC7" i="10"/>
  <c r="AC5" i="10"/>
  <c r="AC4" i="10"/>
  <c r="AC13" i="10"/>
  <c r="AD7" i="10"/>
  <c r="AD5" i="10"/>
  <c r="AD4" i="10"/>
  <c r="AD13" i="10"/>
  <c r="AE7" i="10"/>
  <c r="AE5" i="10"/>
  <c r="AE4" i="10"/>
  <c r="AE13" i="10"/>
  <c r="AF7" i="10"/>
  <c r="AF5" i="10"/>
  <c r="AF4" i="10"/>
  <c r="AF13" i="10"/>
  <c r="AG7" i="10"/>
  <c r="AG5" i="10"/>
  <c r="AG4" i="10"/>
  <c r="AG13" i="10"/>
  <c r="AH7" i="10"/>
  <c r="AH5" i="10"/>
  <c r="AH4" i="10"/>
  <c r="AH13" i="10"/>
  <c r="AI7" i="10"/>
  <c r="AI5" i="10"/>
  <c r="AI4" i="10"/>
  <c r="AI13" i="10"/>
  <c r="AJ7" i="10"/>
  <c r="AJ5" i="10"/>
  <c r="AJ4" i="10"/>
  <c r="AJ13" i="10"/>
  <c r="AK7" i="10"/>
  <c r="AK5" i="10"/>
  <c r="AK4" i="10"/>
  <c r="AK13" i="10"/>
  <c r="AL7" i="10"/>
  <c r="AL5" i="10"/>
  <c r="AL4" i="10"/>
  <c r="AL13" i="10"/>
  <c r="AM7" i="10"/>
  <c r="AM5" i="10"/>
  <c r="AM4" i="10"/>
  <c r="AM13" i="10"/>
  <c r="AN7" i="10"/>
  <c r="AN5" i="10"/>
  <c r="AN4" i="10"/>
  <c r="AN13" i="10"/>
  <c r="AO7" i="10"/>
  <c r="AO5" i="10"/>
  <c r="AO4" i="10"/>
  <c r="AO13" i="10"/>
  <c r="AP7" i="10"/>
  <c r="AP5" i="10"/>
  <c r="AP4" i="10"/>
  <c r="AP13" i="10"/>
  <c r="AQ7" i="10"/>
  <c r="AQ5" i="10"/>
  <c r="AQ4" i="10"/>
  <c r="AQ13" i="10"/>
  <c r="AR7" i="10"/>
  <c r="AR5" i="10"/>
  <c r="AR4" i="10"/>
  <c r="AR13" i="10"/>
  <c r="AS7" i="10"/>
  <c r="AS5" i="10"/>
  <c r="AS4" i="10"/>
  <c r="AS13" i="10"/>
  <c r="AT7" i="10"/>
  <c r="AT5" i="10"/>
  <c r="AT4" i="10"/>
  <c r="AT13" i="10"/>
  <c r="AU7" i="10"/>
  <c r="AU5" i="10"/>
  <c r="AU4" i="10"/>
  <c r="AU13" i="10"/>
  <c r="AV7" i="10"/>
  <c r="AV5" i="10"/>
  <c r="AV4" i="10"/>
  <c r="AV13" i="10"/>
  <c r="AW7" i="10"/>
  <c r="AW5" i="10"/>
  <c r="AW4" i="10"/>
  <c r="AW13" i="10"/>
  <c r="AX7" i="10"/>
  <c r="AX5" i="10"/>
  <c r="AX4" i="10"/>
  <c r="AX13" i="10"/>
  <c r="AY7" i="10"/>
  <c r="AY5" i="10"/>
  <c r="AY4" i="10"/>
  <c r="AY13" i="10"/>
  <c r="AZ7" i="10"/>
  <c r="AZ5" i="10"/>
  <c r="AZ4" i="10"/>
  <c r="AZ13" i="10"/>
  <c r="BA7" i="10"/>
  <c r="BA5" i="10"/>
  <c r="BA4" i="10"/>
  <c r="BA13" i="10"/>
  <c r="BB7" i="10"/>
  <c r="BB5" i="10"/>
  <c r="BB4" i="10"/>
  <c r="BB13" i="10"/>
  <c r="BC7" i="10"/>
  <c r="BC5" i="10"/>
  <c r="BC4" i="10"/>
  <c r="BC13" i="10"/>
  <c r="BD7" i="10"/>
  <c r="BD5" i="10"/>
  <c r="BD4" i="10"/>
  <c r="BD13" i="10"/>
  <c r="BE7" i="10"/>
  <c r="BE5" i="10"/>
  <c r="BE4" i="10"/>
  <c r="BE13" i="10"/>
  <c r="BF7" i="10"/>
  <c r="BF5" i="10"/>
  <c r="BF4" i="10"/>
  <c r="BF13" i="10"/>
  <c r="BG7" i="10"/>
  <c r="BG5" i="10"/>
  <c r="BG4" i="10"/>
  <c r="BG13" i="10"/>
  <c r="BH7" i="10"/>
  <c r="BH5" i="10"/>
  <c r="BH4" i="10"/>
  <c r="BH13" i="10"/>
  <c r="BI7" i="10"/>
  <c r="BI5" i="10"/>
  <c r="BI4" i="10"/>
  <c r="BI13" i="10"/>
  <c r="BJ7" i="10"/>
  <c r="BJ5" i="10"/>
  <c r="BJ4" i="10"/>
  <c r="BJ13" i="10"/>
  <c r="BK7" i="10"/>
  <c r="BK5" i="10"/>
  <c r="BK4" i="10"/>
  <c r="BK13" i="10"/>
  <c r="BL7" i="10"/>
  <c r="BL5" i="10"/>
  <c r="BL4" i="10"/>
  <c r="BL13" i="10"/>
  <c r="BM7" i="10"/>
  <c r="BM5" i="10"/>
  <c r="BM4" i="10"/>
  <c r="BM13" i="10"/>
  <c r="BN7" i="10"/>
  <c r="BN5" i="10"/>
  <c r="BN4" i="10"/>
  <c r="BN13" i="10"/>
  <c r="BO7" i="10"/>
  <c r="BO5" i="10"/>
  <c r="BO4" i="10"/>
  <c r="BO13" i="10"/>
  <c r="BP7" i="10"/>
  <c r="BP5" i="10"/>
  <c r="BP4" i="10"/>
  <c r="BP13" i="10"/>
  <c r="BQ7" i="10"/>
  <c r="BQ5" i="10"/>
  <c r="BQ4" i="10"/>
  <c r="BQ13" i="10"/>
  <c r="BR7" i="10"/>
  <c r="BR5" i="10"/>
  <c r="BR4" i="10"/>
  <c r="BR13" i="10"/>
  <c r="BS7" i="10"/>
  <c r="BS5" i="10"/>
  <c r="BS4" i="10"/>
  <c r="BS13" i="10"/>
  <c r="BT7" i="10"/>
  <c r="BT5" i="10"/>
  <c r="BT4" i="10"/>
  <c r="BT13" i="10"/>
  <c r="BU7" i="10"/>
  <c r="BU5" i="10"/>
  <c r="BU4" i="10"/>
  <c r="BU13" i="10"/>
  <c r="BV7" i="10"/>
  <c r="BV5" i="10"/>
  <c r="BV4" i="10"/>
  <c r="BV13" i="10"/>
  <c r="BW7" i="10"/>
  <c r="BW5" i="10"/>
  <c r="BW4" i="10"/>
  <c r="BW13" i="10"/>
  <c r="BX7" i="10"/>
  <c r="BX5" i="10"/>
  <c r="BX4" i="10"/>
  <c r="BX13" i="10"/>
  <c r="BY7" i="10"/>
  <c r="BY5" i="10"/>
  <c r="BY4" i="10"/>
  <c r="BY13" i="10"/>
  <c r="BZ7" i="10"/>
  <c r="BZ5" i="10"/>
  <c r="BZ4" i="10"/>
  <c r="BZ13" i="10"/>
  <c r="CA7" i="10"/>
  <c r="CA5" i="10"/>
  <c r="CA4" i="10"/>
  <c r="CA13" i="10"/>
  <c r="CB7" i="10"/>
  <c r="CB5" i="10"/>
  <c r="CB4" i="10"/>
  <c r="CB13" i="10"/>
  <c r="CC7" i="10"/>
  <c r="CC5" i="10"/>
  <c r="CC4" i="10"/>
  <c r="CC13" i="10"/>
  <c r="CD7" i="10"/>
  <c r="CD5" i="10"/>
  <c r="CD4" i="10"/>
  <c r="CD13" i="10"/>
  <c r="CE7" i="10"/>
  <c r="CE5" i="10"/>
  <c r="CE4" i="10"/>
  <c r="CE13" i="10"/>
  <c r="CF7" i="10"/>
  <c r="CF5" i="10"/>
  <c r="CF4" i="10"/>
  <c r="CF13" i="10"/>
  <c r="CG7" i="10"/>
  <c r="CG5" i="10"/>
  <c r="CG4" i="10"/>
  <c r="CG13" i="10"/>
  <c r="CH7" i="10"/>
  <c r="CH5" i="10"/>
  <c r="CH4" i="10"/>
  <c r="CH13" i="10"/>
  <c r="CI7" i="10"/>
  <c r="CI5" i="10"/>
  <c r="CI4" i="10"/>
  <c r="CI13" i="10"/>
  <c r="CJ7" i="10"/>
  <c r="CJ5" i="10"/>
  <c r="CJ4" i="10"/>
  <c r="CJ13" i="10"/>
  <c r="CK7" i="10"/>
  <c r="CK5" i="10"/>
  <c r="CK4" i="10"/>
  <c r="CK13" i="10"/>
  <c r="CL7" i="10"/>
  <c r="CL5" i="10"/>
  <c r="CL4" i="10"/>
  <c r="CL13" i="10"/>
  <c r="CM7" i="10"/>
  <c r="CM5" i="10"/>
  <c r="CM4" i="10"/>
  <c r="CM13" i="10"/>
  <c r="CN7" i="10"/>
  <c r="CN5" i="10"/>
  <c r="CN4" i="10"/>
  <c r="CN13" i="10"/>
  <c r="CO7" i="10"/>
  <c r="CO5" i="10"/>
  <c r="CO4" i="10"/>
  <c r="CO13" i="10"/>
  <c r="CP7" i="10"/>
  <c r="CP5" i="10"/>
  <c r="CP4" i="10"/>
  <c r="CP13" i="10"/>
  <c r="CQ7" i="10"/>
  <c r="CQ5" i="10"/>
  <c r="CQ4" i="10"/>
  <c r="CQ13" i="10"/>
  <c r="CR7" i="10"/>
  <c r="CR5" i="10"/>
  <c r="CR4" i="10"/>
  <c r="CR13" i="10"/>
  <c r="CS7" i="10"/>
  <c r="CS5" i="10"/>
  <c r="CS4" i="10"/>
  <c r="CS13" i="10"/>
  <c r="CT7" i="10"/>
  <c r="CT5" i="10"/>
  <c r="CT4" i="10"/>
  <c r="CT13" i="10"/>
  <c r="CU7" i="10"/>
  <c r="CU5" i="10"/>
  <c r="CU4" i="10"/>
  <c r="CU13" i="10"/>
  <c r="CV7" i="10"/>
  <c r="CV5" i="10"/>
  <c r="CV4" i="10"/>
  <c r="CV13" i="10"/>
  <c r="CW7" i="10"/>
  <c r="CW5" i="10"/>
  <c r="CW4" i="10"/>
  <c r="CW13" i="10"/>
  <c r="CX7" i="10"/>
  <c r="CX5" i="10"/>
  <c r="CX4" i="10"/>
  <c r="CX13" i="10"/>
  <c r="CY7" i="10"/>
  <c r="CY5" i="10"/>
  <c r="CY4" i="10"/>
  <c r="CY13" i="10"/>
  <c r="CZ7" i="10"/>
  <c r="CZ5" i="10"/>
  <c r="CZ4" i="10"/>
  <c r="CZ13" i="10"/>
  <c r="DA7" i="10"/>
  <c r="DA5" i="10"/>
  <c r="DA4" i="10"/>
  <c r="DA13" i="10"/>
  <c r="DB7" i="10"/>
  <c r="DB5" i="10"/>
  <c r="DB4" i="10"/>
  <c r="DB13" i="10"/>
  <c r="DC7" i="10"/>
  <c r="DC5" i="10"/>
  <c r="DC4" i="10"/>
  <c r="DC13" i="10"/>
  <c r="DD7" i="10"/>
  <c r="DD5" i="10"/>
  <c r="DD4" i="10"/>
  <c r="DD13" i="10"/>
  <c r="DE7" i="10"/>
  <c r="DE5" i="10"/>
  <c r="DE4" i="10"/>
  <c r="DE13" i="10"/>
  <c r="DF7" i="10"/>
  <c r="DF5" i="10"/>
  <c r="DF4" i="10"/>
  <c r="DF13" i="10"/>
  <c r="DG7" i="10"/>
  <c r="DG5" i="10"/>
  <c r="DG4" i="10"/>
  <c r="DG13" i="10"/>
  <c r="DH7" i="10"/>
  <c r="DH5" i="10"/>
  <c r="DH4" i="10"/>
  <c r="DH13" i="10"/>
  <c r="DI7" i="10"/>
  <c r="DI5" i="10"/>
  <c r="DI4" i="10"/>
  <c r="DI13" i="10"/>
  <c r="DJ7" i="10"/>
  <c r="DJ5" i="10"/>
  <c r="DJ4" i="10"/>
  <c r="DJ13" i="10"/>
  <c r="DK7" i="10"/>
  <c r="DK5" i="10"/>
  <c r="DK4" i="10"/>
  <c r="DK13" i="10"/>
  <c r="DL7" i="10"/>
  <c r="DL5" i="10"/>
  <c r="DL4" i="10"/>
  <c r="DL13" i="10"/>
  <c r="DM7" i="10"/>
  <c r="DM5" i="10"/>
  <c r="DM4" i="10"/>
  <c r="DM13" i="10"/>
  <c r="DN7" i="10"/>
  <c r="DN5" i="10"/>
  <c r="DN4" i="10"/>
  <c r="DN13" i="10"/>
  <c r="DO7" i="10"/>
  <c r="DO5" i="10"/>
  <c r="DO4" i="10"/>
  <c r="DO13" i="10"/>
  <c r="DP7" i="10"/>
  <c r="DP5" i="10"/>
  <c r="DP4" i="10"/>
  <c r="DP13" i="10"/>
  <c r="DQ7" i="10"/>
  <c r="DQ5" i="10"/>
  <c r="DQ4" i="10"/>
  <c r="DQ13" i="10"/>
  <c r="DR7" i="10"/>
  <c r="DR5" i="10"/>
  <c r="DR4" i="10"/>
  <c r="DR13" i="10"/>
  <c r="DS7" i="10"/>
  <c r="DS5" i="10"/>
  <c r="DS4" i="10"/>
  <c r="DS13" i="10"/>
  <c r="DT7" i="10"/>
  <c r="DT5" i="10"/>
  <c r="DT4" i="10"/>
  <c r="DT13" i="10"/>
  <c r="DU7" i="10"/>
  <c r="DU5" i="10"/>
  <c r="DU4" i="10"/>
  <c r="DU13" i="10"/>
  <c r="DV7" i="10"/>
  <c r="DV5" i="10"/>
  <c r="DV4" i="10"/>
  <c r="DV13" i="10"/>
  <c r="F14" i="10"/>
  <c r="B6" i="10"/>
  <c r="B6" i="12"/>
  <c r="P6" i="12"/>
  <c r="P5" i="12"/>
  <c r="P4" i="12"/>
  <c r="P13" i="12"/>
  <c r="Q6" i="12"/>
  <c r="Q5" i="12"/>
  <c r="Q4" i="12"/>
  <c r="Q13" i="12"/>
  <c r="R6" i="12"/>
  <c r="R5" i="12"/>
  <c r="R4" i="12"/>
  <c r="R13" i="12"/>
  <c r="S6" i="12"/>
  <c r="S5" i="12"/>
  <c r="S4" i="12"/>
  <c r="S13" i="12"/>
  <c r="T6" i="12"/>
  <c r="T5" i="12"/>
  <c r="T4" i="12"/>
  <c r="T13" i="12"/>
  <c r="U6" i="12"/>
  <c r="U5" i="12"/>
  <c r="U4" i="12"/>
  <c r="U13" i="12"/>
  <c r="V6" i="12"/>
  <c r="V5" i="12"/>
  <c r="V4" i="12"/>
  <c r="V13" i="12"/>
  <c r="W6" i="12"/>
  <c r="W5" i="12"/>
  <c r="W4" i="12"/>
  <c r="W13" i="12"/>
  <c r="X6" i="12"/>
  <c r="X5" i="12"/>
  <c r="X4" i="12"/>
  <c r="X13" i="12"/>
  <c r="Y6" i="12"/>
  <c r="Y5" i="12"/>
  <c r="Y4" i="12"/>
  <c r="Y13" i="12"/>
  <c r="Z6" i="12"/>
  <c r="Z5" i="12"/>
  <c r="Z4" i="12"/>
  <c r="Z13" i="12"/>
  <c r="AA6" i="12"/>
  <c r="AA5" i="12"/>
  <c r="AA4" i="12"/>
  <c r="AA13" i="12"/>
  <c r="AB6" i="12"/>
  <c r="AB5" i="12"/>
  <c r="AB4" i="12"/>
  <c r="AB13" i="12"/>
  <c r="AC6" i="12"/>
  <c r="AC5" i="12"/>
  <c r="AC4" i="12"/>
  <c r="AC13" i="12"/>
  <c r="AD6" i="12"/>
  <c r="AD5" i="12"/>
  <c r="AD4" i="12"/>
  <c r="AD13" i="12"/>
  <c r="AE6" i="12"/>
  <c r="AE5" i="12"/>
  <c r="AE4" i="12"/>
  <c r="AE13" i="12"/>
  <c r="AF6" i="12"/>
  <c r="AF5" i="12"/>
  <c r="AF4" i="12"/>
  <c r="AF13" i="12"/>
  <c r="AG6" i="12"/>
  <c r="AG5" i="12"/>
  <c r="AG4" i="12"/>
  <c r="AG13" i="12"/>
  <c r="AH6" i="12"/>
  <c r="AH5" i="12"/>
  <c r="AH4" i="12"/>
  <c r="AH13" i="12"/>
  <c r="AI6" i="12"/>
  <c r="AI5" i="12"/>
  <c r="AI4" i="12"/>
  <c r="AI13" i="12"/>
  <c r="AJ6" i="12"/>
  <c r="AJ5" i="12"/>
  <c r="AJ4" i="12"/>
  <c r="AJ13" i="12"/>
  <c r="AK6" i="12"/>
  <c r="AK5" i="12"/>
  <c r="AK4" i="12"/>
  <c r="AK13" i="12"/>
  <c r="AL6" i="12"/>
  <c r="AL5" i="12"/>
  <c r="AL4" i="12"/>
  <c r="AL13" i="12"/>
  <c r="AM6" i="12"/>
  <c r="AM5" i="12"/>
  <c r="AM4" i="12"/>
  <c r="AM13" i="12"/>
  <c r="AN6" i="12"/>
  <c r="AN5" i="12"/>
  <c r="AN4" i="12"/>
  <c r="AN13" i="12"/>
  <c r="AO6" i="12"/>
  <c r="AO5" i="12"/>
  <c r="AO4" i="12"/>
  <c r="AO13" i="12"/>
  <c r="AP6" i="12"/>
  <c r="AP5" i="12"/>
  <c r="AP4" i="12"/>
  <c r="AP13" i="12"/>
  <c r="AQ6" i="12"/>
  <c r="AQ5" i="12"/>
  <c r="AQ4" i="12"/>
  <c r="AQ13" i="12"/>
  <c r="AR6" i="12"/>
  <c r="AR5" i="12"/>
  <c r="AR4" i="12"/>
  <c r="AR13" i="12"/>
  <c r="AS6" i="12"/>
  <c r="AS5" i="12"/>
  <c r="AS4" i="12"/>
  <c r="AS13" i="12"/>
  <c r="AT6" i="12"/>
  <c r="AT5" i="12"/>
  <c r="AT4" i="12"/>
  <c r="AT13" i="12"/>
  <c r="AU6" i="12"/>
  <c r="AU5" i="12"/>
  <c r="AU4" i="12"/>
  <c r="AU13" i="12"/>
  <c r="AV6" i="12"/>
  <c r="AV5" i="12"/>
  <c r="AV4" i="12"/>
  <c r="AV13" i="12"/>
  <c r="AW6" i="12"/>
  <c r="AW5" i="12"/>
  <c r="AW4" i="12"/>
  <c r="AW13" i="12"/>
  <c r="AX6" i="12"/>
  <c r="AX5" i="12"/>
  <c r="AX4" i="12"/>
  <c r="AX13" i="12"/>
  <c r="AY6" i="12"/>
  <c r="AY5" i="12"/>
  <c r="AY4" i="12"/>
  <c r="AY13" i="12"/>
  <c r="AZ6" i="12"/>
  <c r="AZ5" i="12"/>
  <c r="AZ4" i="12"/>
  <c r="AZ13" i="12"/>
  <c r="BA6" i="12"/>
  <c r="BA5" i="12"/>
  <c r="BA4" i="12"/>
  <c r="BA13" i="12"/>
  <c r="BB6" i="12"/>
  <c r="BB5" i="12"/>
  <c r="BB4" i="12"/>
  <c r="BB13" i="12"/>
  <c r="BC6" i="12"/>
  <c r="BC5" i="12"/>
  <c r="BC4" i="12"/>
  <c r="BC13" i="12"/>
  <c r="BD6" i="12"/>
  <c r="BD5" i="12"/>
  <c r="BD4" i="12"/>
  <c r="BD13" i="12"/>
  <c r="BE6" i="12"/>
  <c r="BE5" i="12"/>
  <c r="BE4" i="12"/>
  <c r="BE13" i="12"/>
  <c r="BF6" i="12"/>
  <c r="BF5" i="12"/>
  <c r="BF4" i="12"/>
  <c r="BF13" i="12"/>
  <c r="BG6" i="12"/>
  <c r="BG5" i="12"/>
  <c r="BG4" i="12"/>
  <c r="BG13" i="12"/>
  <c r="BH6" i="12"/>
  <c r="BH5" i="12"/>
  <c r="BH4" i="12"/>
  <c r="BH13" i="12"/>
  <c r="BI6" i="12"/>
  <c r="BI5" i="12"/>
  <c r="BI4" i="12"/>
  <c r="BI13" i="12"/>
  <c r="BJ6" i="12"/>
  <c r="BJ5" i="12"/>
  <c r="BJ4" i="12"/>
  <c r="BJ13" i="12"/>
  <c r="BK6" i="12"/>
  <c r="BK5" i="12"/>
  <c r="BK4" i="12"/>
  <c r="BK13" i="12"/>
  <c r="BL6" i="12"/>
  <c r="BL5" i="12"/>
  <c r="BL4" i="12"/>
  <c r="BL13" i="12"/>
  <c r="BM6" i="12"/>
  <c r="BM5" i="12"/>
  <c r="BM4" i="12"/>
  <c r="BM13" i="12"/>
  <c r="BN6" i="12"/>
  <c r="BN5" i="12"/>
  <c r="BN4" i="12"/>
  <c r="BN13" i="12"/>
  <c r="BO6" i="12"/>
  <c r="BO5" i="12"/>
  <c r="BO4" i="12"/>
  <c r="BO13" i="12"/>
  <c r="BP6" i="12"/>
  <c r="BP5" i="12"/>
  <c r="BP4" i="12"/>
  <c r="BP13" i="12"/>
  <c r="BQ6" i="12"/>
  <c r="BQ5" i="12"/>
  <c r="BQ4" i="12"/>
  <c r="BQ13" i="12"/>
  <c r="BR6" i="12"/>
  <c r="BR5" i="12"/>
  <c r="BR4" i="12"/>
  <c r="BR13" i="12"/>
  <c r="BS6" i="12"/>
  <c r="BS5" i="12"/>
  <c r="BS4" i="12"/>
  <c r="BS13" i="12"/>
  <c r="BT6" i="12"/>
  <c r="BT5" i="12"/>
  <c r="BT4" i="12"/>
  <c r="BT13" i="12"/>
  <c r="BU6" i="12"/>
  <c r="BU5" i="12"/>
  <c r="BU4" i="12"/>
  <c r="BU13" i="12"/>
  <c r="BV6" i="12"/>
  <c r="BV5" i="12"/>
  <c r="BV4" i="12"/>
  <c r="BV13" i="12"/>
  <c r="BW6" i="12"/>
  <c r="BW5" i="12"/>
  <c r="BW4" i="12"/>
  <c r="BW13" i="12"/>
  <c r="BX6" i="12"/>
  <c r="BX5" i="12"/>
  <c r="BX4" i="12"/>
  <c r="BX13" i="12"/>
  <c r="BY6" i="12"/>
  <c r="BY5" i="12"/>
  <c r="BY4" i="12"/>
  <c r="BY13" i="12"/>
  <c r="BZ6" i="12"/>
  <c r="BZ5" i="12"/>
  <c r="BZ4" i="12"/>
  <c r="BZ13" i="12"/>
  <c r="CA6" i="12"/>
  <c r="CA5" i="12"/>
  <c r="CA4" i="12"/>
  <c r="CA13" i="12"/>
  <c r="CB6" i="12"/>
  <c r="CB5" i="12"/>
  <c r="CB4" i="12"/>
  <c r="CB13" i="12"/>
  <c r="CC6" i="12"/>
  <c r="CC5" i="12"/>
  <c r="CC4" i="12"/>
  <c r="CC13" i="12"/>
  <c r="CD6" i="12"/>
  <c r="CD5" i="12"/>
  <c r="CD4" i="12"/>
  <c r="CD13" i="12"/>
  <c r="CE6" i="12"/>
  <c r="CE5" i="12"/>
  <c r="CE4" i="12"/>
  <c r="CE13" i="12"/>
  <c r="CF6" i="12"/>
  <c r="CF5" i="12"/>
  <c r="CF4" i="12"/>
  <c r="CF13" i="12"/>
  <c r="CG6" i="12"/>
  <c r="CG5" i="12"/>
  <c r="CG4" i="12"/>
  <c r="CG13" i="12"/>
  <c r="CH6" i="12"/>
  <c r="CH5" i="12"/>
  <c r="CH4" i="12"/>
  <c r="CH13" i="12"/>
  <c r="CI6" i="12"/>
  <c r="CI5" i="12"/>
  <c r="CI4" i="12"/>
  <c r="CI13" i="12"/>
  <c r="CJ6" i="12"/>
  <c r="CJ5" i="12"/>
  <c r="CJ4" i="12"/>
  <c r="CJ13" i="12"/>
  <c r="CK6" i="12"/>
  <c r="CK5" i="12"/>
  <c r="CK4" i="12"/>
  <c r="CK13" i="12"/>
  <c r="CL6" i="12"/>
  <c r="CL5" i="12"/>
  <c r="CL4" i="12"/>
  <c r="CL13" i="12"/>
  <c r="CM6" i="12"/>
  <c r="CM5" i="12"/>
  <c r="CM4" i="12"/>
  <c r="CM13" i="12"/>
  <c r="CN6" i="12"/>
  <c r="CN5" i="12"/>
  <c r="CN4" i="12"/>
  <c r="CN13" i="12"/>
  <c r="CO6" i="12"/>
  <c r="CO5" i="12"/>
  <c r="CO4" i="12"/>
  <c r="CO13" i="12"/>
  <c r="CP6" i="12"/>
  <c r="CP5" i="12"/>
  <c r="CP4" i="12"/>
  <c r="CP13" i="12"/>
  <c r="CQ6" i="12"/>
  <c r="CQ5" i="12"/>
  <c r="CQ4" i="12"/>
  <c r="CQ13" i="12"/>
  <c r="CR6" i="12"/>
  <c r="CR5" i="12"/>
  <c r="CR4" i="12"/>
  <c r="CR13" i="12"/>
  <c r="CS6" i="12"/>
  <c r="CS5" i="12"/>
  <c r="CS4" i="12"/>
  <c r="CS13" i="12"/>
  <c r="CT6" i="12"/>
  <c r="CT5" i="12"/>
  <c r="CT4" i="12"/>
  <c r="CT13" i="12"/>
  <c r="CU6" i="12"/>
  <c r="CU5" i="12"/>
  <c r="CU4" i="12"/>
  <c r="CU13" i="12"/>
  <c r="CV6" i="12"/>
  <c r="CV5" i="12"/>
  <c r="CV4" i="12"/>
  <c r="CV13" i="12"/>
  <c r="CW6" i="12"/>
  <c r="CW5" i="12"/>
  <c r="CW4" i="12"/>
  <c r="CW13" i="12"/>
  <c r="CX6" i="12"/>
  <c r="CX5" i="12"/>
  <c r="CX4" i="12"/>
  <c r="CX13" i="12"/>
  <c r="CY6" i="12"/>
  <c r="CY5" i="12"/>
  <c r="CY4" i="12"/>
  <c r="CY13" i="12"/>
  <c r="CZ6" i="12"/>
  <c r="CZ5" i="12"/>
  <c r="CZ4" i="12"/>
  <c r="CZ13" i="12"/>
  <c r="DA6" i="12"/>
  <c r="DA5" i="12"/>
  <c r="DA4" i="12"/>
  <c r="DA13" i="12"/>
  <c r="DB6" i="12"/>
  <c r="DB5" i="12"/>
  <c r="DB4" i="12"/>
  <c r="DB13" i="12"/>
  <c r="DC6" i="12"/>
  <c r="DC5" i="12"/>
  <c r="DC4" i="12"/>
  <c r="DC13" i="12"/>
  <c r="DD6" i="12"/>
  <c r="DD5" i="12"/>
  <c r="DD4" i="12"/>
  <c r="DD13" i="12"/>
  <c r="DE6" i="12"/>
  <c r="DE5" i="12"/>
  <c r="DE4" i="12"/>
  <c r="DE13" i="12"/>
  <c r="DF6" i="12"/>
  <c r="DF5" i="12"/>
  <c r="DF4" i="12"/>
  <c r="DF13" i="12"/>
  <c r="DG6" i="12"/>
  <c r="DG5" i="12"/>
  <c r="DG4" i="12"/>
  <c r="DG13" i="12"/>
  <c r="DH6" i="12"/>
  <c r="DH5" i="12"/>
  <c r="DH4" i="12"/>
  <c r="DH13" i="12"/>
  <c r="DI6" i="12"/>
  <c r="DI5" i="12"/>
  <c r="DI4" i="12"/>
  <c r="DI13" i="12"/>
  <c r="DJ6" i="12"/>
  <c r="DJ5" i="12"/>
  <c r="DJ4" i="12"/>
  <c r="DJ13" i="12"/>
  <c r="DK6" i="12"/>
  <c r="DK5" i="12"/>
  <c r="DK4" i="12"/>
  <c r="DK13" i="12"/>
  <c r="DL6" i="12"/>
  <c r="DL5" i="12"/>
  <c r="DL4" i="12"/>
  <c r="DL13" i="12"/>
  <c r="DM6" i="12"/>
  <c r="DM5" i="12"/>
  <c r="DM4" i="12"/>
  <c r="DM13" i="12"/>
  <c r="DN6" i="12"/>
  <c r="DN5" i="12"/>
  <c r="DN4" i="12"/>
  <c r="DN13" i="12"/>
  <c r="DO6" i="12"/>
  <c r="DO5" i="12"/>
  <c r="DO4" i="12"/>
  <c r="DO13" i="12"/>
  <c r="DP6" i="12"/>
  <c r="DP5" i="12"/>
  <c r="DP4" i="12"/>
  <c r="DP13" i="12"/>
  <c r="DQ6" i="12"/>
  <c r="DQ5" i="12"/>
  <c r="DQ4" i="12"/>
  <c r="DQ13" i="12"/>
  <c r="DR6" i="12"/>
  <c r="DR5" i="12"/>
  <c r="DR4" i="12"/>
  <c r="DR13" i="12"/>
  <c r="DS6" i="12"/>
  <c r="DS5" i="12"/>
  <c r="DS4" i="12"/>
  <c r="DS13" i="12"/>
  <c r="DT6" i="12"/>
  <c r="DT5" i="12"/>
  <c r="DT4" i="12"/>
  <c r="DT13" i="12"/>
  <c r="DU6" i="12"/>
  <c r="DU5" i="12"/>
  <c r="DU4" i="12"/>
  <c r="DU13" i="12"/>
  <c r="DV6" i="12"/>
  <c r="DV5" i="12"/>
  <c r="DV4" i="12"/>
  <c r="DV13" i="12"/>
  <c r="F14" i="12"/>
  <c r="B6" i="13"/>
  <c r="P6" i="13"/>
  <c r="P5" i="13"/>
  <c r="P4" i="13"/>
  <c r="P13" i="13"/>
  <c r="Q6" i="13"/>
  <c r="Q5" i="13"/>
  <c r="Q4" i="13"/>
  <c r="Q13" i="13"/>
  <c r="R6" i="13"/>
  <c r="R5" i="13"/>
  <c r="R4" i="13"/>
  <c r="R13" i="13"/>
  <c r="S6" i="13"/>
  <c r="S5" i="13"/>
  <c r="S4" i="13"/>
  <c r="S13" i="13"/>
  <c r="T6" i="13"/>
  <c r="T5" i="13"/>
  <c r="T4" i="13"/>
  <c r="T13" i="13"/>
  <c r="U6" i="13"/>
  <c r="U5" i="13"/>
  <c r="U4" i="13"/>
  <c r="U13" i="13"/>
  <c r="V6" i="13"/>
  <c r="V5" i="13"/>
  <c r="V4" i="13"/>
  <c r="V13" i="13"/>
  <c r="W6" i="13"/>
  <c r="W5" i="13"/>
  <c r="W4" i="13"/>
  <c r="W13" i="13"/>
  <c r="X6" i="13"/>
  <c r="X5" i="13"/>
  <c r="X4" i="13"/>
  <c r="X13" i="13"/>
  <c r="Y6" i="13"/>
  <c r="Y5" i="13"/>
  <c r="Y4" i="13"/>
  <c r="Y13" i="13"/>
  <c r="Z6" i="13"/>
  <c r="Z5" i="13"/>
  <c r="Z4" i="13"/>
  <c r="Z13" i="13"/>
  <c r="AA6" i="13"/>
  <c r="AA5" i="13"/>
  <c r="AA4" i="13"/>
  <c r="AA13" i="13"/>
  <c r="AB6" i="13"/>
  <c r="AB5" i="13"/>
  <c r="AB4" i="13"/>
  <c r="AB13" i="13"/>
  <c r="AC6" i="13"/>
  <c r="AC5" i="13"/>
  <c r="AC4" i="13"/>
  <c r="AC13" i="13"/>
  <c r="AD6" i="13"/>
  <c r="AD5" i="13"/>
  <c r="AD4" i="13"/>
  <c r="AD13" i="13"/>
  <c r="AE6" i="13"/>
  <c r="AE5" i="13"/>
  <c r="AE4" i="13"/>
  <c r="AE13" i="13"/>
  <c r="AF6" i="13"/>
  <c r="AF5" i="13"/>
  <c r="AF4" i="13"/>
  <c r="AF13" i="13"/>
  <c r="AG6" i="13"/>
  <c r="AG5" i="13"/>
  <c r="AG4" i="13"/>
  <c r="AG13" i="13"/>
  <c r="AH6" i="13"/>
  <c r="AH5" i="13"/>
  <c r="AH4" i="13"/>
  <c r="AH13" i="13"/>
  <c r="AI6" i="13"/>
  <c r="AI5" i="13"/>
  <c r="AI4" i="13"/>
  <c r="AI13" i="13"/>
  <c r="AJ6" i="13"/>
  <c r="AJ5" i="13"/>
  <c r="AJ4" i="13"/>
  <c r="AJ13" i="13"/>
  <c r="AK6" i="13"/>
  <c r="AK5" i="13"/>
  <c r="AK4" i="13"/>
  <c r="AK13" i="13"/>
  <c r="AL6" i="13"/>
  <c r="AL5" i="13"/>
  <c r="AL4" i="13"/>
  <c r="AL13" i="13"/>
  <c r="AM6" i="13"/>
  <c r="AM5" i="13"/>
  <c r="AM4" i="13"/>
  <c r="AM13" i="13"/>
  <c r="AN6" i="13"/>
  <c r="AN5" i="13"/>
  <c r="AN4" i="13"/>
  <c r="AN13" i="13"/>
  <c r="AO6" i="13"/>
  <c r="AO5" i="13"/>
  <c r="AO4" i="13"/>
  <c r="AO13" i="13"/>
  <c r="AP6" i="13"/>
  <c r="AP5" i="13"/>
  <c r="AP4" i="13"/>
  <c r="AP13" i="13"/>
  <c r="AQ6" i="13"/>
  <c r="AQ5" i="13"/>
  <c r="AQ4" i="13"/>
  <c r="AQ13" i="13"/>
  <c r="AR6" i="13"/>
  <c r="AR5" i="13"/>
  <c r="AR4" i="13"/>
  <c r="AR13" i="13"/>
  <c r="AS6" i="13"/>
  <c r="AS5" i="13"/>
  <c r="AS4" i="13"/>
  <c r="AS13" i="13"/>
  <c r="AT6" i="13"/>
  <c r="AT5" i="13"/>
  <c r="AT4" i="13"/>
  <c r="AT13" i="13"/>
  <c r="AU6" i="13"/>
  <c r="AU5" i="13"/>
  <c r="AU4" i="13"/>
  <c r="AU13" i="13"/>
  <c r="AV6" i="13"/>
  <c r="AV5" i="13"/>
  <c r="AV4" i="13"/>
  <c r="AV13" i="13"/>
  <c r="AW6" i="13"/>
  <c r="AW5" i="13"/>
  <c r="AW4" i="13"/>
  <c r="AW13" i="13"/>
  <c r="AX6" i="13"/>
  <c r="AX5" i="13"/>
  <c r="AX4" i="13"/>
  <c r="AX13" i="13"/>
  <c r="AY6" i="13"/>
  <c r="AY5" i="13"/>
  <c r="AY4" i="13"/>
  <c r="AY13" i="13"/>
  <c r="AZ6" i="13"/>
  <c r="AZ5" i="13"/>
  <c r="AZ4" i="13"/>
  <c r="AZ13" i="13"/>
  <c r="BA6" i="13"/>
  <c r="BA5" i="13"/>
  <c r="BA4" i="13"/>
  <c r="BA13" i="13"/>
  <c r="BB6" i="13"/>
  <c r="BB5" i="13"/>
  <c r="BB4" i="13"/>
  <c r="BB13" i="13"/>
  <c r="BC6" i="13"/>
  <c r="BC5" i="13"/>
  <c r="BC4" i="13"/>
  <c r="BC13" i="13"/>
  <c r="BD6" i="13"/>
  <c r="BD5" i="13"/>
  <c r="BD4" i="13"/>
  <c r="BD13" i="13"/>
  <c r="BE6" i="13"/>
  <c r="BE5" i="13"/>
  <c r="BE4" i="13"/>
  <c r="BE13" i="13"/>
  <c r="BF6" i="13"/>
  <c r="BF5" i="13"/>
  <c r="BF4" i="13"/>
  <c r="BF13" i="13"/>
  <c r="BG6" i="13"/>
  <c r="BG5" i="13"/>
  <c r="BG4" i="13"/>
  <c r="BG13" i="13"/>
  <c r="BH6" i="13"/>
  <c r="BH5" i="13"/>
  <c r="BH4" i="13"/>
  <c r="BH13" i="13"/>
  <c r="BI6" i="13"/>
  <c r="BI5" i="13"/>
  <c r="BI4" i="13"/>
  <c r="BI13" i="13"/>
  <c r="BJ6" i="13"/>
  <c r="BJ5" i="13"/>
  <c r="BJ4" i="13"/>
  <c r="BJ13" i="13"/>
  <c r="BK6" i="13"/>
  <c r="BK5" i="13"/>
  <c r="BK4" i="13"/>
  <c r="BK13" i="13"/>
  <c r="BL6" i="13"/>
  <c r="BL5" i="13"/>
  <c r="BL4" i="13"/>
  <c r="BL13" i="13"/>
  <c r="BM6" i="13"/>
  <c r="BM5" i="13"/>
  <c r="BM4" i="13"/>
  <c r="BM13" i="13"/>
  <c r="BN6" i="13"/>
  <c r="BN5" i="13"/>
  <c r="BN4" i="13"/>
  <c r="BN13" i="13"/>
  <c r="BO6" i="13"/>
  <c r="BO5" i="13"/>
  <c r="BO4" i="13"/>
  <c r="BO13" i="13"/>
  <c r="BP6" i="13"/>
  <c r="BP5" i="13"/>
  <c r="BP4" i="13"/>
  <c r="BP13" i="13"/>
  <c r="BQ6" i="13"/>
  <c r="BQ5" i="13"/>
  <c r="BQ4" i="13"/>
  <c r="BQ13" i="13"/>
  <c r="BR6" i="13"/>
  <c r="BR5" i="13"/>
  <c r="BR4" i="13"/>
  <c r="BR13" i="13"/>
  <c r="BS6" i="13"/>
  <c r="BS5" i="13"/>
  <c r="BS4" i="13"/>
  <c r="BS13" i="13"/>
  <c r="BT6" i="13"/>
  <c r="BT5" i="13"/>
  <c r="BT4" i="13"/>
  <c r="BT13" i="13"/>
  <c r="BU6" i="13"/>
  <c r="BU5" i="13"/>
  <c r="BU4" i="13"/>
  <c r="BU13" i="13"/>
  <c r="BV6" i="13"/>
  <c r="BV5" i="13"/>
  <c r="BV4" i="13"/>
  <c r="BV13" i="13"/>
  <c r="BW6" i="13"/>
  <c r="BW5" i="13"/>
  <c r="BW4" i="13"/>
  <c r="BW13" i="13"/>
  <c r="BX6" i="13"/>
  <c r="BX5" i="13"/>
  <c r="BX4" i="13"/>
  <c r="BX13" i="13"/>
  <c r="BY6" i="13"/>
  <c r="BY5" i="13"/>
  <c r="BY4" i="13"/>
  <c r="BY13" i="13"/>
  <c r="BZ6" i="13"/>
  <c r="BZ5" i="13"/>
  <c r="BZ4" i="13"/>
  <c r="BZ13" i="13"/>
  <c r="CA6" i="13"/>
  <c r="CA5" i="13"/>
  <c r="CA4" i="13"/>
  <c r="CA13" i="13"/>
  <c r="CB6" i="13"/>
  <c r="CB5" i="13"/>
  <c r="CB4" i="13"/>
  <c r="CB13" i="13"/>
  <c r="CC6" i="13"/>
  <c r="CC5" i="13"/>
  <c r="CC4" i="13"/>
  <c r="CC13" i="13"/>
  <c r="CD6" i="13"/>
  <c r="CD5" i="13"/>
  <c r="CD4" i="13"/>
  <c r="CD13" i="13"/>
  <c r="CE6" i="13"/>
  <c r="CE5" i="13"/>
  <c r="CE4" i="13"/>
  <c r="CE13" i="13"/>
  <c r="CF6" i="13"/>
  <c r="CF5" i="13"/>
  <c r="CF4" i="13"/>
  <c r="CF13" i="13"/>
  <c r="CG6" i="13"/>
  <c r="CG5" i="13"/>
  <c r="CG4" i="13"/>
  <c r="CG13" i="13"/>
  <c r="CH6" i="13"/>
  <c r="CH5" i="13"/>
  <c r="CH4" i="13"/>
  <c r="CH13" i="13"/>
  <c r="CI6" i="13"/>
  <c r="CI5" i="13"/>
  <c r="CI4" i="13"/>
  <c r="CI13" i="13"/>
  <c r="CJ6" i="13"/>
  <c r="CJ5" i="13"/>
  <c r="CJ4" i="13"/>
  <c r="CJ13" i="13"/>
  <c r="CK6" i="13"/>
  <c r="CK5" i="13"/>
  <c r="CK4" i="13"/>
  <c r="CK13" i="13"/>
  <c r="CL6" i="13"/>
  <c r="CL5" i="13"/>
  <c r="CL4" i="13"/>
  <c r="CL13" i="13"/>
  <c r="CM6" i="13"/>
  <c r="CM5" i="13"/>
  <c r="CM4" i="13"/>
  <c r="CM13" i="13"/>
  <c r="CN6" i="13"/>
  <c r="CN5" i="13"/>
  <c r="CN4" i="13"/>
  <c r="CN13" i="13"/>
  <c r="CO6" i="13"/>
  <c r="CO5" i="13"/>
  <c r="CO4" i="13"/>
  <c r="CO13" i="13"/>
  <c r="CP6" i="13"/>
  <c r="CP5" i="13"/>
  <c r="CP4" i="13"/>
  <c r="CP13" i="13"/>
  <c r="CQ6" i="13"/>
  <c r="CQ5" i="13"/>
  <c r="CQ4" i="13"/>
  <c r="CQ13" i="13"/>
  <c r="CR6" i="13"/>
  <c r="CR5" i="13"/>
  <c r="CR4" i="13"/>
  <c r="CR13" i="13"/>
  <c r="CS6" i="13"/>
  <c r="CS5" i="13"/>
  <c r="CS4" i="13"/>
  <c r="CS13" i="13"/>
  <c r="CT6" i="13"/>
  <c r="CT5" i="13"/>
  <c r="CT4" i="13"/>
  <c r="CT13" i="13"/>
  <c r="CU6" i="13"/>
  <c r="CU5" i="13"/>
  <c r="CU4" i="13"/>
  <c r="CU13" i="13"/>
  <c r="CV6" i="13"/>
  <c r="CV5" i="13"/>
  <c r="CV4" i="13"/>
  <c r="CV13" i="13"/>
  <c r="CW6" i="13"/>
  <c r="CW5" i="13"/>
  <c r="CW4" i="13"/>
  <c r="CW13" i="13"/>
  <c r="CX6" i="13"/>
  <c r="CX5" i="13"/>
  <c r="CX4" i="13"/>
  <c r="CX13" i="13"/>
  <c r="CY6" i="13"/>
  <c r="CY5" i="13"/>
  <c r="CY4" i="13"/>
  <c r="CY13" i="13"/>
  <c r="CZ6" i="13"/>
  <c r="CZ5" i="13"/>
  <c r="CZ4" i="13"/>
  <c r="CZ13" i="13"/>
  <c r="DA6" i="13"/>
  <c r="DA5" i="13"/>
  <c r="DA4" i="13"/>
  <c r="DA13" i="13"/>
  <c r="DB6" i="13"/>
  <c r="DB5" i="13"/>
  <c r="DB4" i="13"/>
  <c r="DB13" i="13"/>
  <c r="DC6" i="13"/>
  <c r="DC5" i="13"/>
  <c r="DC4" i="13"/>
  <c r="DC13" i="13"/>
  <c r="DD6" i="13"/>
  <c r="DD5" i="13"/>
  <c r="DD4" i="13"/>
  <c r="DD13" i="13"/>
  <c r="DE6" i="13"/>
  <c r="DE5" i="13"/>
  <c r="DE4" i="13"/>
  <c r="DE13" i="13"/>
  <c r="DF6" i="13"/>
  <c r="DF5" i="13"/>
  <c r="DF4" i="13"/>
  <c r="DF13" i="13"/>
  <c r="DG6" i="13"/>
  <c r="DG5" i="13"/>
  <c r="DG4" i="13"/>
  <c r="DG13" i="13"/>
  <c r="DH6" i="13"/>
  <c r="DH5" i="13"/>
  <c r="DH4" i="13"/>
  <c r="DH13" i="13"/>
  <c r="DI6" i="13"/>
  <c r="DI5" i="13"/>
  <c r="DI4" i="13"/>
  <c r="DI13" i="13"/>
  <c r="DJ6" i="13"/>
  <c r="DJ5" i="13"/>
  <c r="DJ4" i="13"/>
  <c r="DJ13" i="13"/>
  <c r="DK6" i="13"/>
  <c r="DK5" i="13"/>
  <c r="DK4" i="13"/>
  <c r="DK13" i="13"/>
  <c r="DL6" i="13"/>
  <c r="DL5" i="13"/>
  <c r="DL4" i="13"/>
  <c r="DL13" i="13"/>
  <c r="DM6" i="13"/>
  <c r="DM5" i="13"/>
  <c r="DM4" i="13"/>
  <c r="DM13" i="13"/>
  <c r="DN6" i="13"/>
  <c r="DN5" i="13"/>
  <c r="DN4" i="13"/>
  <c r="DN13" i="13"/>
  <c r="DO6" i="13"/>
  <c r="DO5" i="13"/>
  <c r="DO4" i="13"/>
  <c r="DO13" i="13"/>
  <c r="DP6" i="13"/>
  <c r="DP5" i="13"/>
  <c r="DP4" i="13"/>
  <c r="DP13" i="13"/>
  <c r="DQ6" i="13"/>
  <c r="DQ5" i="13"/>
  <c r="DQ4" i="13"/>
  <c r="DQ13" i="13"/>
  <c r="DR6" i="13"/>
  <c r="DR5" i="13"/>
  <c r="DR4" i="13"/>
  <c r="DR13" i="13"/>
  <c r="DS6" i="13"/>
  <c r="DS5" i="13"/>
  <c r="DS4" i="13"/>
  <c r="DS13" i="13"/>
  <c r="DT6" i="13"/>
  <c r="DT5" i="13"/>
  <c r="DT4" i="13"/>
  <c r="DT13" i="13"/>
  <c r="DU6" i="13"/>
  <c r="DU5" i="13"/>
  <c r="DU4" i="13"/>
  <c r="DU13" i="13"/>
  <c r="DV6" i="13"/>
  <c r="DV5" i="13"/>
  <c r="DV4" i="13"/>
  <c r="DV13" i="13"/>
  <c r="F14" i="13"/>
  <c r="M11" i="14"/>
  <c r="M10" i="14"/>
  <c r="M4" i="14"/>
  <c r="M15" i="14"/>
  <c r="N11" i="14"/>
  <c r="N10" i="14"/>
  <c r="N4" i="14"/>
  <c r="N15" i="14"/>
  <c r="O11" i="14"/>
  <c r="O10" i="14"/>
  <c r="O4" i="14"/>
  <c r="O15" i="14"/>
  <c r="B6" i="14"/>
  <c r="P6" i="14"/>
  <c r="P7" i="14"/>
  <c r="P5" i="14"/>
  <c r="P11" i="14"/>
  <c r="P10" i="14"/>
  <c r="P4" i="14"/>
  <c r="P15" i="14"/>
  <c r="Q6" i="14"/>
  <c r="Q7" i="14"/>
  <c r="Q5" i="14"/>
  <c r="Q4" i="14"/>
  <c r="Q15" i="14"/>
  <c r="R6" i="14"/>
  <c r="R7" i="14"/>
  <c r="R5" i="14"/>
  <c r="R4" i="14"/>
  <c r="R15" i="14"/>
  <c r="S6" i="14"/>
  <c r="S7" i="14"/>
  <c r="S5" i="14"/>
  <c r="S4" i="14"/>
  <c r="S15" i="14"/>
  <c r="T6" i="14"/>
  <c r="T7" i="14"/>
  <c r="T5" i="14"/>
  <c r="T4" i="14"/>
  <c r="T15" i="14"/>
  <c r="U6" i="14"/>
  <c r="U7" i="14"/>
  <c r="U5" i="14"/>
  <c r="U4" i="14"/>
  <c r="U15" i="14"/>
  <c r="V6" i="14"/>
  <c r="V7" i="14"/>
  <c r="V5" i="14"/>
  <c r="V4" i="14"/>
  <c r="V15" i="14"/>
  <c r="W6" i="14"/>
  <c r="W7" i="14"/>
  <c r="W5" i="14"/>
  <c r="W4" i="14"/>
  <c r="W15" i="14"/>
  <c r="X6" i="14"/>
  <c r="X7" i="14"/>
  <c r="X5" i="14"/>
  <c r="X4" i="14"/>
  <c r="X15" i="14"/>
  <c r="Y6" i="14"/>
  <c r="Y7" i="14"/>
  <c r="Y5" i="14"/>
  <c r="Y4" i="14"/>
  <c r="Y15" i="14"/>
  <c r="Z6" i="14"/>
  <c r="Z7" i="14"/>
  <c r="Z5" i="14"/>
  <c r="Z4" i="14"/>
  <c r="Z15" i="14"/>
  <c r="AA6" i="14"/>
  <c r="AA7" i="14"/>
  <c r="AA5" i="14"/>
  <c r="AA4" i="14"/>
  <c r="AA15" i="14"/>
  <c r="AB6" i="14"/>
  <c r="AB7" i="14"/>
  <c r="AB5" i="14"/>
  <c r="AB4" i="14"/>
  <c r="AB15" i="14"/>
  <c r="AC6" i="14"/>
  <c r="AC7" i="14"/>
  <c r="AC5" i="14"/>
  <c r="AC4" i="14"/>
  <c r="AC15" i="14"/>
  <c r="AD6" i="14"/>
  <c r="AD7" i="14"/>
  <c r="AD5" i="14"/>
  <c r="AD4" i="14"/>
  <c r="AD15" i="14"/>
  <c r="AE6" i="14"/>
  <c r="AE7" i="14"/>
  <c r="AE5" i="14"/>
  <c r="AE4" i="14"/>
  <c r="AE15" i="14"/>
  <c r="AF6" i="14"/>
  <c r="AF7" i="14"/>
  <c r="AF5" i="14"/>
  <c r="AF4" i="14"/>
  <c r="AF15" i="14"/>
  <c r="AG6" i="14"/>
  <c r="AG7" i="14"/>
  <c r="AG5" i="14"/>
  <c r="AG4" i="14"/>
  <c r="AG15" i="14"/>
  <c r="AH6" i="14"/>
  <c r="AH7" i="14"/>
  <c r="AH5" i="14"/>
  <c r="AH4" i="14"/>
  <c r="AH15" i="14"/>
  <c r="AI6" i="14"/>
  <c r="AI7" i="14"/>
  <c r="AI5" i="14"/>
  <c r="AI4" i="14"/>
  <c r="AI15" i="14"/>
  <c r="AJ6" i="14"/>
  <c r="AJ7" i="14"/>
  <c r="AJ5" i="14"/>
  <c r="AJ4" i="14"/>
  <c r="AJ15" i="14"/>
  <c r="AK6" i="14"/>
  <c r="AK7" i="14"/>
  <c r="AK5" i="14"/>
  <c r="AK4" i="14"/>
  <c r="AK15" i="14"/>
  <c r="AL6" i="14"/>
  <c r="AL7" i="14"/>
  <c r="AL5" i="14"/>
  <c r="AL4" i="14"/>
  <c r="AL15" i="14"/>
  <c r="AM6" i="14"/>
  <c r="AM7" i="14"/>
  <c r="AM5" i="14"/>
  <c r="AM4" i="14"/>
  <c r="AM15" i="14"/>
  <c r="AN6" i="14"/>
  <c r="AN7" i="14"/>
  <c r="AN5" i="14"/>
  <c r="AN4" i="14"/>
  <c r="AN15" i="14"/>
  <c r="AO6" i="14"/>
  <c r="AO7" i="14"/>
  <c r="AO5" i="14"/>
  <c r="AO4" i="14"/>
  <c r="AO15" i="14"/>
  <c r="AP6" i="14"/>
  <c r="AP7" i="14"/>
  <c r="AP5" i="14"/>
  <c r="AP4" i="14"/>
  <c r="AP15" i="14"/>
  <c r="AQ6" i="14"/>
  <c r="AQ7" i="14"/>
  <c r="AQ5" i="14"/>
  <c r="AQ4" i="14"/>
  <c r="AQ15" i="14"/>
  <c r="AR6" i="14"/>
  <c r="AR7" i="14"/>
  <c r="AR5" i="14"/>
  <c r="AR4" i="14"/>
  <c r="AR15" i="14"/>
  <c r="AS6" i="14"/>
  <c r="AS7" i="14"/>
  <c r="AS5" i="14"/>
  <c r="AS4" i="14"/>
  <c r="AS15" i="14"/>
  <c r="AT6" i="14"/>
  <c r="AT7" i="14"/>
  <c r="AT5" i="14"/>
  <c r="AT4" i="14"/>
  <c r="AT15" i="14"/>
  <c r="AU6" i="14"/>
  <c r="AU7" i="14"/>
  <c r="AU5" i="14"/>
  <c r="AU4" i="14"/>
  <c r="AU15" i="14"/>
  <c r="AV6" i="14"/>
  <c r="AV7" i="14"/>
  <c r="AV5" i="14"/>
  <c r="AV4" i="14"/>
  <c r="AV15" i="14"/>
  <c r="AW6" i="14"/>
  <c r="AW7" i="14"/>
  <c r="AW5" i="14"/>
  <c r="AW4" i="14"/>
  <c r="AW15" i="14"/>
  <c r="AX6" i="14"/>
  <c r="AX7" i="14"/>
  <c r="AX5" i="14"/>
  <c r="AX4" i="14"/>
  <c r="AX15" i="14"/>
  <c r="AY6" i="14"/>
  <c r="AY7" i="14"/>
  <c r="AY5" i="14"/>
  <c r="AY4" i="14"/>
  <c r="AY15" i="14"/>
  <c r="AZ6" i="14"/>
  <c r="AZ7" i="14"/>
  <c r="AZ5" i="14"/>
  <c r="AZ4" i="14"/>
  <c r="AZ15" i="14"/>
  <c r="BA6" i="14"/>
  <c r="BA7" i="14"/>
  <c r="BA5" i="14"/>
  <c r="BA4" i="14"/>
  <c r="BA15" i="14"/>
  <c r="BB6" i="14"/>
  <c r="BB7" i="14"/>
  <c r="BB5" i="14"/>
  <c r="BB4" i="14"/>
  <c r="BB15" i="14"/>
  <c r="BC6" i="14"/>
  <c r="BC7" i="14"/>
  <c r="BC5" i="14"/>
  <c r="BC4" i="14"/>
  <c r="BC15" i="14"/>
  <c r="BD6" i="14"/>
  <c r="BD7" i="14"/>
  <c r="BD5" i="14"/>
  <c r="BD4" i="14"/>
  <c r="BD15" i="14"/>
  <c r="BE6" i="14"/>
  <c r="BE7" i="14"/>
  <c r="BE5" i="14"/>
  <c r="BE4" i="14"/>
  <c r="BE15" i="14"/>
  <c r="BF6" i="14"/>
  <c r="BF7" i="14"/>
  <c r="BF5" i="14"/>
  <c r="BF4" i="14"/>
  <c r="BF15" i="14"/>
  <c r="BG6" i="14"/>
  <c r="BG7" i="14"/>
  <c r="BG5" i="14"/>
  <c r="BG4" i="14"/>
  <c r="BG15" i="14"/>
  <c r="BH6" i="14"/>
  <c r="BH7" i="14"/>
  <c r="BH5" i="14"/>
  <c r="BH4" i="14"/>
  <c r="BH15" i="14"/>
  <c r="BI6" i="14"/>
  <c r="BI7" i="14"/>
  <c r="BI5" i="14"/>
  <c r="BI4" i="14"/>
  <c r="BI15" i="14"/>
  <c r="BJ6" i="14"/>
  <c r="BJ7" i="14"/>
  <c r="BJ5" i="14"/>
  <c r="BJ4" i="14"/>
  <c r="BJ15" i="14"/>
  <c r="BK6" i="14"/>
  <c r="BK7" i="14"/>
  <c r="BK5" i="14"/>
  <c r="BK4" i="14"/>
  <c r="BK15" i="14"/>
  <c r="BL6" i="14"/>
  <c r="BL7" i="14"/>
  <c r="BL5" i="14"/>
  <c r="BL4" i="14"/>
  <c r="BL15" i="14"/>
  <c r="BM6" i="14"/>
  <c r="BM7" i="14"/>
  <c r="BM5" i="14"/>
  <c r="BM4" i="14"/>
  <c r="BM15" i="14"/>
  <c r="BN6" i="14"/>
  <c r="BN7" i="14"/>
  <c r="BN5" i="14"/>
  <c r="BN4" i="14"/>
  <c r="BN15" i="14"/>
  <c r="BO6" i="14"/>
  <c r="BO7" i="14"/>
  <c r="BO5" i="14"/>
  <c r="BO4" i="14"/>
  <c r="BO15" i="14"/>
  <c r="BP6" i="14"/>
  <c r="BP7" i="14"/>
  <c r="BP5" i="14"/>
  <c r="BP4" i="14"/>
  <c r="BP15" i="14"/>
  <c r="BQ6" i="14"/>
  <c r="BQ7" i="14"/>
  <c r="BQ5" i="14"/>
  <c r="BQ4" i="14"/>
  <c r="BQ15" i="14"/>
  <c r="BR6" i="14"/>
  <c r="BR7" i="14"/>
  <c r="BR5" i="14"/>
  <c r="BR4" i="14"/>
  <c r="BR15" i="14"/>
  <c r="BS6" i="14"/>
  <c r="BS7" i="14"/>
  <c r="BS5" i="14"/>
  <c r="BS4" i="14"/>
  <c r="BS15" i="14"/>
  <c r="BT6" i="14"/>
  <c r="BT7" i="14"/>
  <c r="BT5" i="14"/>
  <c r="BT4" i="14"/>
  <c r="BT15" i="14"/>
  <c r="BU6" i="14"/>
  <c r="BU7" i="14"/>
  <c r="BU5" i="14"/>
  <c r="BU4" i="14"/>
  <c r="BU15" i="14"/>
  <c r="BV6" i="14"/>
  <c r="BV7" i="14"/>
  <c r="BV5" i="14"/>
  <c r="BV4" i="14"/>
  <c r="BV15" i="14"/>
  <c r="BW6" i="14"/>
  <c r="BW7" i="14"/>
  <c r="BW5" i="14"/>
  <c r="BW4" i="14"/>
  <c r="BW15" i="14"/>
  <c r="BX6" i="14"/>
  <c r="BX7" i="14"/>
  <c r="BX5" i="14"/>
  <c r="BX4" i="14"/>
  <c r="BX15" i="14"/>
  <c r="BY6" i="14"/>
  <c r="BY7" i="14"/>
  <c r="BY5" i="14"/>
  <c r="BY4" i="14"/>
  <c r="BY15" i="14"/>
  <c r="BZ6" i="14"/>
  <c r="BZ7" i="14"/>
  <c r="BZ5" i="14"/>
  <c r="BZ4" i="14"/>
  <c r="BZ15" i="14"/>
  <c r="CA6" i="14"/>
  <c r="CA7" i="14"/>
  <c r="CA5" i="14"/>
  <c r="CA4" i="14"/>
  <c r="CA15" i="14"/>
  <c r="CB6" i="14"/>
  <c r="CB7" i="14"/>
  <c r="CB5" i="14"/>
  <c r="CB4" i="14"/>
  <c r="CB15" i="14"/>
  <c r="CC6" i="14"/>
  <c r="CC7" i="14"/>
  <c r="CC5" i="14"/>
  <c r="CC4" i="14"/>
  <c r="CC15" i="14"/>
  <c r="CD6" i="14"/>
  <c r="CD7" i="14"/>
  <c r="CD5" i="14"/>
  <c r="CD4" i="14"/>
  <c r="CD15" i="14"/>
  <c r="CE6" i="14"/>
  <c r="CE7" i="14"/>
  <c r="CE5" i="14"/>
  <c r="CE4" i="14"/>
  <c r="CE15" i="14"/>
  <c r="CF6" i="14"/>
  <c r="CF7" i="14"/>
  <c r="CF5" i="14"/>
  <c r="CF4" i="14"/>
  <c r="CF15" i="14"/>
  <c r="CG6" i="14"/>
  <c r="CG7" i="14"/>
  <c r="CG5" i="14"/>
  <c r="CG4" i="14"/>
  <c r="CG15" i="14"/>
  <c r="CH6" i="14"/>
  <c r="CH7" i="14"/>
  <c r="CH5" i="14"/>
  <c r="CH4" i="14"/>
  <c r="CH15" i="14"/>
  <c r="CI6" i="14"/>
  <c r="CI7" i="14"/>
  <c r="CI5" i="14"/>
  <c r="CI4" i="14"/>
  <c r="CI15" i="14"/>
  <c r="CJ6" i="14"/>
  <c r="CJ7" i="14"/>
  <c r="CJ5" i="14"/>
  <c r="CJ4" i="14"/>
  <c r="CJ15" i="14"/>
  <c r="CK6" i="14"/>
  <c r="CK7" i="14"/>
  <c r="CK5" i="14"/>
  <c r="CK4" i="14"/>
  <c r="CK15" i="14"/>
  <c r="CL6" i="14"/>
  <c r="CL7" i="14"/>
  <c r="CL5" i="14"/>
  <c r="CL4" i="14"/>
  <c r="CL15" i="14"/>
  <c r="CM6" i="14"/>
  <c r="CM7" i="14"/>
  <c r="CM5" i="14"/>
  <c r="CM4" i="14"/>
  <c r="CM15" i="14"/>
  <c r="CN6" i="14"/>
  <c r="CN7" i="14"/>
  <c r="CN5" i="14"/>
  <c r="CN4" i="14"/>
  <c r="CN15" i="14"/>
  <c r="CO6" i="14"/>
  <c r="CO7" i="14"/>
  <c r="CO5" i="14"/>
  <c r="CO4" i="14"/>
  <c r="CO15" i="14"/>
  <c r="CP6" i="14"/>
  <c r="CP7" i="14"/>
  <c r="CP5" i="14"/>
  <c r="CP4" i="14"/>
  <c r="CP15" i="14"/>
  <c r="CQ6" i="14"/>
  <c r="CQ7" i="14"/>
  <c r="CQ5" i="14"/>
  <c r="CQ4" i="14"/>
  <c r="CQ15" i="14"/>
  <c r="CR6" i="14"/>
  <c r="CR7" i="14"/>
  <c r="CR5" i="14"/>
  <c r="CR4" i="14"/>
  <c r="CR15" i="14"/>
  <c r="CS6" i="14"/>
  <c r="CS7" i="14"/>
  <c r="CS5" i="14"/>
  <c r="CS4" i="14"/>
  <c r="CS15" i="14"/>
  <c r="CT6" i="14"/>
  <c r="CT7" i="14"/>
  <c r="CT5" i="14"/>
  <c r="CT4" i="14"/>
  <c r="CT15" i="14"/>
  <c r="CU6" i="14"/>
  <c r="CU7" i="14"/>
  <c r="CU5" i="14"/>
  <c r="CU4" i="14"/>
  <c r="CU15" i="14"/>
  <c r="CV6" i="14"/>
  <c r="CV7" i="14"/>
  <c r="CV5" i="14"/>
  <c r="CV4" i="14"/>
  <c r="CV15" i="14"/>
  <c r="CW6" i="14"/>
  <c r="CW7" i="14"/>
  <c r="CW5" i="14"/>
  <c r="CW4" i="14"/>
  <c r="CW15" i="14"/>
  <c r="CX6" i="14"/>
  <c r="CX7" i="14"/>
  <c r="CX5" i="14"/>
  <c r="CX4" i="14"/>
  <c r="CX15" i="14"/>
  <c r="CY6" i="14"/>
  <c r="CY7" i="14"/>
  <c r="CY5" i="14"/>
  <c r="CY4" i="14"/>
  <c r="CY15" i="14"/>
  <c r="CZ6" i="14"/>
  <c r="CZ7" i="14"/>
  <c r="CZ5" i="14"/>
  <c r="CZ4" i="14"/>
  <c r="CZ15" i="14"/>
  <c r="DA6" i="14"/>
  <c r="DA7" i="14"/>
  <c r="DA5" i="14"/>
  <c r="DA4" i="14"/>
  <c r="DA15" i="14"/>
  <c r="DB6" i="14"/>
  <c r="DB7" i="14"/>
  <c r="DB5" i="14"/>
  <c r="DB4" i="14"/>
  <c r="DB15" i="14"/>
  <c r="DC6" i="14"/>
  <c r="DC7" i="14"/>
  <c r="DC5" i="14"/>
  <c r="DC4" i="14"/>
  <c r="DC15" i="14"/>
  <c r="DD6" i="14"/>
  <c r="DD7" i="14"/>
  <c r="DD5" i="14"/>
  <c r="DD4" i="14"/>
  <c r="DD15" i="14"/>
  <c r="DE6" i="14"/>
  <c r="DE7" i="14"/>
  <c r="DE5" i="14"/>
  <c r="DE4" i="14"/>
  <c r="DE15" i="14"/>
  <c r="DF6" i="14"/>
  <c r="DF7" i="14"/>
  <c r="DF5" i="14"/>
  <c r="DF4" i="14"/>
  <c r="DF15" i="14"/>
  <c r="DG6" i="14"/>
  <c r="DG7" i="14"/>
  <c r="DG5" i="14"/>
  <c r="DG4" i="14"/>
  <c r="DG15" i="14"/>
  <c r="DH6" i="14"/>
  <c r="DH7" i="14"/>
  <c r="DH5" i="14"/>
  <c r="DH4" i="14"/>
  <c r="DH15" i="14"/>
  <c r="DI6" i="14"/>
  <c r="DI7" i="14"/>
  <c r="DI5" i="14"/>
  <c r="DI4" i="14"/>
  <c r="DI15" i="14"/>
  <c r="DJ6" i="14"/>
  <c r="DJ7" i="14"/>
  <c r="DJ5" i="14"/>
  <c r="DJ4" i="14"/>
  <c r="DJ15" i="14"/>
  <c r="DK6" i="14"/>
  <c r="DK7" i="14"/>
  <c r="DK5" i="14"/>
  <c r="DK4" i="14"/>
  <c r="DK15" i="14"/>
  <c r="DL6" i="14"/>
  <c r="DL7" i="14"/>
  <c r="DL5" i="14"/>
  <c r="DL4" i="14"/>
  <c r="DL15" i="14"/>
  <c r="DM6" i="14"/>
  <c r="DM7" i="14"/>
  <c r="DM5" i="14"/>
  <c r="DM4" i="14"/>
  <c r="DM15" i="14"/>
  <c r="DN6" i="14"/>
  <c r="DN7" i="14"/>
  <c r="DN5" i="14"/>
  <c r="DN4" i="14"/>
  <c r="DN15" i="14"/>
  <c r="DO6" i="14"/>
  <c r="DO7" i="14"/>
  <c r="DO5" i="14"/>
  <c r="DO4" i="14"/>
  <c r="DO15" i="14"/>
  <c r="DP6" i="14"/>
  <c r="DP7" i="14"/>
  <c r="DP5" i="14"/>
  <c r="DP4" i="14"/>
  <c r="DP15" i="14"/>
  <c r="DQ6" i="14"/>
  <c r="DQ7" i="14"/>
  <c r="DQ5" i="14"/>
  <c r="DQ4" i="14"/>
  <c r="DQ15" i="14"/>
  <c r="DR6" i="14"/>
  <c r="DR7" i="14"/>
  <c r="DR5" i="14"/>
  <c r="DR4" i="14"/>
  <c r="DR15" i="14"/>
  <c r="DS6" i="14"/>
  <c r="DS7" i="14"/>
  <c r="DS5" i="14"/>
  <c r="DS4" i="14"/>
  <c r="DS15" i="14"/>
  <c r="DT6" i="14"/>
  <c r="DT7" i="14"/>
  <c r="DT5" i="14"/>
  <c r="DT4" i="14"/>
  <c r="DT15" i="14"/>
  <c r="DU6" i="14"/>
  <c r="DU7" i="14"/>
  <c r="DU5" i="14"/>
  <c r="DU4" i="14"/>
  <c r="DU15" i="14"/>
  <c r="DV6" i="14"/>
  <c r="DV7" i="14"/>
  <c r="DV5" i="14"/>
  <c r="DV4" i="14"/>
  <c r="DV13" i="14"/>
  <c r="DV15" i="14"/>
  <c r="F16" i="14"/>
  <c r="P9" i="14"/>
  <c r="Q9" i="14"/>
  <c r="R9" i="14"/>
  <c r="S9" i="14"/>
  <c r="DV9" i="14"/>
  <c r="DU9" i="14"/>
  <c r="DT9" i="14"/>
  <c r="DS9" i="14"/>
  <c r="DR9" i="14"/>
  <c r="DQ9" i="14"/>
  <c r="DP9" i="14"/>
  <c r="DO9" i="14"/>
  <c r="DN9" i="14"/>
  <c r="DM9" i="14"/>
  <c r="DL9" i="14"/>
  <c r="DK9" i="14"/>
  <c r="DJ9" i="14"/>
  <c r="DI9" i="14"/>
  <c r="DH9" i="14"/>
  <c r="DG9" i="14"/>
  <c r="DF9" i="14"/>
  <c r="DE9" i="14"/>
  <c r="DD9" i="14"/>
  <c r="DC9" i="14"/>
  <c r="DB9" i="14"/>
  <c r="DA9" i="14"/>
  <c r="CZ9" i="14"/>
  <c r="CY9" i="14"/>
  <c r="CX9" i="14"/>
  <c r="CW9" i="14"/>
  <c r="CV9" i="14"/>
  <c r="CU9" i="14"/>
  <c r="CT9" i="14"/>
  <c r="CS9" i="14"/>
  <c r="CR9" i="14"/>
  <c r="CQ9" i="14"/>
  <c r="CP9" i="14"/>
  <c r="CO9" i="14"/>
  <c r="CN9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F17" i="14"/>
</calcChain>
</file>

<file path=xl/sharedStrings.xml><?xml version="1.0" encoding="utf-8"?>
<sst xmlns="http://schemas.openxmlformats.org/spreadsheetml/2006/main" count="460" uniqueCount="175">
  <si>
    <t>Mano de Obra</t>
  </si>
  <si>
    <t>Total</t>
  </si>
  <si>
    <t>Otros Gastos</t>
  </si>
  <si>
    <t>Lechon</t>
  </si>
  <si>
    <t>Peso Final</t>
  </si>
  <si>
    <t>Precio Venta</t>
  </si>
  <si>
    <t>Costo Total</t>
  </si>
  <si>
    <t>Ingreso Animal</t>
  </si>
  <si>
    <t>Incremento</t>
  </si>
  <si>
    <t>Kgs</t>
  </si>
  <si>
    <t>Vr Kilo</t>
  </si>
  <si>
    <t>Vr. Lechon</t>
  </si>
  <si>
    <t>Peso Inicial</t>
  </si>
  <si>
    <t>%</t>
  </si>
  <si>
    <t>Conversion</t>
  </si>
  <si>
    <t>P.Inicial</t>
  </si>
  <si>
    <t>P.Final</t>
  </si>
  <si>
    <t>Dias Ceba</t>
  </si>
  <si>
    <t>Ganancia Peso</t>
  </si>
  <si>
    <t>Ganancia dia</t>
  </si>
  <si>
    <t>Kilos Consumidos</t>
  </si>
  <si>
    <t>Consumo dia</t>
  </si>
  <si>
    <t>ALIMENTO</t>
  </si>
  <si>
    <t>COSTO/BULTO</t>
  </si>
  <si>
    <t>FACTURADO CIPA</t>
  </si>
  <si>
    <t>FACTURADO JAIBÚ</t>
  </si>
  <si>
    <t>Resultados proyectados</t>
  </si>
  <si>
    <t xml:space="preserve">Peso inicial </t>
  </si>
  <si>
    <t>Peso final</t>
  </si>
  <si>
    <t>Dias en ceba</t>
  </si>
  <si>
    <t>Ganancia diaria de peso</t>
  </si>
  <si>
    <t>Consumo de alimento</t>
  </si>
  <si>
    <t>Conversíón alimenticia</t>
  </si>
  <si>
    <t>Consumo Diario</t>
  </si>
  <si>
    <t>Promedio</t>
  </si>
  <si>
    <t>Valor Por Kilo</t>
  </si>
  <si>
    <t>Tte Concentrado</t>
  </si>
  <si>
    <t>Tte Gordo</t>
  </si>
  <si>
    <t>Drogas</t>
  </si>
  <si>
    <t>Inmunocastracion</t>
  </si>
  <si>
    <t>Tte Lechon</t>
  </si>
  <si>
    <t>Energia</t>
  </si>
  <si>
    <t>Administracion</t>
  </si>
  <si>
    <t>Vr. Concentrado</t>
  </si>
  <si>
    <t>Consumo Semana</t>
  </si>
  <si>
    <t>Cons Acumu</t>
  </si>
  <si>
    <t>Ganan Dia</t>
  </si>
  <si>
    <t>Solo inmunocastrcion del Macho</t>
  </si>
  <si>
    <t>Conversion Dia</t>
  </si>
  <si>
    <t>Gan Sema</t>
  </si>
  <si>
    <t>Gan Acumu</t>
  </si>
  <si>
    <t>Costo</t>
  </si>
  <si>
    <t>Ingreso</t>
  </si>
  <si>
    <t>Utilidad</t>
  </si>
  <si>
    <t>P.Venta</t>
  </si>
  <si>
    <t>Costo Kilo Alimento Acumul</t>
  </si>
  <si>
    <t>Costo Kilo Alimento Semanal</t>
  </si>
  <si>
    <t>Costo Kilo Lechon</t>
  </si>
  <si>
    <t>Arrendamiento Mensual</t>
  </si>
  <si>
    <t>Mortalidad</t>
  </si>
  <si>
    <t>Cmo Concentrado x Cerdo Semana (Kg)</t>
  </si>
  <si>
    <t>Tte Concentrado x Kg</t>
  </si>
  <si>
    <t>Otros Costos</t>
  </si>
  <si>
    <t>Semanas x Mes</t>
  </si>
  <si>
    <t>Peso de Venta (Kg)</t>
  </si>
  <si>
    <t>Costo de Lechón</t>
  </si>
  <si>
    <t>Salario</t>
  </si>
  <si>
    <t># Trabajadores</t>
  </si>
  <si>
    <t>Semanas de Pdn</t>
  </si>
  <si>
    <t>Mes 4</t>
  </si>
  <si>
    <t>Mes 3</t>
  </si>
  <si>
    <t>Mes 2</t>
  </si>
  <si>
    <t>Mes 1</t>
  </si>
  <si>
    <t># Cerdos</t>
  </si>
  <si>
    <t>Año 2</t>
  </si>
  <si>
    <t>Año 1</t>
  </si>
  <si>
    <t>Información</t>
  </si>
  <si>
    <t>Conversión</t>
  </si>
  <si>
    <t>Costo x Kg</t>
  </si>
  <si>
    <t>Peso</t>
  </si>
  <si>
    <t>Valor Lechón</t>
  </si>
  <si>
    <t>Info General</t>
  </si>
  <si>
    <t>Cerdos x Semana</t>
  </si>
  <si>
    <t>Arrendamiento x Cerdo Mes</t>
  </si>
  <si>
    <t>Ingresos</t>
  </si>
  <si>
    <t>Precio de Venta x Kg</t>
  </si>
  <si>
    <t>Costo Concentrado</t>
  </si>
  <si>
    <t>Precio Concentrado x Kg</t>
  </si>
  <si>
    <t>Cmo Concentrado x Cíclo (Kg)</t>
  </si>
  <si>
    <t>COSTOS</t>
  </si>
  <si>
    <t>INGRESOS</t>
  </si>
  <si>
    <t>Peso de Lechón (Kg)</t>
  </si>
  <si>
    <t>Precio Compra Lechón</t>
  </si>
  <si>
    <t>Costos Variables</t>
  </si>
  <si>
    <t>Cerdos x Trabajador</t>
  </si>
  <si>
    <t>Tte Concentrado x Bulto</t>
  </si>
  <si>
    <t>Drogas x Animal</t>
  </si>
  <si>
    <t>Tte Lechón</t>
  </si>
  <si>
    <t>Inmunocastración</t>
  </si>
  <si>
    <t>Energía</t>
  </si>
  <si>
    <t>Administración</t>
  </si>
  <si>
    <t>Energía x Animal</t>
  </si>
  <si>
    <t>Inmunocastración x Animal (Sólo Machos)</t>
  </si>
  <si>
    <t>Costos Fijos</t>
  </si>
  <si>
    <t>Salario Mensual</t>
  </si>
  <si>
    <t>Arrendamiento</t>
  </si>
  <si>
    <t>Mano de Obra Mensual</t>
  </si>
  <si>
    <t>Costo Lechones</t>
  </si>
  <si>
    <t>Otros Costos Var</t>
  </si>
  <si>
    <t>Costos</t>
  </si>
  <si>
    <t>Impuestos</t>
  </si>
  <si>
    <t>Flujo de Caja Incremental</t>
  </si>
  <si>
    <t>Gastos Operacionales</t>
  </si>
  <si>
    <t>Variables</t>
  </si>
  <si>
    <t>Fijos</t>
  </si>
  <si>
    <t>Tte Lechones</t>
  </si>
  <si>
    <t>Tte Gordos</t>
  </si>
  <si>
    <t>UTILIDAD OPERACIONAL</t>
  </si>
  <si>
    <t>UTILIDAD BRUTA</t>
  </si>
  <si>
    <t>FLUJO DE CAJA INCREMENTAL</t>
  </si>
  <si>
    <t>FLUJO DE CAJA TERMINAL</t>
  </si>
  <si>
    <t>Inflación</t>
  </si>
  <si>
    <t>Mes</t>
  </si>
  <si>
    <t>UTILIDAD NETA</t>
  </si>
  <si>
    <t>Peso Prom Inv Final</t>
  </si>
  <si>
    <t>Flujo de Caja</t>
  </si>
  <si>
    <t>Flujo de Caja Descontado</t>
  </si>
  <si>
    <t>Período de Recuperación</t>
  </si>
  <si>
    <t>WACC</t>
  </si>
  <si>
    <t>EA</t>
  </si>
  <si>
    <t>MV</t>
  </si>
  <si>
    <t>VPN</t>
  </si>
  <si>
    <t>TIR</t>
  </si>
  <si>
    <t>TIRm</t>
  </si>
  <si>
    <t>PRD</t>
  </si>
  <si>
    <t>Semana</t>
  </si>
  <si>
    <t>º</t>
  </si>
  <si>
    <t>X</t>
  </si>
  <si>
    <t>Consumo en Semanas 1er Mes</t>
  </si>
  <si>
    <t>Consumo en Semanas 2do Mes</t>
  </si>
  <si>
    <t>Consumo en Semanas 3er Mes</t>
  </si>
  <si>
    <t>Cmo Concentrado x Cerdo Día (Kg)</t>
  </si>
  <si>
    <t>Márgen</t>
  </si>
  <si>
    <t>Lote</t>
  </si>
  <si>
    <t>Días de Consumo x Lote Mes</t>
  </si>
  <si>
    <t>Gerente General</t>
  </si>
  <si>
    <t>Administrador Granja</t>
  </si>
  <si>
    <t>Contabilidad</t>
  </si>
  <si>
    <t>Cargo</t>
  </si>
  <si>
    <t>Administración Mensual</t>
  </si>
  <si>
    <t>Tierra (Cueadras)</t>
  </si>
  <si>
    <t>Valor Cuadra</t>
  </si>
  <si>
    <t>Total Finca</t>
  </si>
  <si>
    <t>Flujo de Caja Inicial</t>
  </si>
  <si>
    <t>Cuota Leasing Mensual</t>
  </si>
  <si>
    <t>Utilidades</t>
  </si>
  <si>
    <t>Explotación Alterna</t>
  </si>
  <si>
    <t>Arrendamiento Financiero</t>
  </si>
  <si>
    <t>Cuota Final Leasing</t>
  </si>
  <si>
    <t>Flujo de Caja Terminal</t>
  </si>
  <si>
    <t>Flujo de Caja del Proyecto</t>
  </si>
  <si>
    <t>Construcción</t>
  </si>
  <si>
    <t>% Participación Constructor</t>
  </si>
  <si>
    <t>Concentrado</t>
  </si>
  <si>
    <t>% Utilidad en Concentrado</t>
  </si>
  <si>
    <t>Aportes Concentrado</t>
  </si>
  <si>
    <t>Construcción Mensual</t>
  </si>
  <si>
    <t>Con Semana</t>
  </si>
  <si>
    <t>Con Acumu</t>
  </si>
  <si>
    <t>P. Inicial</t>
  </si>
  <si>
    <t>P. Final</t>
  </si>
  <si>
    <t>Utilidad Por Cerdo</t>
  </si>
  <si>
    <t>Utilidad Semana</t>
  </si>
  <si>
    <t>1 operario por cada 2000 cerdos</t>
  </si>
  <si>
    <t>Utilidad  Operacional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</si>
</sst>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64" formatCode="&quot;$&quot;#,##0;[Red]\-&quot;$&quot;#,##0"/>
    <numFmt numFmtId="165" formatCode="&quot;$&quot;#,##0.00;[Red]\-&quot;$&quot;#,##0.00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0.0%"/>
    <numFmt numFmtId="169" formatCode="_-* #,##0.0_-;\-* #,##0.0_-;_-* &quot;-&quot;_-;_-@_-"/>
    <numFmt numFmtId="170" formatCode="_-* #,##0.00_-;\-* #,##0.00_-;_-* &quot;-&quot;_-;_-@_-"/>
    <numFmt numFmtId="171" formatCode="_-* #,##0.000_-;\-* #,##0.000_-;_-* &quot;-&quot;_-;_-@_-"/>
    <numFmt numFmtId="172" formatCode="_-* #,##0.0_-;\-* #,##0.0_-;_-* &quot;-&quot;?_-;_-@_-"/>
    <numFmt numFmtId="173" formatCode="_ &quot;$&quot;\ * #,##0_ ;_ &quot;$&quot;\ * \-#,##0_ ;_ &quot;$&quot;\ * &quot;-&quot;??_ ;_ @_ "/>
    <numFmt numFmtId="174" formatCode="&quot;$&quot;#,##0;[Red]&quot;$&quot;#,##0"/>
    <numFmt numFmtId="17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1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Alignment="1">
      <alignment horizontal="center"/>
    </xf>
    <xf numFmtId="41" fontId="0" fillId="0" borderId="0" xfId="1" applyFont="1"/>
    <xf numFmtId="41" fontId="0" fillId="0" borderId="0" xfId="0" applyNumberFormat="1"/>
    <xf numFmtId="168" fontId="0" fillId="0" borderId="0" xfId="3" applyNumberFormat="1" applyFont="1"/>
    <xf numFmtId="41" fontId="3" fillId="2" borderId="0" xfId="0" applyNumberFormat="1" applyFont="1" applyFill="1" applyBorder="1"/>
    <xf numFmtId="0" fontId="0" fillId="0" borderId="0" xfId="0" applyBorder="1" applyAlignment="1">
      <alignment horizontal="center"/>
    </xf>
    <xf numFmtId="169" fontId="0" fillId="0" borderId="0" xfId="1" applyNumberFormat="1" applyFont="1"/>
    <xf numFmtId="170" fontId="0" fillId="0" borderId="0" xfId="1" applyNumberFormat="1" applyFont="1"/>
    <xf numFmtId="10" fontId="0" fillId="0" borderId="0" xfId="3" applyNumberFormat="1" applyFont="1"/>
    <xf numFmtId="0" fontId="0" fillId="0" borderId="0" xfId="0" applyAlignment="1">
      <alignment horizontal="center"/>
    </xf>
    <xf numFmtId="171" fontId="0" fillId="0" borderId="0" xfId="1" applyNumberFormat="1" applyFont="1"/>
    <xf numFmtId="172" fontId="0" fillId="0" borderId="0" xfId="0" applyNumberFormat="1"/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5" xfId="0" applyFill="1" applyBorder="1"/>
    <xf numFmtId="173" fontId="5" fillId="3" borderId="5" xfId="2" applyNumberFormat="1" applyFont="1" applyFill="1" applyBorder="1" applyAlignment="1"/>
    <xf numFmtId="0" fontId="0" fillId="3" borderId="6" xfId="0" applyFill="1" applyBorder="1"/>
    <xf numFmtId="173" fontId="5" fillId="3" borderId="6" xfId="2" applyNumberFormat="1" applyFont="1" applyFill="1" applyBorder="1" applyAlignment="1"/>
    <xf numFmtId="0" fontId="0" fillId="3" borderId="3" xfId="0" applyFill="1" applyBorder="1"/>
    <xf numFmtId="173" fontId="5" fillId="3" borderId="3" xfId="2" applyNumberFormat="1" applyFont="1" applyFill="1" applyBorder="1" applyAlignment="1"/>
    <xf numFmtId="0" fontId="6" fillId="0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70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11" xfId="0" applyBorder="1"/>
    <xf numFmtId="166" fontId="0" fillId="0" borderId="11" xfId="4" applyFont="1" applyBorder="1"/>
    <xf numFmtId="0" fontId="0" fillId="0" borderId="11" xfId="0" applyFill="1" applyBorder="1"/>
    <xf numFmtId="9" fontId="0" fillId="0" borderId="11" xfId="0" applyNumberFormat="1" applyBorder="1"/>
    <xf numFmtId="41" fontId="0" fillId="0" borderId="11" xfId="0" applyNumberFormat="1" applyBorder="1"/>
    <xf numFmtId="0" fontId="3" fillId="0" borderId="11" xfId="0" applyFont="1" applyBorder="1"/>
    <xf numFmtId="2" fontId="0" fillId="0" borderId="11" xfId="0" applyNumberFormat="1" applyBorder="1"/>
    <xf numFmtId="2" fontId="0" fillId="0" borderId="0" xfId="0" applyNumberFormat="1"/>
    <xf numFmtId="9" fontId="0" fillId="0" borderId="0" xfId="0" applyNumberFormat="1"/>
    <xf numFmtId="166" fontId="0" fillId="0" borderId="0" xfId="4" applyFont="1"/>
    <xf numFmtId="41" fontId="0" fillId="0" borderId="11" xfId="1" applyFont="1" applyBorder="1"/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3" fillId="0" borderId="11" xfId="0" applyFont="1" applyBorder="1" applyAlignment="1">
      <alignment horizontal="left" indent="2"/>
    </xf>
    <xf numFmtId="0" fontId="0" fillId="0" borderId="12" xfId="0" applyFill="1" applyBorder="1"/>
    <xf numFmtId="0" fontId="3" fillId="7" borderId="11" xfId="0" applyFont="1" applyFill="1" applyBorder="1"/>
    <xf numFmtId="0" fontId="3" fillId="6" borderId="11" xfId="0" applyFont="1" applyFill="1" applyBorder="1" applyAlignment="1">
      <alignment horizontal="left"/>
    </xf>
    <xf numFmtId="0" fontId="3" fillId="8" borderId="11" xfId="0" applyFont="1" applyFill="1" applyBorder="1" applyAlignment="1">
      <alignment horizontal="left" indent="1"/>
    </xf>
    <xf numFmtId="0" fontId="3" fillId="8" borderId="0" xfId="0" applyFont="1" applyFill="1" applyAlignment="1">
      <alignment horizontal="left" indent="1"/>
    </xf>
    <xf numFmtId="166" fontId="3" fillId="0" borderId="11" xfId="4" applyFont="1" applyBorder="1"/>
    <xf numFmtId="0" fontId="3" fillId="0" borderId="11" xfId="0" applyFont="1" applyFill="1" applyBorder="1" applyAlignment="1">
      <alignment horizontal="left" indent="2"/>
    </xf>
    <xf numFmtId="0" fontId="0" fillId="0" borderId="0" xfId="0" applyBorder="1"/>
    <xf numFmtId="41" fontId="0" fillId="0" borderId="0" xfId="1" applyFont="1" applyBorder="1"/>
    <xf numFmtId="2" fontId="0" fillId="0" borderId="0" xfId="0" applyNumberFormat="1" applyBorder="1"/>
    <xf numFmtId="9" fontId="0" fillId="0" borderId="0" xfId="0" applyNumberFormat="1" applyBorder="1"/>
    <xf numFmtId="166" fontId="0" fillId="0" borderId="0" xfId="4" applyFont="1" applyBorder="1"/>
    <xf numFmtId="41" fontId="0" fillId="0" borderId="0" xfId="0" applyNumberFormat="1" applyBorder="1"/>
    <xf numFmtId="166" fontId="3" fillId="0" borderId="0" xfId="4" applyFont="1" applyBorder="1"/>
    <xf numFmtId="0" fontId="3" fillId="0" borderId="0" xfId="0" applyFont="1" applyFill="1" applyBorder="1" applyAlignment="1">
      <alignment horizontal="center"/>
    </xf>
    <xf numFmtId="41" fontId="0" fillId="0" borderId="11" xfId="1" applyFont="1" applyBorder="1" applyAlignment="1">
      <alignment horizontal="left" indent="1"/>
    </xf>
    <xf numFmtId="0" fontId="3" fillId="9" borderId="11" xfId="0" applyFont="1" applyFill="1" applyBorder="1"/>
    <xf numFmtId="0" fontId="3" fillId="9" borderId="11" xfId="0" applyFont="1" applyFill="1" applyBorder="1" applyAlignment="1">
      <alignment horizontal="center"/>
    </xf>
    <xf numFmtId="0" fontId="7" fillId="10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 applyAlignment="1">
      <alignment horizontal="left" indent="1"/>
    </xf>
    <xf numFmtId="0" fontId="0" fillId="13" borderId="11" xfId="0" applyFill="1" applyBorder="1" applyAlignment="1">
      <alignment horizontal="left" indent="2"/>
    </xf>
    <xf numFmtId="0" fontId="0" fillId="13" borderId="11" xfId="0" applyFill="1" applyBorder="1" applyAlignment="1">
      <alignment horizontal="left" indent="3"/>
    </xf>
    <xf numFmtId="174" fontId="8" fillId="10" borderId="11" xfId="4" applyNumberFormat="1" applyFont="1" applyFill="1" applyBorder="1"/>
    <xf numFmtId="174" fontId="0" fillId="11" borderId="11" xfId="4" applyNumberFormat="1" applyFont="1" applyFill="1" applyBorder="1"/>
    <xf numFmtId="174" fontId="0" fillId="12" borderId="11" xfId="4" applyNumberFormat="1" applyFont="1" applyFill="1" applyBorder="1"/>
    <xf numFmtId="174" fontId="0" fillId="13" borderId="11" xfId="4" applyNumberFormat="1" applyFont="1" applyFill="1" applyBorder="1"/>
    <xf numFmtId="174" fontId="7" fillId="10" borderId="11" xfId="4" applyNumberFormat="1" applyFont="1" applyFill="1" applyBorder="1"/>
    <xf numFmtId="0" fontId="0" fillId="5" borderId="0" xfId="0" applyFill="1"/>
    <xf numFmtId="174" fontId="0" fillId="0" borderId="0" xfId="0" applyNumberFormat="1"/>
    <xf numFmtId="10" fontId="0" fillId="0" borderId="0" xfId="0" applyNumberFormat="1"/>
    <xf numFmtId="165" fontId="0" fillId="0" borderId="0" xfId="0" applyNumberFormat="1"/>
    <xf numFmtId="9" fontId="0" fillId="0" borderId="0" xfId="3" applyFont="1"/>
    <xf numFmtId="1" fontId="0" fillId="0" borderId="0" xfId="0" applyNumberFormat="1"/>
    <xf numFmtId="174" fontId="3" fillId="9" borderId="11" xfId="0" applyNumberFormat="1" applyFont="1" applyFill="1" applyBorder="1"/>
    <xf numFmtId="175" fontId="3" fillId="9" borderId="11" xfId="0" applyNumberFormat="1" applyFont="1" applyFill="1" applyBorder="1"/>
    <xf numFmtId="166" fontId="0" fillId="0" borderId="0" xfId="0" applyNumberFormat="1"/>
    <xf numFmtId="169" fontId="0" fillId="0" borderId="11" xfId="0" applyNumberFormat="1" applyBorder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10" fontId="3" fillId="9" borderId="11" xfId="0" applyNumberFormat="1" applyFont="1" applyFill="1" applyBorder="1"/>
    <xf numFmtId="41" fontId="0" fillId="0" borderId="0" xfId="1" applyNumberFormat="1" applyFont="1" applyBorder="1"/>
    <xf numFmtId="164" fontId="0" fillId="0" borderId="0" xfId="0" applyNumberFormat="1"/>
    <xf numFmtId="174" fontId="0" fillId="0" borderId="0" xfId="4" applyNumberFormat="1" applyFont="1"/>
    <xf numFmtId="174" fontId="0" fillId="0" borderId="0" xfId="1" applyNumberFormat="1" applyFont="1"/>
    <xf numFmtId="0" fontId="3" fillId="14" borderId="11" xfId="0" applyFont="1" applyFill="1" applyBorder="1"/>
    <xf numFmtId="174" fontId="3" fillId="14" borderId="11" xfId="0" applyNumberFormat="1" applyFont="1" applyFill="1" applyBorder="1"/>
    <xf numFmtId="0" fontId="3" fillId="15" borderId="11" xfId="0" applyFont="1" applyFill="1" applyBorder="1"/>
    <xf numFmtId="174" fontId="3" fillId="15" borderId="11" xfId="0" applyNumberFormat="1" applyFont="1" applyFill="1" applyBorder="1"/>
    <xf numFmtId="0" fontId="0" fillId="16" borderId="11" xfId="0" applyFill="1" applyBorder="1" applyAlignment="1">
      <alignment horizontal="left" indent="1"/>
    </xf>
    <xf numFmtId="174" fontId="0" fillId="16" borderId="11" xfId="0" applyNumberFormat="1" applyFill="1" applyBorder="1"/>
    <xf numFmtId="174" fontId="3" fillId="14" borderId="11" xfId="4" applyNumberFormat="1" applyFont="1" applyFill="1" applyBorder="1"/>
    <xf numFmtId="174" fontId="3" fillId="14" borderId="1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0" fontId="0" fillId="0" borderId="0" xfId="1" applyNumberFormat="1" applyFont="1" applyAlignment="1">
      <alignment horizontal="center"/>
    </xf>
    <xf numFmtId="10" fontId="0" fillId="0" borderId="0" xfId="3" applyNumberFormat="1" applyFont="1" applyAlignment="1">
      <alignment horizontal="center"/>
    </xf>
    <xf numFmtId="0" fontId="7" fillId="17" borderId="0" xfId="0" applyFont="1" applyFill="1"/>
    <xf numFmtId="170" fontId="7" fillId="17" borderId="0" xfId="1" applyNumberFormat="1" applyFont="1" applyFill="1" applyAlignment="1">
      <alignment horizontal="center"/>
    </xf>
    <xf numFmtId="170" fontId="7" fillId="17" borderId="0" xfId="1" applyNumberFormat="1" applyFont="1" applyFill="1"/>
    <xf numFmtId="10" fontId="7" fillId="17" borderId="0" xfId="3" applyNumberFormat="1" applyFont="1" applyFill="1" applyAlignment="1">
      <alignment horizontal="center"/>
    </xf>
    <xf numFmtId="171" fontId="7" fillId="17" borderId="0" xfId="1" applyNumberFormat="1" applyFont="1" applyFill="1"/>
    <xf numFmtId="41" fontId="7" fillId="17" borderId="0" xfId="1" applyFont="1" applyFill="1"/>
    <xf numFmtId="2" fontId="3" fillId="0" borderId="0" xfId="0" applyNumberFormat="1" applyFont="1" applyAlignment="1">
      <alignment horizontal="center"/>
    </xf>
    <xf numFmtId="174" fontId="7" fillId="9" borderId="11" xfId="4" applyNumberFormat="1" applyFont="1" applyFill="1" applyBorder="1"/>
    <xf numFmtId="0" fontId="7" fillId="9" borderId="0" xfId="0" applyFont="1" applyFill="1"/>
    <xf numFmtId="41" fontId="7" fillId="9" borderId="0" xfId="1" applyFont="1" applyFill="1"/>
    <xf numFmtId="0" fontId="7" fillId="9" borderId="0" xfId="0" applyFont="1" applyFill="1" applyAlignment="1">
      <alignment horizontal="center"/>
    </xf>
    <xf numFmtId="41" fontId="7" fillId="9" borderId="0" xfId="0" applyNumberFormat="1" applyFont="1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</cellXfs>
  <cellStyles count="6">
    <cellStyle name="Millares [0]" xfId="1" builtinId="6"/>
    <cellStyle name="Millares [0] 2" xfId="5" xr:uid="{00000000-0005-0000-0000-000001000000}"/>
    <cellStyle name="Moneda" xfId="2" builtinId="4"/>
    <cellStyle name="Moneda [0]" xfId="4" builtinId="7"/>
    <cellStyle name="Normal" xfId="0" builtinId="0"/>
    <cellStyle name="Porcentaje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48223798757801"/>
          <c:y val="8.6956521739130405E-2"/>
          <c:w val="0.781604168290845"/>
          <c:h val="0.761822272215972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Resumen!$F$6:$F$26</c:f>
              <c:numCache>
                <c:formatCode>General</c:formatCode>
                <c:ptCount val="21"/>
                <c:pt idx="0">
                  <c:v>90</c:v>
                </c:pt>
                <c:pt idx="1">
                  <c:v>93</c:v>
                </c:pt>
                <c:pt idx="2">
                  <c:v>96</c:v>
                </c:pt>
                <c:pt idx="3">
                  <c:v>99</c:v>
                </c:pt>
                <c:pt idx="4">
                  <c:v>102</c:v>
                </c:pt>
                <c:pt idx="5">
                  <c:v>105</c:v>
                </c:pt>
                <c:pt idx="6">
                  <c:v>108</c:v>
                </c:pt>
                <c:pt idx="7">
                  <c:v>111</c:v>
                </c:pt>
                <c:pt idx="8">
                  <c:v>114</c:v>
                </c:pt>
                <c:pt idx="9">
                  <c:v>117</c:v>
                </c:pt>
                <c:pt idx="10">
                  <c:v>120</c:v>
                </c:pt>
                <c:pt idx="11">
                  <c:v>123</c:v>
                </c:pt>
                <c:pt idx="12">
                  <c:v>126</c:v>
                </c:pt>
                <c:pt idx="13">
                  <c:v>129</c:v>
                </c:pt>
                <c:pt idx="14">
                  <c:v>132</c:v>
                </c:pt>
                <c:pt idx="15">
                  <c:v>135</c:v>
                </c:pt>
                <c:pt idx="16">
                  <c:v>138</c:v>
                </c:pt>
                <c:pt idx="17">
                  <c:v>141</c:v>
                </c:pt>
                <c:pt idx="18">
                  <c:v>144</c:v>
                </c:pt>
                <c:pt idx="19">
                  <c:v>147</c:v>
                </c:pt>
                <c:pt idx="20">
                  <c:v>150</c:v>
                </c:pt>
              </c:numCache>
            </c:numRef>
          </c:cat>
          <c:val>
            <c:numRef>
              <c:f>Resumen!$G$6:$G$26</c:f>
              <c:numCache>
                <c:formatCode>_(* #,##0_);_(* \(#,##0\);_(* "-"_);_(@_)</c:formatCode>
                <c:ptCount val="21"/>
                <c:pt idx="0">
                  <c:v>2646.3636363636365</c:v>
                </c:pt>
                <c:pt idx="1">
                  <c:v>2560.9970674486804</c:v>
                </c:pt>
                <c:pt idx="2">
                  <c:v>2480.965909090909</c:v>
                </c:pt>
                <c:pt idx="3">
                  <c:v>2405.7851239669421</c:v>
                </c:pt>
                <c:pt idx="4">
                  <c:v>2335.0267379679144</c:v>
                </c:pt>
                <c:pt idx="5">
                  <c:v>2268.3116883116882</c:v>
                </c:pt>
                <c:pt idx="6">
                  <c:v>2205.30303030303</c:v>
                </c:pt>
                <c:pt idx="7">
                  <c:v>2145.7002457002454</c:v>
                </c:pt>
                <c:pt idx="8">
                  <c:v>2089.2344497607655</c:v>
                </c:pt>
                <c:pt idx="9">
                  <c:v>2035.6643356643356</c:v>
                </c:pt>
                <c:pt idx="10">
                  <c:v>1984.7727272727273</c:v>
                </c:pt>
                <c:pt idx="11">
                  <c:v>1936.3636363636363</c:v>
                </c:pt>
                <c:pt idx="12">
                  <c:v>1890.2597402597403</c:v>
                </c:pt>
                <c:pt idx="13">
                  <c:v>1846.3002114164904</c:v>
                </c:pt>
                <c:pt idx="14">
                  <c:v>1804.3388429752065</c:v>
                </c:pt>
                <c:pt idx="15">
                  <c:v>1764.2424242424242</c:v>
                </c:pt>
                <c:pt idx="16">
                  <c:v>1725.889328063241</c:v>
                </c:pt>
                <c:pt idx="17">
                  <c:v>1689.1682785299806</c:v>
                </c:pt>
                <c:pt idx="18">
                  <c:v>1653.9772727272727</c:v>
                </c:pt>
                <c:pt idx="19">
                  <c:v>1620.2226345083488</c:v>
                </c:pt>
                <c:pt idx="20">
                  <c:v>1587.8181818181818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7-E443-9A81-6BDA7F12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855352"/>
        <c:axId val="2124561368"/>
      </c:lineChart>
      <c:catAx>
        <c:axId val="211185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561368"/>
        <c:crosses val="autoZero"/>
        <c:auto val="1"/>
        <c:lblAlgn val="ctr"/>
        <c:lblOffset val="100"/>
        <c:noMultiLvlLbl val="0"/>
      </c:catAx>
      <c:valAx>
        <c:axId val="2124561368"/>
        <c:scaling>
          <c:orientation val="minMax"/>
          <c:min val="1500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111855352"/>
        <c:crosses val="autoZero"/>
        <c:crossBetween val="between"/>
        <c:minorUnit val="1500"/>
      </c:valAx>
    </c:plotArea>
    <c:legend>
      <c:legendPos val="r"/>
      <c:layout>
        <c:manualLayout>
          <c:xMode val="edge"/>
          <c:yMode val="edge"/>
          <c:x val="0.20001507237337901"/>
          <c:y val="0.56185406172054597"/>
          <c:w val="0.18942387152101001"/>
          <c:h val="0.21169511419768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22900262467201"/>
          <c:y val="2.7777777777777801E-2"/>
          <c:w val="0.84287270341207299"/>
          <c:h val="0.82246937882764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Lechon!$D$9:$D$24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Lechon!$L$9:$L$24</c:f>
              <c:numCache>
                <c:formatCode>_-* #,##0.000_-;\-* #,##0.000_-;_-* "-"_-;_-@_-</c:formatCode>
                <c:ptCount val="16"/>
                <c:pt idx="0">
                  <c:v>1.4083333333333332</c:v>
                </c:pt>
                <c:pt idx="1">
                  <c:v>1.6129032258064515</c:v>
                </c:pt>
                <c:pt idx="2">
                  <c:v>1.71875</c:v>
                </c:pt>
                <c:pt idx="3">
                  <c:v>1.9230769230769231</c:v>
                </c:pt>
                <c:pt idx="4">
                  <c:v>2.0757575757575757</c:v>
                </c:pt>
                <c:pt idx="5">
                  <c:v>2.1492537313432836</c:v>
                </c:pt>
                <c:pt idx="6">
                  <c:v>2.2205882352941178</c:v>
                </c:pt>
                <c:pt idx="7">
                  <c:v>2.3405797101449273</c:v>
                </c:pt>
                <c:pt idx="8">
                  <c:v>2.4071428571428575</c:v>
                </c:pt>
                <c:pt idx="9">
                  <c:v>2.6</c:v>
                </c:pt>
                <c:pt idx="10">
                  <c:v>2.6416666666666666</c:v>
                </c:pt>
                <c:pt idx="11">
                  <c:v>2.8933333333333331</c:v>
                </c:pt>
                <c:pt idx="12">
                  <c:v>3.0263157894736845</c:v>
                </c:pt>
                <c:pt idx="13">
                  <c:v>3.1973684210526319</c:v>
                </c:pt>
                <c:pt idx="14">
                  <c:v>3.4210526315789473</c:v>
                </c:pt>
                <c:pt idx="15">
                  <c:v>3.6184210526315792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0-7447-B35C-CE8C57CA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14200"/>
        <c:axId val="2124017240"/>
      </c:lineChart>
      <c:catAx>
        <c:axId val="212401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017240"/>
        <c:crosses val="autoZero"/>
        <c:auto val="1"/>
        <c:lblAlgn val="ctr"/>
        <c:lblOffset val="100"/>
        <c:noMultiLvlLbl val="0"/>
      </c:catAx>
      <c:valAx>
        <c:axId val="2124017240"/>
        <c:scaling>
          <c:orientation val="minMax"/>
        </c:scaling>
        <c:delete val="0"/>
        <c:axPos val="l"/>
        <c:majorGridlines/>
        <c:numFmt formatCode="_-* #,##0.000_-;\-* #,##0.000_-;_-* &quot;-&quot;_-;_-@_-" sourceLinked="1"/>
        <c:majorTickMark val="out"/>
        <c:minorTickMark val="none"/>
        <c:tickLblPos val="nextTo"/>
        <c:crossAx val="212401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Gráficas!$F$1</c:f>
              <c:strCache>
                <c:ptCount val="1"/>
                <c:pt idx="0">
                  <c:v>Costo x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Gráficas!$E$2:$E$9</c:f>
              <c:numCache>
                <c:formatCode>0</c:formatCode>
                <c:ptCount val="8"/>
                <c:pt idx="0">
                  <c:v>85.7</c:v>
                </c:pt>
                <c:pt idx="1">
                  <c:v>92.8</c:v>
                </c:pt>
                <c:pt idx="2">
                  <c:v>100</c:v>
                </c:pt>
                <c:pt idx="3">
                  <c:v>107.5</c:v>
                </c:pt>
                <c:pt idx="4">
                  <c:v>115.1</c:v>
                </c:pt>
                <c:pt idx="5">
                  <c:v>122.69999999999999</c:v>
                </c:pt>
                <c:pt idx="6">
                  <c:v>130.29999999999998</c:v>
                </c:pt>
                <c:pt idx="7">
                  <c:v>137.89999999999998</c:v>
                </c:pt>
              </c:numCache>
            </c:numRef>
          </c:cat>
          <c:val>
            <c:numRef>
              <c:f>Gráficas!$F$2:$F$9</c:f>
              <c:numCache>
                <c:formatCode>_-* #,##0.0_-;\-* #,##0.0_-;_-* "-"_-;_-@_-</c:formatCode>
                <c:ptCount val="8"/>
                <c:pt idx="0">
                  <c:v>2751.3535589264875</c:v>
                </c:pt>
                <c:pt idx="1">
                  <c:v>2540.8512931034484</c:v>
                </c:pt>
                <c:pt idx="2">
                  <c:v>2357.91</c:v>
                </c:pt>
                <c:pt idx="3">
                  <c:v>2193.4046511627907</c:v>
                </c:pt>
                <c:pt idx="4">
                  <c:v>2048.5751520417029</c:v>
                </c:pt>
                <c:pt idx="5">
                  <c:v>1921.6870415647923</c:v>
                </c:pt>
                <c:pt idx="6">
                  <c:v>1809.6009209516503</c:v>
                </c:pt>
                <c:pt idx="7">
                  <c:v>1709.8694706308922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9-BB41-AB8C-FBA3574F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34648"/>
        <c:axId val="2122738168"/>
      </c:lineChart>
      <c:lineChart>
        <c:grouping val="standard"/>
        <c:varyColors val="0"/>
        <c:ser>
          <c:idx val="1"/>
          <c:order val="1"/>
          <c:tx>
            <c:strRef>
              <c:f>Gráficas!$G$1</c:f>
              <c:strCache>
                <c:ptCount val="1"/>
                <c:pt idx="0">
                  <c:v>Conversión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Gráficas!$D$2:$D$9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cat>
          <c:val>
            <c:numRef>
              <c:f>Gráficas!$G$2:$G$9</c:f>
              <c:numCache>
                <c:formatCode>_-* #,##0.000_-;\-* #,##0.000_-;_-* "-"_-;_-@_-</c:formatCode>
                <c:ptCount val="8"/>
                <c:pt idx="0">
                  <c:v>1.9991539763113368</c:v>
                </c:pt>
                <c:pt idx="1">
                  <c:v>2.0635951661631422</c:v>
                </c:pt>
                <c:pt idx="2">
                  <c:v>2.1202997275204361</c:v>
                </c:pt>
                <c:pt idx="3">
                  <c:v>2.1919653893695923</c:v>
                </c:pt>
                <c:pt idx="4">
                  <c:v>2.2636158192090399</c:v>
                </c:pt>
                <c:pt idx="5">
                  <c:v>2.3374609781477633</c:v>
                </c:pt>
                <c:pt idx="6">
                  <c:v>2.416875602700097</c:v>
                </c:pt>
                <c:pt idx="7">
                  <c:v>2.4989218328840974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9-BB41-AB8C-FBA3574F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45576"/>
        <c:axId val="2122741944"/>
      </c:lineChart>
      <c:catAx>
        <c:axId val="2122734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738168"/>
        <c:crosses val="autoZero"/>
        <c:auto val="1"/>
        <c:lblAlgn val="ctr"/>
        <c:lblOffset val="100"/>
        <c:noMultiLvlLbl val="0"/>
      </c:catAx>
      <c:valAx>
        <c:axId val="21227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734648"/>
        <c:crosses val="autoZero"/>
        <c:crossBetween val="between"/>
      </c:valAx>
      <c:valAx>
        <c:axId val="2122741944"/>
        <c:scaling>
          <c:orientation val="minMax"/>
        </c:scaling>
        <c:delete val="0"/>
        <c:axPos val="r"/>
        <c:numFmt formatCode="_-* #,##0.000_-;\-* #,##0.000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745576"/>
        <c:crosses val="max"/>
        <c:crossBetween val="between"/>
      </c:valAx>
      <c:catAx>
        <c:axId val="2122745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741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88900</xdr:rowOff>
    </xdr:from>
    <xdr:to>
      <xdr:col>14</xdr:col>
      <xdr:colOff>406400</xdr:colOff>
      <xdr:row>12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165100</xdr:colOff>
      <xdr:row>8</xdr:row>
      <xdr:rowOff>6350</xdr:rowOff>
    </xdr:from>
    <xdr:to>
      <xdr:col>24</xdr:col>
      <xdr:colOff>635000</xdr:colOff>
      <xdr:row>22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0</xdr:row>
      <xdr:rowOff>0</xdr:rowOff>
    </xdr:from>
    <xdr:to>
      <xdr:col>13</xdr:col>
      <xdr:colOff>304800</xdr:colOff>
      <xdr:row>14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rodrigolon\Downloads\Comparativo%2520Sta%2520Laura%2520Cipa%2520Cartago%2520vs%2520Jaib&#250;%2520Mayo%25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A3" t="str">
            <v>NP CERDOS LEVANTE STA LAURA MEDICADO PDO GRANEL</v>
          </cell>
        </row>
        <row r="4">
          <cell r="A4" t="str">
            <v>NP CERDOS LEVANTE STA LAURA PDO GRANEL</v>
          </cell>
        </row>
        <row r="5">
          <cell r="A5" t="str">
            <v>NP CERDOS ENGORDE STA LAURA PDO GRANEL</v>
          </cell>
        </row>
        <row r="6">
          <cell r="A6" t="str">
            <v>NP CERDOS FINALIZADOR STA LAURA PDO GRANEL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6"/>
  <sheetViews>
    <sheetView workbookViewId="0">
      <selection activeCell="B14" sqref="B14"/>
    </sheetView>
  </sheetViews>
  <sheetFormatPr baseColWidth="10" defaultColWidth="10.875" defaultRowHeight="15.75" x14ac:dyDescent="0.25"/>
  <cols>
    <col min="1" max="1" width="22.375" bestFit="1" customWidth="1"/>
    <col min="2" max="2" width="14.125" bestFit="1" customWidth="1"/>
    <col min="3" max="3" width="11.5" bestFit="1" customWidth="1"/>
    <col min="4" max="4" width="12.75" bestFit="1" customWidth="1"/>
    <col min="7" max="7" width="7" bestFit="1" customWidth="1"/>
    <col min="8" max="8" width="4.5" bestFit="1" customWidth="1"/>
  </cols>
  <sheetData>
    <row r="3" spans="1:8" x14ac:dyDescent="0.25">
      <c r="A3" t="s">
        <v>6</v>
      </c>
      <c r="B3" s="2">
        <f>SUM(B4:B7)</f>
        <v>525944.01040931221</v>
      </c>
      <c r="C3" s="3">
        <f>B3/$B$8</f>
        <v>4573.42617747228</v>
      </c>
    </row>
    <row r="4" spans="1:8" x14ac:dyDescent="0.25">
      <c r="A4" t="s">
        <v>43</v>
      </c>
      <c r="B4" s="2">
        <f>Concentrado!C9*Concentrado!H18</f>
        <v>255459.61646991831</v>
      </c>
      <c r="C4" s="3">
        <f>B4/$B$8</f>
        <v>2221.3879693036374</v>
      </c>
      <c r="D4" s="4">
        <f>C4/$C$3</f>
        <v>0.48571637173148652</v>
      </c>
      <c r="F4" s="3">
        <f>B7</f>
        <v>238172.72727272726</v>
      </c>
    </row>
    <row r="5" spans="1:8" x14ac:dyDescent="0.25">
      <c r="A5" t="s">
        <v>2</v>
      </c>
      <c r="B5" s="2">
        <f>O.Gastos!C16</f>
        <v>32311.666666666668</v>
      </c>
      <c r="C5" s="3">
        <f>B5/$B$8</f>
        <v>280.97101449275362</v>
      </c>
      <c r="D5" s="4">
        <f>C5/$C$3</f>
        <v>6.1435563533693144E-2</v>
      </c>
      <c r="F5" s="10">
        <v>27</v>
      </c>
      <c r="G5" s="3">
        <f>$F$4/F5</f>
        <v>8821.2121212121201</v>
      </c>
    </row>
    <row r="6" spans="1:8" x14ac:dyDescent="0.25">
      <c r="B6" s="2"/>
      <c r="C6" s="3"/>
      <c r="D6" s="4"/>
      <c r="F6" s="10">
        <v>90</v>
      </c>
      <c r="G6" s="3">
        <f t="shared" ref="G6:G26" si="0">$F$4/F6</f>
        <v>2646.3636363636365</v>
      </c>
    </row>
    <row r="7" spans="1:8" x14ac:dyDescent="0.25">
      <c r="A7" t="s">
        <v>3</v>
      </c>
      <c r="B7" s="2">
        <f>(Lechon!C19/0.99)</f>
        <v>238172.72727272726</v>
      </c>
      <c r="C7" s="3">
        <f>B7/$B$8</f>
        <v>2071.0671936758895</v>
      </c>
      <c r="D7" s="4">
        <f>C7/$C$3</f>
        <v>0.45284806473482048</v>
      </c>
      <c r="F7" s="10">
        <f>F6+3</f>
        <v>93</v>
      </c>
      <c r="G7" s="3">
        <f>$F$4/F7</f>
        <v>2560.9970674486804</v>
      </c>
      <c r="H7" s="3">
        <f>G7-G6</f>
        <v>-85.366568914956133</v>
      </c>
    </row>
    <row r="8" spans="1:8" x14ac:dyDescent="0.25">
      <c r="A8" t="s">
        <v>4</v>
      </c>
      <c r="B8" s="2">
        <v>115</v>
      </c>
      <c r="F8" s="10">
        <f t="shared" ref="F8:F26" si="1">F7+3</f>
        <v>96</v>
      </c>
      <c r="G8" s="3">
        <f t="shared" si="0"/>
        <v>2480.965909090909</v>
      </c>
      <c r="H8" s="3">
        <f t="shared" ref="H8:H26" si="2">G8-G7</f>
        <v>-80.031158357771346</v>
      </c>
    </row>
    <row r="9" spans="1:8" x14ac:dyDescent="0.25">
      <c r="A9" t="s">
        <v>5</v>
      </c>
      <c r="B9" s="2">
        <v>5200</v>
      </c>
      <c r="F9" s="10">
        <f t="shared" si="1"/>
        <v>99</v>
      </c>
      <c r="G9" s="3">
        <f t="shared" si="0"/>
        <v>2405.7851239669421</v>
      </c>
      <c r="H9" s="3">
        <f t="shared" si="2"/>
        <v>-75.180785123966871</v>
      </c>
    </row>
    <row r="10" spans="1:8" x14ac:dyDescent="0.25">
      <c r="A10" t="s">
        <v>6</v>
      </c>
      <c r="B10" s="2">
        <f>B3</f>
        <v>525944.01040931221</v>
      </c>
      <c r="C10" s="5">
        <f>B10/B8</f>
        <v>4573.42617747228</v>
      </c>
      <c r="D10" s="6"/>
      <c r="F10" s="10">
        <f t="shared" si="1"/>
        <v>102</v>
      </c>
      <c r="G10" s="3">
        <f t="shared" si="0"/>
        <v>2335.0267379679144</v>
      </c>
      <c r="H10" s="3">
        <f t="shared" si="2"/>
        <v>-70.758385999027723</v>
      </c>
    </row>
    <row r="11" spans="1:8" x14ac:dyDescent="0.25">
      <c r="A11" t="s">
        <v>7</v>
      </c>
      <c r="B11" s="2">
        <f>(B8*B9*0.985)</f>
        <v>589030</v>
      </c>
      <c r="F11" s="10">
        <f t="shared" si="1"/>
        <v>105</v>
      </c>
      <c r="G11" s="3">
        <f t="shared" si="0"/>
        <v>2268.3116883116882</v>
      </c>
      <c r="H11" s="3">
        <f t="shared" si="2"/>
        <v>-66.715049656226256</v>
      </c>
    </row>
    <row r="12" spans="1:8" x14ac:dyDescent="0.25">
      <c r="A12" t="s">
        <v>171</v>
      </c>
      <c r="B12" s="3">
        <f>B11-B10</f>
        <v>63085.989590687794</v>
      </c>
      <c r="D12" s="3"/>
      <c r="F12" s="10">
        <f t="shared" si="1"/>
        <v>108</v>
      </c>
      <c r="G12" s="3">
        <f t="shared" si="0"/>
        <v>2205.30303030303</v>
      </c>
      <c r="H12" s="3">
        <f t="shared" si="2"/>
        <v>-63.008658008658131</v>
      </c>
    </row>
    <row r="13" spans="1:8" x14ac:dyDescent="0.25">
      <c r="A13" t="s">
        <v>172</v>
      </c>
      <c r="B13" s="3">
        <f>B12*(600*0.99)</f>
        <v>37473077.816868551</v>
      </c>
      <c r="C13" s="3">
        <f>B13/3</f>
        <v>12491025.938956184</v>
      </c>
      <c r="F13" s="10">
        <f t="shared" si="1"/>
        <v>111</v>
      </c>
      <c r="G13" s="3">
        <f t="shared" si="0"/>
        <v>2145.7002457002454</v>
      </c>
      <c r="H13" s="3">
        <f t="shared" si="2"/>
        <v>-59.602784602784595</v>
      </c>
    </row>
    <row r="14" spans="1:8" x14ac:dyDescent="0.25">
      <c r="A14" t="s">
        <v>174</v>
      </c>
      <c r="B14" s="3">
        <f>B13*4.33</f>
        <v>162258426.94704083</v>
      </c>
      <c r="C14" s="3">
        <f>B14/3</f>
        <v>54086142.315680273</v>
      </c>
      <c r="F14" s="109">
        <f t="shared" si="1"/>
        <v>114</v>
      </c>
      <c r="G14" s="110">
        <f t="shared" si="0"/>
        <v>2089.2344497607655</v>
      </c>
      <c r="H14" s="110">
        <f t="shared" si="2"/>
        <v>-56.465795939479904</v>
      </c>
    </row>
    <row r="15" spans="1:8" x14ac:dyDescent="0.25">
      <c r="F15" s="10">
        <f t="shared" si="1"/>
        <v>117</v>
      </c>
      <c r="G15" s="3">
        <f t="shared" si="0"/>
        <v>2035.6643356643356</v>
      </c>
      <c r="H15" s="3">
        <f t="shared" si="2"/>
        <v>-53.570114096429961</v>
      </c>
    </row>
    <row r="16" spans="1:8" x14ac:dyDescent="0.25">
      <c r="F16" s="10">
        <f t="shared" si="1"/>
        <v>120</v>
      </c>
      <c r="G16" s="3">
        <f t="shared" si="0"/>
        <v>1984.7727272727273</v>
      </c>
      <c r="H16" s="3">
        <f t="shared" si="2"/>
        <v>-50.891608391608315</v>
      </c>
    </row>
    <row r="17" spans="6:8" x14ac:dyDescent="0.25">
      <c r="F17" s="10">
        <f t="shared" si="1"/>
        <v>123</v>
      </c>
      <c r="G17" s="3">
        <f t="shared" si="0"/>
        <v>1936.3636363636363</v>
      </c>
      <c r="H17" s="3">
        <f t="shared" si="2"/>
        <v>-48.409090909090992</v>
      </c>
    </row>
    <row r="18" spans="6:8" x14ac:dyDescent="0.25">
      <c r="F18" s="10">
        <f t="shared" si="1"/>
        <v>126</v>
      </c>
      <c r="G18" s="3">
        <f t="shared" si="0"/>
        <v>1890.2597402597403</v>
      </c>
      <c r="H18" s="3">
        <f t="shared" si="2"/>
        <v>-46.103896103895977</v>
      </c>
    </row>
    <row r="19" spans="6:8" x14ac:dyDescent="0.25">
      <c r="F19" s="10">
        <f t="shared" si="1"/>
        <v>129</v>
      </c>
      <c r="G19" s="3">
        <f t="shared" si="0"/>
        <v>1846.3002114164904</v>
      </c>
      <c r="H19" s="3">
        <f t="shared" si="2"/>
        <v>-43.959528843249927</v>
      </c>
    </row>
    <row r="20" spans="6:8" x14ac:dyDescent="0.25">
      <c r="F20" s="10">
        <f t="shared" si="1"/>
        <v>132</v>
      </c>
      <c r="G20" s="3">
        <f t="shared" si="0"/>
        <v>1804.3388429752065</v>
      </c>
      <c r="H20" s="3">
        <f t="shared" si="2"/>
        <v>-41.961368441283867</v>
      </c>
    </row>
    <row r="21" spans="6:8" x14ac:dyDescent="0.25">
      <c r="F21" s="10">
        <f t="shared" si="1"/>
        <v>135</v>
      </c>
      <c r="G21" s="3">
        <f t="shared" si="0"/>
        <v>1764.2424242424242</v>
      </c>
      <c r="H21" s="3">
        <f t="shared" si="2"/>
        <v>-40.09641873278224</v>
      </c>
    </row>
    <row r="22" spans="6:8" x14ac:dyDescent="0.25">
      <c r="F22" s="10">
        <f t="shared" si="1"/>
        <v>138</v>
      </c>
      <c r="G22" s="3">
        <f t="shared" si="0"/>
        <v>1725.889328063241</v>
      </c>
      <c r="H22" s="3">
        <f t="shared" si="2"/>
        <v>-38.35309617918324</v>
      </c>
    </row>
    <row r="23" spans="6:8" x14ac:dyDescent="0.25">
      <c r="F23" s="109">
        <f t="shared" si="1"/>
        <v>141</v>
      </c>
      <c r="G23" s="110">
        <f t="shared" si="0"/>
        <v>1689.1682785299806</v>
      </c>
      <c r="H23" s="110">
        <f t="shared" si="2"/>
        <v>-36.721049533260384</v>
      </c>
    </row>
    <row r="24" spans="6:8" x14ac:dyDescent="0.25">
      <c r="F24" s="10">
        <f t="shared" si="1"/>
        <v>144</v>
      </c>
      <c r="G24" s="3">
        <f t="shared" si="0"/>
        <v>1653.9772727272727</v>
      </c>
      <c r="H24" s="3">
        <f t="shared" si="2"/>
        <v>-35.191005802707878</v>
      </c>
    </row>
    <row r="25" spans="6:8" x14ac:dyDescent="0.25">
      <c r="F25" s="10">
        <f t="shared" si="1"/>
        <v>147</v>
      </c>
      <c r="G25" s="3">
        <f t="shared" si="0"/>
        <v>1620.2226345083488</v>
      </c>
      <c r="H25" s="3">
        <f t="shared" si="2"/>
        <v>-33.754638218923901</v>
      </c>
    </row>
    <row r="26" spans="6:8" x14ac:dyDescent="0.25">
      <c r="F26" s="10">
        <f t="shared" si="1"/>
        <v>150</v>
      </c>
      <c r="G26" s="3">
        <f t="shared" si="0"/>
        <v>1587.8181818181818</v>
      </c>
      <c r="H26" s="3">
        <f t="shared" si="2"/>
        <v>-32.404452690167091</v>
      </c>
    </row>
  </sheetData>
  <pageMargins left="0.75" right="0.75" top="1" bottom="1" header="0.5" footer="0.5"/>
  <ignoredErrors>
    <ignoredError sqref="B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V24"/>
  <sheetViews>
    <sheetView showGridLines="0" zoomScale="85" workbookViewId="0">
      <selection activeCell="S7" sqref="S7:DV7"/>
    </sheetView>
  </sheetViews>
  <sheetFormatPr baseColWidth="10" defaultColWidth="10.875" defaultRowHeight="15.75" x14ac:dyDescent="0.25"/>
  <cols>
    <col min="1" max="1" width="21" bestFit="1" customWidth="1"/>
    <col min="2" max="2" width="15" bestFit="1" customWidth="1"/>
    <col min="3" max="4" width="12.75" customWidth="1"/>
    <col min="5" max="5" width="23.5" bestFit="1" customWidth="1"/>
    <col min="6" max="6" width="13.75" bestFit="1" customWidth="1"/>
    <col min="7" max="15" width="3.375" bestFit="1" customWidth="1"/>
    <col min="16" max="17" width="11.375" bestFit="1" customWidth="1"/>
    <col min="18" max="18" width="13.75" bestFit="1" customWidth="1"/>
    <col min="19" max="29" width="12.375" bestFit="1" customWidth="1"/>
    <col min="30" max="30" width="13.75" bestFit="1" customWidth="1"/>
    <col min="31" max="125" width="12.375" bestFit="1" customWidth="1"/>
    <col min="126" max="126" width="13.75" bestFit="1" customWidth="1"/>
  </cols>
  <sheetData>
    <row r="1" spans="1:126" x14ac:dyDescent="0.25">
      <c r="E1" s="29"/>
      <c r="F1" s="121" t="s">
        <v>122</v>
      </c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</row>
    <row r="2" spans="1:126" x14ac:dyDescent="0.25">
      <c r="E2" s="29"/>
      <c r="F2" s="29">
        <v>0</v>
      </c>
      <c r="G2" s="29">
        <v>1</v>
      </c>
      <c r="H2" s="29">
        <v>2</v>
      </c>
      <c r="I2" s="29">
        <v>3</v>
      </c>
      <c r="J2" s="29">
        <v>4</v>
      </c>
      <c r="K2" s="29">
        <v>5</v>
      </c>
      <c r="L2" s="29">
        <v>6</v>
      </c>
      <c r="M2" s="29">
        <v>7</v>
      </c>
      <c r="N2" s="29">
        <v>8</v>
      </c>
      <c r="O2" s="29">
        <v>9</v>
      </c>
      <c r="P2" s="29">
        <v>10</v>
      </c>
      <c r="Q2" s="29">
        <v>11</v>
      </c>
      <c r="R2" s="29">
        <v>12</v>
      </c>
      <c r="S2" s="29">
        <v>13</v>
      </c>
      <c r="T2" s="29">
        <v>14</v>
      </c>
      <c r="U2" s="29">
        <v>15</v>
      </c>
      <c r="V2" s="29">
        <v>16</v>
      </c>
      <c r="W2" s="29">
        <v>17</v>
      </c>
      <c r="X2" s="29">
        <v>18</v>
      </c>
      <c r="Y2" s="29">
        <v>19</v>
      </c>
      <c r="Z2" s="29">
        <v>20</v>
      </c>
      <c r="AA2" s="29">
        <v>21</v>
      </c>
      <c r="AB2" s="29">
        <v>22</v>
      </c>
      <c r="AC2" s="29">
        <v>23</v>
      </c>
      <c r="AD2" s="29">
        <v>24</v>
      </c>
      <c r="AE2" s="29">
        <v>25</v>
      </c>
      <c r="AF2" s="29">
        <v>26</v>
      </c>
      <c r="AG2" s="29">
        <v>27</v>
      </c>
      <c r="AH2" s="29">
        <v>28</v>
      </c>
      <c r="AI2" s="29">
        <v>29</v>
      </c>
      <c r="AJ2" s="29">
        <v>30</v>
      </c>
      <c r="AK2" s="29">
        <v>31</v>
      </c>
      <c r="AL2" s="29">
        <v>32</v>
      </c>
      <c r="AM2" s="29">
        <v>33</v>
      </c>
      <c r="AN2" s="29">
        <v>34</v>
      </c>
      <c r="AO2" s="29">
        <v>35</v>
      </c>
      <c r="AP2" s="29">
        <v>36</v>
      </c>
      <c r="AQ2" s="29">
        <v>37</v>
      </c>
      <c r="AR2" s="29">
        <v>38</v>
      </c>
      <c r="AS2" s="29">
        <v>39</v>
      </c>
      <c r="AT2" s="29">
        <v>40</v>
      </c>
      <c r="AU2" s="29">
        <v>41</v>
      </c>
      <c r="AV2" s="29">
        <v>42</v>
      </c>
      <c r="AW2" s="29">
        <v>43</v>
      </c>
      <c r="AX2" s="29">
        <v>44</v>
      </c>
      <c r="AY2" s="29">
        <v>45</v>
      </c>
      <c r="AZ2" s="29">
        <v>46</v>
      </c>
      <c r="BA2" s="29">
        <v>47</v>
      </c>
      <c r="BB2" s="29">
        <v>48</v>
      </c>
      <c r="BC2" s="29">
        <v>49</v>
      </c>
      <c r="BD2" s="29">
        <v>50</v>
      </c>
      <c r="BE2" s="29">
        <v>51</v>
      </c>
      <c r="BF2" s="29">
        <v>52</v>
      </c>
      <c r="BG2" s="29">
        <v>53</v>
      </c>
      <c r="BH2" s="29">
        <v>54</v>
      </c>
      <c r="BI2" s="29">
        <v>55</v>
      </c>
      <c r="BJ2" s="29">
        <v>56</v>
      </c>
      <c r="BK2" s="29">
        <v>57</v>
      </c>
      <c r="BL2" s="29">
        <v>58</v>
      </c>
      <c r="BM2" s="29">
        <v>59</v>
      </c>
      <c r="BN2" s="29">
        <v>60</v>
      </c>
      <c r="BO2" s="29">
        <v>61</v>
      </c>
      <c r="BP2" s="29">
        <v>62</v>
      </c>
      <c r="BQ2" s="29">
        <v>63</v>
      </c>
      <c r="BR2" s="29">
        <v>64</v>
      </c>
      <c r="BS2" s="29">
        <v>65</v>
      </c>
      <c r="BT2" s="29">
        <v>66</v>
      </c>
      <c r="BU2" s="29">
        <v>67</v>
      </c>
      <c r="BV2" s="29">
        <v>68</v>
      </c>
      <c r="BW2" s="29">
        <v>69</v>
      </c>
      <c r="BX2" s="29">
        <v>70</v>
      </c>
      <c r="BY2" s="29">
        <v>71</v>
      </c>
      <c r="BZ2" s="29">
        <v>72</v>
      </c>
      <c r="CA2" s="29">
        <v>73</v>
      </c>
      <c r="CB2" s="29">
        <v>74</v>
      </c>
      <c r="CC2" s="29">
        <v>75</v>
      </c>
      <c r="CD2" s="29">
        <v>76</v>
      </c>
      <c r="CE2" s="29">
        <v>77</v>
      </c>
      <c r="CF2" s="29">
        <v>78</v>
      </c>
      <c r="CG2" s="29">
        <v>79</v>
      </c>
      <c r="CH2" s="29">
        <v>80</v>
      </c>
      <c r="CI2" s="29">
        <v>81</v>
      </c>
      <c r="CJ2" s="29">
        <v>82</v>
      </c>
      <c r="CK2" s="29">
        <v>83</v>
      </c>
      <c r="CL2" s="29">
        <v>84</v>
      </c>
      <c r="CM2" s="29">
        <v>85</v>
      </c>
      <c r="CN2" s="29">
        <v>86</v>
      </c>
      <c r="CO2" s="29">
        <v>87</v>
      </c>
      <c r="CP2" s="29">
        <v>88</v>
      </c>
      <c r="CQ2" s="29">
        <v>89</v>
      </c>
      <c r="CR2" s="29">
        <v>90</v>
      </c>
      <c r="CS2" s="29">
        <v>91</v>
      </c>
      <c r="CT2" s="29">
        <v>92</v>
      </c>
      <c r="CU2" s="29">
        <v>93</v>
      </c>
      <c r="CV2" s="29">
        <v>94</v>
      </c>
      <c r="CW2" s="29">
        <v>95</v>
      </c>
      <c r="CX2" s="29">
        <v>96</v>
      </c>
      <c r="CY2" s="29">
        <v>97</v>
      </c>
      <c r="CZ2" s="29">
        <v>98</v>
      </c>
      <c r="DA2" s="29">
        <v>99</v>
      </c>
      <c r="DB2" s="29">
        <v>100</v>
      </c>
      <c r="DC2" s="29">
        <v>101</v>
      </c>
      <c r="DD2" s="29">
        <v>102</v>
      </c>
      <c r="DE2" s="29">
        <v>103</v>
      </c>
      <c r="DF2" s="29">
        <v>104</v>
      </c>
      <c r="DG2" s="29">
        <v>105</v>
      </c>
      <c r="DH2" s="29">
        <v>106</v>
      </c>
      <c r="DI2" s="29">
        <v>107</v>
      </c>
      <c r="DJ2" s="29">
        <v>108</v>
      </c>
      <c r="DK2" s="29">
        <v>109</v>
      </c>
      <c r="DL2" s="29">
        <v>110</v>
      </c>
      <c r="DM2" s="29">
        <v>111</v>
      </c>
      <c r="DN2" s="29">
        <v>112</v>
      </c>
      <c r="DO2" s="29">
        <v>113</v>
      </c>
      <c r="DP2" s="29">
        <v>114</v>
      </c>
      <c r="DQ2" s="29">
        <v>115</v>
      </c>
      <c r="DR2" s="29">
        <v>116</v>
      </c>
      <c r="DS2" s="29">
        <v>117</v>
      </c>
      <c r="DT2" s="29">
        <v>118</v>
      </c>
      <c r="DU2" s="29">
        <v>119</v>
      </c>
      <c r="DV2" s="29">
        <v>120</v>
      </c>
    </row>
    <row r="3" spans="1:126" x14ac:dyDescent="0.25">
      <c r="A3" t="s">
        <v>150</v>
      </c>
      <c r="B3">
        <v>300</v>
      </c>
      <c r="E3" s="88" t="s">
        <v>153</v>
      </c>
      <c r="F3" s="94">
        <f>-$B$5/3</f>
        <v>-1000000000</v>
      </c>
      <c r="G3" s="89"/>
      <c r="H3" s="89"/>
      <c r="I3" s="95"/>
      <c r="J3" s="95"/>
      <c r="K3" s="95"/>
      <c r="L3" s="95"/>
      <c r="M3" s="95"/>
      <c r="N3" s="95"/>
      <c r="O3" s="95"/>
      <c r="P3" s="95"/>
      <c r="Q3" s="95"/>
      <c r="R3" s="94">
        <f>-$B$5/3-((B5+F3)*6%)</f>
        <v>-1120000000</v>
      </c>
      <c r="S3" s="95"/>
      <c r="T3" s="95"/>
      <c r="U3" s="95"/>
      <c r="V3" s="89"/>
      <c r="W3" s="89"/>
      <c r="X3" s="89"/>
      <c r="Y3" s="89"/>
      <c r="Z3" s="89"/>
      <c r="AA3" s="89"/>
      <c r="AB3" s="89"/>
      <c r="AC3" s="89"/>
      <c r="AD3" s="94">
        <f>-$B$5/3-((B5+(F3*2))*6%)</f>
        <v>-1060000000</v>
      </c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</row>
    <row r="4" spans="1:126" x14ac:dyDescent="0.25">
      <c r="A4" t="s">
        <v>151</v>
      </c>
      <c r="B4" s="38">
        <v>10000000</v>
      </c>
      <c r="E4" s="88" t="s">
        <v>111</v>
      </c>
      <c r="F4" s="89"/>
      <c r="G4" s="89">
        <f>G5+G9</f>
        <v>0</v>
      </c>
      <c r="H4" s="89">
        <f t="shared" ref="H4:BS4" si="0">H5+H9</f>
        <v>0</v>
      </c>
      <c r="I4" s="89">
        <f t="shared" si="0"/>
        <v>0</v>
      </c>
      <c r="J4" s="89">
        <f t="shared" si="0"/>
        <v>0</v>
      </c>
      <c r="K4" s="89">
        <f t="shared" si="0"/>
        <v>0</v>
      </c>
      <c r="L4" s="89">
        <f t="shared" si="0"/>
        <v>0</v>
      </c>
      <c r="M4" s="89">
        <f t="shared" si="0"/>
        <v>0</v>
      </c>
      <c r="N4" s="89">
        <f t="shared" si="0"/>
        <v>0</v>
      </c>
      <c r="O4" s="89">
        <f t="shared" si="0"/>
        <v>0</v>
      </c>
      <c r="P4" s="89">
        <f t="shared" si="0"/>
        <v>-31471072.810000002</v>
      </c>
      <c r="Q4" s="89">
        <f t="shared" si="0"/>
        <v>-31471072.810000002</v>
      </c>
      <c r="R4" s="89">
        <f t="shared" si="0"/>
        <v>-31471072.810000002</v>
      </c>
      <c r="S4" s="89">
        <f t="shared" si="0"/>
        <v>15015447.839549348</v>
      </c>
      <c r="T4" s="89">
        <f t="shared" si="0"/>
        <v>15015447.839549348</v>
      </c>
      <c r="U4" s="89">
        <f t="shared" si="0"/>
        <v>15015447.839549348</v>
      </c>
      <c r="V4" s="89">
        <f t="shared" si="0"/>
        <v>15015447.839549348</v>
      </c>
      <c r="W4" s="89">
        <f t="shared" si="0"/>
        <v>15015447.839549348</v>
      </c>
      <c r="X4" s="89">
        <f t="shared" si="0"/>
        <v>15015447.839549348</v>
      </c>
      <c r="Y4" s="89">
        <f t="shared" si="0"/>
        <v>15015447.839549348</v>
      </c>
      <c r="Z4" s="89">
        <f t="shared" si="0"/>
        <v>15015447.839549348</v>
      </c>
      <c r="AA4" s="89">
        <f t="shared" si="0"/>
        <v>15015447.839549348</v>
      </c>
      <c r="AB4" s="89">
        <f t="shared" si="0"/>
        <v>15015447.839549348</v>
      </c>
      <c r="AC4" s="89">
        <f t="shared" si="0"/>
        <v>15015447.839549348</v>
      </c>
      <c r="AD4" s="89">
        <f t="shared" si="0"/>
        <v>15015447.839549348</v>
      </c>
      <c r="AE4" s="89">
        <f t="shared" si="0"/>
        <v>15015447.839549348</v>
      </c>
      <c r="AF4" s="89">
        <f t="shared" si="0"/>
        <v>15015447.839549348</v>
      </c>
      <c r="AG4" s="89">
        <f t="shared" si="0"/>
        <v>15015447.839549348</v>
      </c>
      <c r="AH4" s="89">
        <f t="shared" si="0"/>
        <v>15015447.839549348</v>
      </c>
      <c r="AI4" s="89">
        <f t="shared" si="0"/>
        <v>15015447.839549348</v>
      </c>
      <c r="AJ4" s="89">
        <f t="shared" si="0"/>
        <v>15015447.839549348</v>
      </c>
      <c r="AK4" s="89">
        <f t="shared" si="0"/>
        <v>15015447.839549348</v>
      </c>
      <c r="AL4" s="89">
        <f t="shared" si="0"/>
        <v>15015447.839549348</v>
      </c>
      <c r="AM4" s="89">
        <f t="shared" si="0"/>
        <v>15015447.839549348</v>
      </c>
      <c r="AN4" s="89">
        <f t="shared" si="0"/>
        <v>15015447.839549348</v>
      </c>
      <c r="AO4" s="89">
        <f t="shared" si="0"/>
        <v>15015447.839549348</v>
      </c>
      <c r="AP4" s="89">
        <f t="shared" si="0"/>
        <v>15015447.839549348</v>
      </c>
      <c r="AQ4" s="89">
        <f t="shared" si="0"/>
        <v>15015447.839549348</v>
      </c>
      <c r="AR4" s="89">
        <f t="shared" si="0"/>
        <v>15015447.839549348</v>
      </c>
      <c r="AS4" s="89">
        <f t="shared" si="0"/>
        <v>15015447.839549348</v>
      </c>
      <c r="AT4" s="89">
        <f t="shared" si="0"/>
        <v>15015447.839549348</v>
      </c>
      <c r="AU4" s="89">
        <f t="shared" si="0"/>
        <v>15015447.839549348</v>
      </c>
      <c r="AV4" s="89">
        <f t="shared" si="0"/>
        <v>15015447.839549348</v>
      </c>
      <c r="AW4" s="89">
        <f t="shared" si="0"/>
        <v>15015447.839549348</v>
      </c>
      <c r="AX4" s="89">
        <f t="shared" si="0"/>
        <v>15015447.839549348</v>
      </c>
      <c r="AY4" s="89">
        <f t="shared" si="0"/>
        <v>15015447.839549348</v>
      </c>
      <c r="AZ4" s="89">
        <f t="shared" si="0"/>
        <v>15015447.839549348</v>
      </c>
      <c r="BA4" s="89">
        <f t="shared" si="0"/>
        <v>15015447.839549348</v>
      </c>
      <c r="BB4" s="89">
        <f t="shared" si="0"/>
        <v>15015447.839549348</v>
      </c>
      <c r="BC4" s="89">
        <f t="shared" si="0"/>
        <v>15015447.839549348</v>
      </c>
      <c r="BD4" s="89">
        <f t="shared" si="0"/>
        <v>15015447.839549348</v>
      </c>
      <c r="BE4" s="89">
        <f t="shared" si="0"/>
        <v>15015447.839549348</v>
      </c>
      <c r="BF4" s="89">
        <f t="shared" si="0"/>
        <v>15015447.839549348</v>
      </c>
      <c r="BG4" s="89">
        <f t="shared" si="0"/>
        <v>15015447.839549348</v>
      </c>
      <c r="BH4" s="89">
        <f t="shared" si="0"/>
        <v>15015447.839549348</v>
      </c>
      <c r="BI4" s="89">
        <f t="shared" si="0"/>
        <v>15015447.839549348</v>
      </c>
      <c r="BJ4" s="89">
        <f t="shared" si="0"/>
        <v>15015447.839549348</v>
      </c>
      <c r="BK4" s="89">
        <f t="shared" si="0"/>
        <v>15015447.839549348</v>
      </c>
      <c r="BL4" s="89">
        <f t="shared" si="0"/>
        <v>15015447.839549348</v>
      </c>
      <c r="BM4" s="89">
        <f t="shared" si="0"/>
        <v>15015447.839549348</v>
      </c>
      <c r="BN4" s="89">
        <f t="shared" si="0"/>
        <v>15015447.839549348</v>
      </c>
      <c r="BO4" s="89">
        <f t="shared" si="0"/>
        <v>15015447.839549348</v>
      </c>
      <c r="BP4" s="89">
        <f t="shared" si="0"/>
        <v>15015447.839549348</v>
      </c>
      <c r="BQ4" s="89">
        <f t="shared" si="0"/>
        <v>15015447.839549348</v>
      </c>
      <c r="BR4" s="89">
        <f t="shared" si="0"/>
        <v>15015447.839549348</v>
      </c>
      <c r="BS4" s="89">
        <f t="shared" si="0"/>
        <v>15015447.839549348</v>
      </c>
      <c r="BT4" s="89">
        <f t="shared" ref="BT4:DV4" si="1">BT5+BT9</f>
        <v>15015447.839549348</v>
      </c>
      <c r="BU4" s="89">
        <f t="shared" si="1"/>
        <v>15015447.839549348</v>
      </c>
      <c r="BV4" s="89">
        <f t="shared" si="1"/>
        <v>15015447.839549348</v>
      </c>
      <c r="BW4" s="89">
        <f t="shared" si="1"/>
        <v>15015447.839549348</v>
      </c>
      <c r="BX4" s="89">
        <f t="shared" si="1"/>
        <v>15015447.839549348</v>
      </c>
      <c r="BY4" s="89">
        <f t="shared" si="1"/>
        <v>15015447.839549348</v>
      </c>
      <c r="BZ4" s="89">
        <f t="shared" si="1"/>
        <v>15015447.839549348</v>
      </c>
      <c r="CA4" s="89">
        <f t="shared" si="1"/>
        <v>15015447.839549348</v>
      </c>
      <c r="CB4" s="89">
        <f t="shared" si="1"/>
        <v>15015447.839549348</v>
      </c>
      <c r="CC4" s="89">
        <f t="shared" si="1"/>
        <v>15015447.839549348</v>
      </c>
      <c r="CD4" s="89">
        <f t="shared" si="1"/>
        <v>15015447.839549348</v>
      </c>
      <c r="CE4" s="89">
        <f t="shared" si="1"/>
        <v>15015447.839549348</v>
      </c>
      <c r="CF4" s="89">
        <f t="shared" si="1"/>
        <v>15015447.839549348</v>
      </c>
      <c r="CG4" s="89">
        <f t="shared" si="1"/>
        <v>15015447.839549348</v>
      </c>
      <c r="CH4" s="89">
        <f t="shared" si="1"/>
        <v>15015447.839549348</v>
      </c>
      <c r="CI4" s="89">
        <f t="shared" si="1"/>
        <v>15015447.839549348</v>
      </c>
      <c r="CJ4" s="89">
        <f t="shared" si="1"/>
        <v>15015447.839549348</v>
      </c>
      <c r="CK4" s="89">
        <f t="shared" si="1"/>
        <v>15015447.839549348</v>
      </c>
      <c r="CL4" s="89">
        <f t="shared" si="1"/>
        <v>15015447.839549348</v>
      </c>
      <c r="CM4" s="89">
        <f t="shared" si="1"/>
        <v>15015447.839549348</v>
      </c>
      <c r="CN4" s="89">
        <f t="shared" si="1"/>
        <v>15015447.839549348</v>
      </c>
      <c r="CO4" s="89">
        <f t="shared" si="1"/>
        <v>15015447.839549348</v>
      </c>
      <c r="CP4" s="89">
        <f t="shared" si="1"/>
        <v>15015447.839549348</v>
      </c>
      <c r="CQ4" s="89">
        <f t="shared" si="1"/>
        <v>15015447.839549348</v>
      </c>
      <c r="CR4" s="89">
        <f t="shared" si="1"/>
        <v>15015447.839549348</v>
      </c>
      <c r="CS4" s="89">
        <f t="shared" si="1"/>
        <v>15015447.839549348</v>
      </c>
      <c r="CT4" s="89">
        <f t="shared" si="1"/>
        <v>15015447.839549348</v>
      </c>
      <c r="CU4" s="89">
        <f t="shared" si="1"/>
        <v>15015447.839549348</v>
      </c>
      <c r="CV4" s="89">
        <f t="shared" si="1"/>
        <v>15015447.839549348</v>
      </c>
      <c r="CW4" s="89">
        <f t="shared" si="1"/>
        <v>15015447.839549348</v>
      </c>
      <c r="CX4" s="89">
        <f t="shared" si="1"/>
        <v>15015447.839549348</v>
      </c>
      <c r="CY4" s="89">
        <f t="shared" si="1"/>
        <v>15015447.839549348</v>
      </c>
      <c r="CZ4" s="89">
        <f t="shared" si="1"/>
        <v>15015447.839549348</v>
      </c>
      <c r="DA4" s="89">
        <f t="shared" si="1"/>
        <v>15015447.839549348</v>
      </c>
      <c r="DB4" s="89">
        <f t="shared" si="1"/>
        <v>15015447.839549348</v>
      </c>
      <c r="DC4" s="89">
        <f t="shared" si="1"/>
        <v>15015447.839549348</v>
      </c>
      <c r="DD4" s="89">
        <f t="shared" si="1"/>
        <v>15015447.839549348</v>
      </c>
      <c r="DE4" s="89">
        <f t="shared" si="1"/>
        <v>15015447.839549348</v>
      </c>
      <c r="DF4" s="89">
        <f t="shared" si="1"/>
        <v>15015447.839549348</v>
      </c>
      <c r="DG4" s="89">
        <f t="shared" si="1"/>
        <v>15015447.839549348</v>
      </c>
      <c r="DH4" s="89">
        <f t="shared" si="1"/>
        <v>15015447.839549348</v>
      </c>
      <c r="DI4" s="89">
        <f t="shared" si="1"/>
        <v>15015447.839549348</v>
      </c>
      <c r="DJ4" s="89">
        <f t="shared" si="1"/>
        <v>15015447.839549348</v>
      </c>
      <c r="DK4" s="89">
        <f t="shared" si="1"/>
        <v>15015447.839549348</v>
      </c>
      <c r="DL4" s="89">
        <f t="shared" si="1"/>
        <v>15015447.839549348</v>
      </c>
      <c r="DM4" s="89">
        <f t="shared" si="1"/>
        <v>15015447.839549348</v>
      </c>
      <c r="DN4" s="89">
        <f t="shared" si="1"/>
        <v>15015447.839549348</v>
      </c>
      <c r="DO4" s="89">
        <f t="shared" si="1"/>
        <v>15015447.839549348</v>
      </c>
      <c r="DP4" s="89">
        <f t="shared" si="1"/>
        <v>15015447.839549348</v>
      </c>
      <c r="DQ4" s="89">
        <f t="shared" si="1"/>
        <v>15015447.839549348</v>
      </c>
      <c r="DR4" s="89">
        <f t="shared" si="1"/>
        <v>15015447.839549348</v>
      </c>
      <c r="DS4" s="89">
        <f t="shared" si="1"/>
        <v>15015447.839549348</v>
      </c>
      <c r="DT4" s="89">
        <f t="shared" si="1"/>
        <v>15015447.839549348</v>
      </c>
      <c r="DU4" s="89">
        <f t="shared" si="1"/>
        <v>15015447.839549348</v>
      </c>
      <c r="DV4" s="89">
        <f t="shared" si="1"/>
        <v>-334984552.16045064</v>
      </c>
    </row>
    <row r="5" spans="1:126" x14ac:dyDescent="0.25">
      <c r="A5" t="s">
        <v>152</v>
      </c>
      <c r="B5" s="79">
        <f>B4*B3</f>
        <v>3000000000</v>
      </c>
      <c r="E5" s="90" t="s">
        <v>84</v>
      </c>
      <c r="F5" s="91"/>
      <c r="G5" s="91">
        <f>SUM(G6+G7+G8)</f>
        <v>0</v>
      </c>
      <c r="H5" s="91">
        <f t="shared" ref="H5:BS5" si="2">SUM(H6+H7+H8)</f>
        <v>0</v>
      </c>
      <c r="I5" s="91">
        <f t="shared" si="2"/>
        <v>0</v>
      </c>
      <c r="J5" s="91">
        <f t="shared" si="2"/>
        <v>0</v>
      </c>
      <c r="K5" s="91">
        <f t="shared" si="2"/>
        <v>0</v>
      </c>
      <c r="L5" s="91">
        <f t="shared" si="2"/>
        <v>0</v>
      </c>
      <c r="M5" s="91">
        <f t="shared" si="2"/>
        <v>0</v>
      </c>
      <c r="N5" s="91">
        <f t="shared" si="2"/>
        <v>0</v>
      </c>
      <c r="O5" s="91">
        <f t="shared" si="2"/>
        <v>0</v>
      </c>
      <c r="P5" s="91">
        <f t="shared" si="2"/>
        <v>20000000</v>
      </c>
      <c r="Q5" s="91">
        <f t="shared" si="2"/>
        <v>20000000</v>
      </c>
      <c r="R5" s="91">
        <f t="shared" si="2"/>
        <v>20000000</v>
      </c>
      <c r="S5" s="91">
        <f t="shared" si="2"/>
        <v>66486520.64954935</v>
      </c>
      <c r="T5" s="91">
        <f t="shared" si="2"/>
        <v>66486520.64954935</v>
      </c>
      <c r="U5" s="91">
        <f t="shared" si="2"/>
        <v>66486520.64954935</v>
      </c>
      <c r="V5" s="91">
        <f t="shared" si="2"/>
        <v>66486520.64954935</v>
      </c>
      <c r="W5" s="91">
        <f t="shared" si="2"/>
        <v>66486520.64954935</v>
      </c>
      <c r="X5" s="91">
        <f t="shared" si="2"/>
        <v>66486520.64954935</v>
      </c>
      <c r="Y5" s="91">
        <f t="shared" si="2"/>
        <v>66486520.64954935</v>
      </c>
      <c r="Z5" s="91">
        <f t="shared" si="2"/>
        <v>66486520.64954935</v>
      </c>
      <c r="AA5" s="91">
        <f t="shared" si="2"/>
        <v>66486520.64954935</v>
      </c>
      <c r="AB5" s="91">
        <f t="shared" si="2"/>
        <v>66486520.64954935</v>
      </c>
      <c r="AC5" s="91">
        <f t="shared" si="2"/>
        <v>66486520.64954935</v>
      </c>
      <c r="AD5" s="91">
        <f t="shared" si="2"/>
        <v>66486520.64954935</v>
      </c>
      <c r="AE5" s="91">
        <f t="shared" si="2"/>
        <v>66486520.64954935</v>
      </c>
      <c r="AF5" s="91">
        <f t="shared" si="2"/>
        <v>66486520.64954935</v>
      </c>
      <c r="AG5" s="91">
        <f t="shared" si="2"/>
        <v>66486520.64954935</v>
      </c>
      <c r="AH5" s="91">
        <f t="shared" si="2"/>
        <v>66486520.64954935</v>
      </c>
      <c r="AI5" s="91">
        <f t="shared" si="2"/>
        <v>66486520.64954935</v>
      </c>
      <c r="AJ5" s="91">
        <f t="shared" si="2"/>
        <v>66486520.64954935</v>
      </c>
      <c r="AK5" s="91">
        <f t="shared" si="2"/>
        <v>66486520.64954935</v>
      </c>
      <c r="AL5" s="91">
        <f t="shared" si="2"/>
        <v>66486520.64954935</v>
      </c>
      <c r="AM5" s="91">
        <f t="shared" si="2"/>
        <v>66486520.64954935</v>
      </c>
      <c r="AN5" s="91">
        <f t="shared" si="2"/>
        <v>66486520.64954935</v>
      </c>
      <c r="AO5" s="91">
        <f t="shared" si="2"/>
        <v>66486520.64954935</v>
      </c>
      <c r="AP5" s="91">
        <f t="shared" si="2"/>
        <v>66486520.64954935</v>
      </c>
      <c r="AQ5" s="91">
        <f t="shared" si="2"/>
        <v>66486520.64954935</v>
      </c>
      <c r="AR5" s="91">
        <f t="shared" si="2"/>
        <v>66486520.64954935</v>
      </c>
      <c r="AS5" s="91">
        <f t="shared" si="2"/>
        <v>66486520.64954935</v>
      </c>
      <c r="AT5" s="91">
        <f t="shared" si="2"/>
        <v>66486520.64954935</v>
      </c>
      <c r="AU5" s="91">
        <f t="shared" si="2"/>
        <v>66486520.64954935</v>
      </c>
      <c r="AV5" s="91">
        <f t="shared" si="2"/>
        <v>66486520.64954935</v>
      </c>
      <c r="AW5" s="91">
        <f t="shared" si="2"/>
        <v>66486520.64954935</v>
      </c>
      <c r="AX5" s="91">
        <f t="shared" si="2"/>
        <v>66486520.64954935</v>
      </c>
      <c r="AY5" s="91">
        <f t="shared" si="2"/>
        <v>66486520.64954935</v>
      </c>
      <c r="AZ5" s="91">
        <f t="shared" si="2"/>
        <v>66486520.64954935</v>
      </c>
      <c r="BA5" s="91">
        <f t="shared" si="2"/>
        <v>66486520.64954935</v>
      </c>
      <c r="BB5" s="91">
        <f t="shared" si="2"/>
        <v>66486520.64954935</v>
      </c>
      <c r="BC5" s="91">
        <f t="shared" si="2"/>
        <v>66486520.64954935</v>
      </c>
      <c r="BD5" s="91">
        <f t="shared" si="2"/>
        <v>66486520.64954935</v>
      </c>
      <c r="BE5" s="91">
        <f t="shared" si="2"/>
        <v>66486520.64954935</v>
      </c>
      <c r="BF5" s="91">
        <f t="shared" si="2"/>
        <v>66486520.64954935</v>
      </c>
      <c r="BG5" s="91">
        <f t="shared" si="2"/>
        <v>66486520.64954935</v>
      </c>
      <c r="BH5" s="91">
        <f t="shared" si="2"/>
        <v>66486520.64954935</v>
      </c>
      <c r="BI5" s="91">
        <f t="shared" si="2"/>
        <v>66486520.64954935</v>
      </c>
      <c r="BJ5" s="91">
        <f t="shared" si="2"/>
        <v>66486520.64954935</v>
      </c>
      <c r="BK5" s="91">
        <f t="shared" si="2"/>
        <v>66486520.64954935</v>
      </c>
      <c r="BL5" s="91">
        <f t="shared" si="2"/>
        <v>66486520.64954935</v>
      </c>
      <c r="BM5" s="91">
        <f t="shared" si="2"/>
        <v>66486520.64954935</v>
      </c>
      <c r="BN5" s="91">
        <f t="shared" si="2"/>
        <v>66486520.64954935</v>
      </c>
      <c r="BO5" s="91">
        <f t="shared" si="2"/>
        <v>66486520.64954935</v>
      </c>
      <c r="BP5" s="91">
        <f t="shared" si="2"/>
        <v>66486520.64954935</v>
      </c>
      <c r="BQ5" s="91">
        <f t="shared" si="2"/>
        <v>66486520.64954935</v>
      </c>
      <c r="BR5" s="91">
        <f t="shared" si="2"/>
        <v>66486520.64954935</v>
      </c>
      <c r="BS5" s="91">
        <f t="shared" si="2"/>
        <v>66486520.64954935</v>
      </c>
      <c r="BT5" s="91">
        <f t="shared" ref="BT5:DV5" si="3">SUM(BT6+BT7+BT8)</f>
        <v>66486520.64954935</v>
      </c>
      <c r="BU5" s="91">
        <f t="shared" si="3"/>
        <v>66486520.64954935</v>
      </c>
      <c r="BV5" s="91">
        <f t="shared" si="3"/>
        <v>66486520.64954935</v>
      </c>
      <c r="BW5" s="91">
        <f t="shared" si="3"/>
        <v>66486520.64954935</v>
      </c>
      <c r="BX5" s="91">
        <f t="shared" si="3"/>
        <v>66486520.64954935</v>
      </c>
      <c r="BY5" s="91">
        <f t="shared" si="3"/>
        <v>66486520.64954935</v>
      </c>
      <c r="BZ5" s="91">
        <f t="shared" si="3"/>
        <v>66486520.64954935</v>
      </c>
      <c r="CA5" s="91">
        <f t="shared" si="3"/>
        <v>66486520.64954935</v>
      </c>
      <c r="CB5" s="91">
        <f t="shared" si="3"/>
        <v>66486520.64954935</v>
      </c>
      <c r="CC5" s="91">
        <f t="shared" si="3"/>
        <v>66486520.64954935</v>
      </c>
      <c r="CD5" s="91">
        <f t="shared" si="3"/>
        <v>66486520.64954935</v>
      </c>
      <c r="CE5" s="91">
        <f t="shared" si="3"/>
        <v>66486520.64954935</v>
      </c>
      <c r="CF5" s="91">
        <f t="shared" si="3"/>
        <v>66486520.64954935</v>
      </c>
      <c r="CG5" s="91">
        <f t="shared" si="3"/>
        <v>66486520.64954935</v>
      </c>
      <c r="CH5" s="91">
        <f t="shared" si="3"/>
        <v>66486520.64954935</v>
      </c>
      <c r="CI5" s="91">
        <f t="shared" si="3"/>
        <v>66486520.64954935</v>
      </c>
      <c r="CJ5" s="91">
        <f t="shared" si="3"/>
        <v>66486520.64954935</v>
      </c>
      <c r="CK5" s="91">
        <f t="shared" si="3"/>
        <v>66486520.64954935</v>
      </c>
      <c r="CL5" s="91">
        <f t="shared" si="3"/>
        <v>66486520.64954935</v>
      </c>
      <c r="CM5" s="91">
        <f t="shared" si="3"/>
        <v>66486520.64954935</v>
      </c>
      <c r="CN5" s="91">
        <f t="shared" si="3"/>
        <v>66486520.64954935</v>
      </c>
      <c r="CO5" s="91">
        <f t="shared" si="3"/>
        <v>66486520.64954935</v>
      </c>
      <c r="CP5" s="91">
        <f t="shared" si="3"/>
        <v>66486520.64954935</v>
      </c>
      <c r="CQ5" s="91">
        <f t="shared" si="3"/>
        <v>66486520.64954935</v>
      </c>
      <c r="CR5" s="91">
        <f t="shared" si="3"/>
        <v>66486520.64954935</v>
      </c>
      <c r="CS5" s="91">
        <f t="shared" si="3"/>
        <v>66486520.64954935</v>
      </c>
      <c r="CT5" s="91">
        <f t="shared" si="3"/>
        <v>66486520.64954935</v>
      </c>
      <c r="CU5" s="91">
        <f t="shared" si="3"/>
        <v>66486520.64954935</v>
      </c>
      <c r="CV5" s="91">
        <f t="shared" si="3"/>
        <v>66486520.64954935</v>
      </c>
      <c r="CW5" s="91">
        <f t="shared" si="3"/>
        <v>66486520.64954935</v>
      </c>
      <c r="CX5" s="91">
        <f t="shared" si="3"/>
        <v>66486520.64954935</v>
      </c>
      <c r="CY5" s="91">
        <f t="shared" si="3"/>
        <v>66486520.64954935</v>
      </c>
      <c r="CZ5" s="91">
        <f t="shared" si="3"/>
        <v>66486520.64954935</v>
      </c>
      <c r="DA5" s="91">
        <f t="shared" si="3"/>
        <v>66486520.64954935</v>
      </c>
      <c r="DB5" s="91">
        <f t="shared" si="3"/>
        <v>66486520.64954935</v>
      </c>
      <c r="DC5" s="91">
        <f t="shared" si="3"/>
        <v>66486520.64954935</v>
      </c>
      <c r="DD5" s="91">
        <f t="shared" si="3"/>
        <v>66486520.64954935</v>
      </c>
      <c r="DE5" s="91">
        <f t="shared" si="3"/>
        <v>66486520.64954935</v>
      </c>
      <c r="DF5" s="91">
        <f t="shared" si="3"/>
        <v>66486520.64954935</v>
      </c>
      <c r="DG5" s="91">
        <f t="shared" si="3"/>
        <v>66486520.64954935</v>
      </c>
      <c r="DH5" s="91">
        <f t="shared" si="3"/>
        <v>66486520.64954935</v>
      </c>
      <c r="DI5" s="91">
        <f t="shared" si="3"/>
        <v>66486520.64954935</v>
      </c>
      <c r="DJ5" s="91">
        <f t="shared" si="3"/>
        <v>66486520.64954935</v>
      </c>
      <c r="DK5" s="91">
        <f t="shared" si="3"/>
        <v>66486520.64954935</v>
      </c>
      <c r="DL5" s="91">
        <f t="shared" si="3"/>
        <v>66486520.64954935</v>
      </c>
      <c r="DM5" s="91">
        <f t="shared" si="3"/>
        <v>66486520.64954935</v>
      </c>
      <c r="DN5" s="91">
        <f t="shared" si="3"/>
        <v>66486520.64954935</v>
      </c>
      <c r="DO5" s="91">
        <f t="shared" si="3"/>
        <v>66486520.64954935</v>
      </c>
      <c r="DP5" s="91">
        <f t="shared" si="3"/>
        <v>66486520.64954935</v>
      </c>
      <c r="DQ5" s="91">
        <f t="shared" si="3"/>
        <v>66486520.64954935</v>
      </c>
      <c r="DR5" s="91">
        <f t="shared" si="3"/>
        <v>66486520.64954935</v>
      </c>
      <c r="DS5" s="91">
        <f t="shared" si="3"/>
        <v>66486520.64954935</v>
      </c>
      <c r="DT5" s="91">
        <f t="shared" si="3"/>
        <v>66486520.64954935</v>
      </c>
      <c r="DU5" s="91">
        <f t="shared" si="3"/>
        <v>66486520.64954935</v>
      </c>
      <c r="DV5" s="91">
        <f t="shared" si="3"/>
        <v>66486520.64954935</v>
      </c>
    </row>
    <row r="6" spans="1:126" x14ac:dyDescent="0.25">
      <c r="A6" t="s">
        <v>58</v>
      </c>
      <c r="B6" s="3">
        <f>VLOOKUP(A6,'Flujo de Caja'!A1:B41,2,0)</f>
        <v>35100000</v>
      </c>
      <c r="E6" s="92" t="s">
        <v>105</v>
      </c>
      <c r="F6" s="93"/>
      <c r="G6" s="93"/>
      <c r="H6" s="93"/>
      <c r="I6" s="93"/>
      <c r="J6" s="93"/>
      <c r="K6" s="93"/>
      <c r="L6" s="93"/>
      <c r="M6" s="93"/>
      <c r="N6" s="93"/>
      <c r="O6" s="93"/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  <c r="AR6" s="93">
        <v>0</v>
      </c>
      <c r="AS6" s="93">
        <v>0</v>
      </c>
      <c r="AT6" s="93">
        <v>0</v>
      </c>
      <c r="AU6" s="93">
        <v>0</v>
      </c>
      <c r="AV6" s="93">
        <v>0</v>
      </c>
      <c r="AW6" s="93">
        <v>0</v>
      </c>
      <c r="AX6" s="93">
        <v>0</v>
      </c>
      <c r="AY6" s="93">
        <v>0</v>
      </c>
      <c r="AZ6" s="93">
        <v>0</v>
      </c>
      <c r="BA6" s="93">
        <v>0</v>
      </c>
      <c r="BB6" s="93">
        <v>0</v>
      </c>
      <c r="BC6" s="93">
        <v>0</v>
      </c>
      <c r="BD6" s="93">
        <v>0</v>
      </c>
      <c r="BE6" s="93">
        <v>0</v>
      </c>
      <c r="BF6" s="93">
        <v>0</v>
      </c>
      <c r="BG6" s="93">
        <v>0</v>
      </c>
      <c r="BH6" s="93">
        <v>0</v>
      </c>
      <c r="BI6" s="93">
        <v>0</v>
      </c>
      <c r="BJ6" s="93">
        <v>0</v>
      </c>
      <c r="BK6" s="93">
        <v>0</v>
      </c>
      <c r="BL6" s="93">
        <v>0</v>
      </c>
      <c r="BM6" s="93">
        <v>0</v>
      </c>
      <c r="BN6" s="93">
        <v>0</v>
      </c>
      <c r="BO6" s="93">
        <v>0</v>
      </c>
      <c r="BP6" s="93">
        <v>0</v>
      </c>
      <c r="BQ6" s="93">
        <v>0</v>
      </c>
      <c r="BR6" s="93">
        <v>0</v>
      </c>
      <c r="BS6" s="93">
        <v>0</v>
      </c>
      <c r="BT6" s="93">
        <v>0</v>
      </c>
      <c r="BU6" s="93">
        <v>0</v>
      </c>
      <c r="BV6" s="93">
        <v>0</v>
      </c>
      <c r="BW6" s="93">
        <v>0</v>
      </c>
      <c r="BX6" s="93">
        <v>0</v>
      </c>
      <c r="BY6" s="93">
        <v>0</v>
      </c>
      <c r="BZ6" s="93">
        <v>0</v>
      </c>
      <c r="CA6" s="93">
        <v>0</v>
      </c>
      <c r="CB6" s="93">
        <v>0</v>
      </c>
      <c r="CC6" s="93">
        <v>0</v>
      </c>
      <c r="CD6" s="93">
        <v>0</v>
      </c>
      <c r="CE6" s="93">
        <v>0</v>
      </c>
      <c r="CF6" s="93">
        <v>0</v>
      </c>
      <c r="CG6" s="93">
        <v>0</v>
      </c>
      <c r="CH6" s="93">
        <v>0</v>
      </c>
      <c r="CI6" s="93">
        <v>0</v>
      </c>
      <c r="CJ6" s="93">
        <v>0</v>
      </c>
      <c r="CK6" s="93">
        <v>0</v>
      </c>
      <c r="CL6" s="93">
        <v>0</v>
      </c>
      <c r="CM6" s="93">
        <v>0</v>
      </c>
      <c r="CN6" s="93">
        <v>0</v>
      </c>
      <c r="CO6" s="93">
        <v>0</v>
      </c>
      <c r="CP6" s="93">
        <v>0</v>
      </c>
      <c r="CQ6" s="93">
        <v>0</v>
      </c>
      <c r="CR6" s="93">
        <v>0</v>
      </c>
      <c r="CS6" s="93">
        <v>0</v>
      </c>
      <c r="CT6" s="93">
        <v>0</v>
      </c>
      <c r="CU6" s="93">
        <v>0</v>
      </c>
      <c r="CV6" s="93">
        <v>0</v>
      </c>
      <c r="CW6" s="93">
        <v>0</v>
      </c>
      <c r="CX6" s="93">
        <v>0</v>
      </c>
      <c r="CY6" s="93">
        <v>0</v>
      </c>
      <c r="CZ6" s="93">
        <v>0</v>
      </c>
      <c r="DA6" s="93">
        <v>0</v>
      </c>
      <c r="DB6" s="93">
        <v>0</v>
      </c>
      <c r="DC6" s="93">
        <v>0</v>
      </c>
      <c r="DD6" s="93">
        <v>0</v>
      </c>
      <c r="DE6" s="93">
        <v>0</v>
      </c>
      <c r="DF6" s="93">
        <v>0</v>
      </c>
      <c r="DG6" s="93">
        <v>0</v>
      </c>
      <c r="DH6" s="93">
        <v>0</v>
      </c>
      <c r="DI6" s="93">
        <v>0</v>
      </c>
      <c r="DJ6" s="93">
        <v>0</v>
      </c>
      <c r="DK6" s="93">
        <v>0</v>
      </c>
      <c r="DL6" s="93">
        <v>0</v>
      </c>
      <c r="DM6" s="93">
        <v>0</v>
      </c>
      <c r="DN6" s="93">
        <v>0</v>
      </c>
      <c r="DO6" s="93">
        <v>0</v>
      </c>
      <c r="DP6" s="93">
        <v>0</v>
      </c>
      <c r="DQ6" s="93">
        <v>0</v>
      </c>
      <c r="DR6" s="93">
        <v>0</v>
      </c>
      <c r="DS6" s="93">
        <v>0</v>
      </c>
      <c r="DT6" s="93">
        <v>0</v>
      </c>
      <c r="DU6" s="93">
        <v>0</v>
      </c>
      <c r="DV6" s="93">
        <v>0</v>
      </c>
    </row>
    <row r="7" spans="1:126" x14ac:dyDescent="0.25">
      <c r="A7" t="s">
        <v>154</v>
      </c>
      <c r="B7" s="3">
        <v>51471072.810000002</v>
      </c>
      <c r="E7" s="92" t="s">
        <v>155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>
        <f>'Flujo de Caja'!$I$3*44.44%</f>
        <v>46486520.64954935</v>
      </c>
      <c r="T7" s="93">
        <f>'Flujo de Caja'!$I$3*44.44%</f>
        <v>46486520.64954935</v>
      </c>
      <c r="U7" s="93">
        <f>'Flujo de Caja'!$I$3*44.44%</f>
        <v>46486520.64954935</v>
      </c>
      <c r="V7" s="93">
        <f>'Flujo de Caja'!$I$3*44.44%</f>
        <v>46486520.64954935</v>
      </c>
      <c r="W7" s="93">
        <f>'Flujo de Caja'!$I$3*44.44%</f>
        <v>46486520.64954935</v>
      </c>
      <c r="X7" s="93">
        <f>'Flujo de Caja'!$I$3*44.44%</f>
        <v>46486520.64954935</v>
      </c>
      <c r="Y7" s="93">
        <f>'Flujo de Caja'!$I$3*44.44%</f>
        <v>46486520.64954935</v>
      </c>
      <c r="Z7" s="93">
        <f>'Flujo de Caja'!$I$3*44.44%</f>
        <v>46486520.64954935</v>
      </c>
      <c r="AA7" s="93">
        <f>'Flujo de Caja'!$I$3*44.44%</f>
        <v>46486520.64954935</v>
      </c>
      <c r="AB7" s="93">
        <f>'Flujo de Caja'!$I$3*44.44%</f>
        <v>46486520.64954935</v>
      </c>
      <c r="AC7" s="93">
        <f>'Flujo de Caja'!$I$3*44.44%</f>
        <v>46486520.64954935</v>
      </c>
      <c r="AD7" s="93">
        <f>'Flujo de Caja'!$I$3*44.44%</f>
        <v>46486520.64954935</v>
      </c>
      <c r="AE7" s="93">
        <f>'Flujo de Caja'!$I$3*44.44%</f>
        <v>46486520.64954935</v>
      </c>
      <c r="AF7" s="93">
        <f>'Flujo de Caja'!$I$3*44.44%</f>
        <v>46486520.64954935</v>
      </c>
      <c r="AG7" s="93">
        <f>'Flujo de Caja'!$I$3*44.44%</f>
        <v>46486520.64954935</v>
      </c>
      <c r="AH7" s="93">
        <f>'Flujo de Caja'!$I$3*44.44%</f>
        <v>46486520.64954935</v>
      </c>
      <c r="AI7" s="93">
        <f>'Flujo de Caja'!$I$3*44.44%</f>
        <v>46486520.64954935</v>
      </c>
      <c r="AJ7" s="93">
        <f>'Flujo de Caja'!$I$3*44.44%</f>
        <v>46486520.64954935</v>
      </c>
      <c r="AK7" s="93">
        <f>'Flujo de Caja'!$I$3*44.44%</f>
        <v>46486520.64954935</v>
      </c>
      <c r="AL7" s="93">
        <f>'Flujo de Caja'!$I$3*44.44%</f>
        <v>46486520.64954935</v>
      </c>
      <c r="AM7" s="93">
        <f>'Flujo de Caja'!$I$3*44.44%</f>
        <v>46486520.64954935</v>
      </c>
      <c r="AN7" s="93">
        <f>'Flujo de Caja'!$I$3*44.44%</f>
        <v>46486520.64954935</v>
      </c>
      <c r="AO7" s="93">
        <f>'Flujo de Caja'!$I$3*44.44%</f>
        <v>46486520.64954935</v>
      </c>
      <c r="AP7" s="93">
        <f>'Flujo de Caja'!$I$3*44.44%</f>
        <v>46486520.64954935</v>
      </c>
      <c r="AQ7" s="93">
        <f>'Flujo de Caja'!$I$3*44.44%</f>
        <v>46486520.64954935</v>
      </c>
      <c r="AR7" s="93">
        <f>'Flujo de Caja'!$I$3*44.44%</f>
        <v>46486520.64954935</v>
      </c>
      <c r="AS7" s="93">
        <f>'Flujo de Caja'!$I$3*44.44%</f>
        <v>46486520.64954935</v>
      </c>
      <c r="AT7" s="93">
        <f>'Flujo de Caja'!$I$3*44.44%</f>
        <v>46486520.64954935</v>
      </c>
      <c r="AU7" s="93">
        <f>'Flujo de Caja'!$I$3*44.44%</f>
        <v>46486520.64954935</v>
      </c>
      <c r="AV7" s="93">
        <f>'Flujo de Caja'!$I$3*44.44%</f>
        <v>46486520.64954935</v>
      </c>
      <c r="AW7" s="93">
        <f>'Flujo de Caja'!$I$3*44.44%</f>
        <v>46486520.64954935</v>
      </c>
      <c r="AX7" s="93">
        <f>'Flujo de Caja'!$I$3*44.44%</f>
        <v>46486520.64954935</v>
      </c>
      <c r="AY7" s="93">
        <f>'Flujo de Caja'!$I$3*44.44%</f>
        <v>46486520.64954935</v>
      </c>
      <c r="AZ7" s="93">
        <f>'Flujo de Caja'!$I$3*44.44%</f>
        <v>46486520.64954935</v>
      </c>
      <c r="BA7" s="93">
        <f>'Flujo de Caja'!$I$3*44.44%</f>
        <v>46486520.64954935</v>
      </c>
      <c r="BB7" s="93">
        <f>'Flujo de Caja'!$I$3*44.44%</f>
        <v>46486520.64954935</v>
      </c>
      <c r="BC7" s="93">
        <f>'Flujo de Caja'!$I$3*44.44%</f>
        <v>46486520.64954935</v>
      </c>
      <c r="BD7" s="93">
        <f>'Flujo de Caja'!$I$3*44.44%</f>
        <v>46486520.64954935</v>
      </c>
      <c r="BE7" s="93">
        <f>'Flujo de Caja'!$I$3*44.44%</f>
        <v>46486520.64954935</v>
      </c>
      <c r="BF7" s="93">
        <f>'Flujo de Caja'!$I$3*44.44%</f>
        <v>46486520.64954935</v>
      </c>
      <c r="BG7" s="93">
        <f>'Flujo de Caja'!$I$3*44.44%</f>
        <v>46486520.64954935</v>
      </c>
      <c r="BH7" s="93">
        <f>'Flujo de Caja'!$I$3*44.44%</f>
        <v>46486520.64954935</v>
      </c>
      <c r="BI7" s="93">
        <f>'Flujo de Caja'!$I$3*44.44%</f>
        <v>46486520.64954935</v>
      </c>
      <c r="BJ7" s="93">
        <f>'Flujo de Caja'!$I$3*44.44%</f>
        <v>46486520.64954935</v>
      </c>
      <c r="BK7" s="93">
        <f>'Flujo de Caja'!$I$3*44.44%</f>
        <v>46486520.64954935</v>
      </c>
      <c r="BL7" s="93">
        <f>'Flujo de Caja'!$I$3*44.44%</f>
        <v>46486520.64954935</v>
      </c>
      <c r="BM7" s="93">
        <f>'Flujo de Caja'!$I$3*44.44%</f>
        <v>46486520.64954935</v>
      </c>
      <c r="BN7" s="93">
        <f>'Flujo de Caja'!$I$3*44.44%</f>
        <v>46486520.64954935</v>
      </c>
      <c r="BO7" s="93">
        <f>'Flujo de Caja'!$I$3*44.44%</f>
        <v>46486520.64954935</v>
      </c>
      <c r="BP7" s="93">
        <f>'Flujo de Caja'!$I$3*44.44%</f>
        <v>46486520.64954935</v>
      </c>
      <c r="BQ7" s="93">
        <f>'Flujo de Caja'!$I$3*44.44%</f>
        <v>46486520.64954935</v>
      </c>
      <c r="BR7" s="93">
        <f>'Flujo de Caja'!$I$3*44.44%</f>
        <v>46486520.64954935</v>
      </c>
      <c r="BS7" s="93">
        <f>'Flujo de Caja'!$I$3*44.44%</f>
        <v>46486520.64954935</v>
      </c>
      <c r="BT7" s="93">
        <f>'Flujo de Caja'!$I$3*44.44%</f>
        <v>46486520.64954935</v>
      </c>
      <c r="BU7" s="93">
        <f>'Flujo de Caja'!$I$3*44.44%</f>
        <v>46486520.64954935</v>
      </c>
      <c r="BV7" s="93">
        <f>'Flujo de Caja'!$I$3*44.44%</f>
        <v>46486520.64954935</v>
      </c>
      <c r="BW7" s="93">
        <f>'Flujo de Caja'!$I$3*44.44%</f>
        <v>46486520.64954935</v>
      </c>
      <c r="BX7" s="93">
        <f>'Flujo de Caja'!$I$3*44.44%</f>
        <v>46486520.64954935</v>
      </c>
      <c r="BY7" s="93">
        <f>'Flujo de Caja'!$I$3*44.44%</f>
        <v>46486520.64954935</v>
      </c>
      <c r="BZ7" s="93">
        <f>'Flujo de Caja'!$I$3*44.44%</f>
        <v>46486520.64954935</v>
      </c>
      <c r="CA7" s="93">
        <f>'Flujo de Caja'!$I$3*44.44%</f>
        <v>46486520.64954935</v>
      </c>
      <c r="CB7" s="93">
        <f>'Flujo de Caja'!$I$3*44.44%</f>
        <v>46486520.64954935</v>
      </c>
      <c r="CC7" s="93">
        <f>'Flujo de Caja'!$I$3*44.44%</f>
        <v>46486520.64954935</v>
      </c>
      <c r="CD7" s="93">
        <f>'Flujo de Caja'!$I$3*44.44%</f>
        <v>46486520.64954935</v>
      </c>
      <c r="CE7" s="93">
        <f>'Flujo de Caja'!$I$3*44.44%</f>
        <v>46486520.64954935</v>
      </c>
      <c r="CF7" s="93">
        <f>'Flujo de Caja'!$I$3*44.44%</f>
        <v>46486520.64954935</v>
      </c>
      <c r="CG7" s="93">
        <f>'Flujo de Caja'!$I$3*44.44%</f>
        <v>46486520.64954935</v>
      </c>
      <c r="CH7" s="93">
        <f>'Flujo de Caja'!$I$3*44.44%</f>
        <v>46486520.64954935</v>
      </c>
      <c r="CI7" s="93">
        <f>'Flujo de Caja'!$I$3*44.44%</f>
        <v>46486520.64954935</v>
      </c>
      <c r="CJ7" s="93">
        <f>'Flujo de Caja'!$I$3*44.44%</f>
        <v>46486520.64954935</v>
      </c>
      <c r="CK7" s="93">
        <f>'Flujo de Caja'!$I$3*44.44%</f>
        <v>46486520.64954935</v>
      </c>
      <c r="CL7" s="93">
        <f>'Flujo de Caja'!$I$3*44.44%</f>
        <v>46486520.64954935</v>
      </c>
      <c r="CM7" s="93">
        <f>'Flujo de Caja'!$I$3*44.44%</f>
        <v>46486520.64954935</v>
      </c>
      <c r="CN7" s="93">
        <f>'Flujo de Caja'!$I$3*44.44%</f>
        <v>46486520.64954935</v>
      </c>
      <c r="CO7" s="93">
        <f>'Flujo de Caja'!$I$3*44.44%</f>
        <v>46486520.64954935</v>
      </c>
      <c r="CP7" s="93">
        <f>'Flujo de Caja'!$I$3*44.44%</f>
        <v>46486520.64954935</v>
      </c>
      <c r="CQ7" s="93">
        <f>'Flujo de Caja'!$I$3*44.44%</f>
        <v>46486520.64954935</v>
      </c>
      <c r="CR7" s="93">
        <f>'Flujo de Caja'!$I$3*44.44%</f>
        <v>46486520.64954935</v>
      </c>
      <c r="CS7" s="93">
        <f>'Flujo de Caja'!$I$3*44.44%</f>
        <v>46486520.64954935</v>
      </c>
      <c r="CT7" s="93">
        <f>'Flujo de Caja'!$I$3*44.44%</f>
        <v>46486520.64954935</v>
      </c>
      <c r="CU7" s="93">
        <f>'Flujo de Caja'!$I$3*44.44%</f>
        <v>46486520.64954935</v>
      </c>
      <c r="CV7" s="93">
        <f>'Flujo de Caja'!$I$3*44.44%</f>
        <v>46486520.64954935</v>
      </c>
      <c r="CW7" s="93">
        <f>'Flujo de Caja'!$I$3*44.44%</f>
        <v>46486520.64954935</v>
      </c>
      <c r="CX7" s="93">
        <f>'Flujo de Caja'!$I$3*44.44%</f>
        <v>46486520.64954935</v>
      </c>
      <c r="CY7" s="93">
        <f>'Flujo de Caja'!$I$3*44.44%</f>
        <v>46486520.64954935</v>
      </c>
      <c r="CZ7" s="93">
        <f>'Flujo de Caja'!$I$3*44.44%</f>
        <v>46486520.64954935</v>
      </c>
      <c r="DA7" s="93">
        <f>'Flujo de Caja'!$I$3*44.44%</f>
        <v>46486520.64954935</v>
      </c>
      <c r="DB7" s="93">
        <f>'Flujo de Caja'!$I$3*44.44%</f>
        <v>46486520.64954935</v>
      </c>
      <c r="DC7" s="93">
        <f>'Flujo de Caja'!$I$3*44.44%</f>
        <v>46486520.64954935</v>
      </c>
      <c r="DD7" s="93">
        <f>'Flujo de Caja'!$I$3*44.44%</f>
        <v>46486520.64954935</v>
      </c>
      <c r="DE7" s="93">
        <f>'Flujo de Caja'!$I$3*44.44%</f>
        <v>46486520.64954935</v>
      </c>
      <c r="DF7" s="93">
        <f>'Flujo de Caja'!$I$3*44.44%</f>
        <v>46486520.64954935</v>
      </c>
      <c r="DG7" s="93">
        <f>'Flujo de Caja'!$I$3*44.44%</f>
        <v>46486520.64954935</v>
      </c>
      <c r="DH7" s="93">
        <f>'Flujo de Caja'!$I$3*44.44%</f>
        <v>46486520.64954935</v>
      </c>
      <c r="DI7" s="93">
        <f>'Flujo de Caja'!$I$3*44.44%</f>
        <v>46486520.64954935</v>
      </c>
      <c r="DJ7" s="93">
        <f>'Flujo de Caja'!$I$3*44.44%</f>
        <v>46486520.64954935</v>
      </c>
      <c r="DK7" s="93">
        <f>'Flujo de Caja'!$I$3*44.44%</f>
        <v>46486520.64954935</v>
      </c>
      <c r="DL7" s="93">
        <f>'Flujo de Caja'!$I$3*44.44%</f>
        <v>46486520.64954935</v>
      </c>
      <c r="DM7" s="93">
        <f>'Flujo de Caja'!$I$3*44.44%</f>
        <v>46486520.64954935</v>
      </c>
      <c r="DN7" s="93">
        <f>'Flujo de Caja'!$I$3*44.44%</f>
        <v>46486520.64954935</v>
      </c>
      <c r="DO7" s="93">
        <f>'Flujo de Caja'!$I$3*44.44%</f>
        <v>46486520.64954935</v>
      </c>
      <c r="DP7" s="93">
        <f>'Flujo de Caja'!$I$3*44.44%</f>
        <v>46486520.64954935</v>
      </c>
      <c r="DQ7" s="93">
        <f>'Flujo de Caja'!$I$3*44.44%</f>
        <v>46486520.64954935</v>
      </c>
      <c r="DR7" s="93">
        <f>'Flujo de Caja'!$I$3*44.44%</f>
        <v>46486520.64954935</v>
      </c>
      <c r="DS7" s="93">
        <f>'Flujo de Caja'!$I$3*44.44%</f>
        <v>46486520.64954935</v>
      </c>
      <c r="DT7" s="93">
        <f>'Flujo de Caja'!$I$3*44.44%</f>
        <v>46486520.64954935</v>
      </c>
      <c r="DU7" s="93">
        <f>'Flujo de Caja'!$I$3*44.44%</f>
        <v>46486520.64954935</v>
      </c>
      <c r="DV7" s="93">
        <f>'Flujo de Caja'!$I$3*44.44%</f>
        <v>46486520.64954935</v>
      </c>
    </row>
    <row r="8" spans="1:126" x14ac:dyDescent="0.25">
      <c r="A8" t="s">
        <v>158</v>
      </c>
      <c r="B8" s="38">
        <v>350000000</v>
      </c>
      <c r="E8" s="92" t="s">
        <v>156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>
        <v>20000000</v>
      </c>
      <c r="Q8" s="93">
        <v>20000000</v>
      </c>
      <c r="R8" s="93">
        <v>20000000</v>
      </c>
      <c r="S8" s="93">
        <v>20000000</v>
      </c>
      <c r="T8" s="93">
        <v>20000000</v>
      </c>
      <c r="U8" s="93">
        <v>20000000</v>
      </c>
      <c r="V8" s="93">
        <v>20000000</v>
      </c>
      <c r="W8" s="93">
        <v>20000000</v>
      </c>
      <c r="X8" s="93">
        <v>20000000</v>
      </c>
      <c r="Y8" s="93">
        <v>20000000</v>
      </c>
      <c r="Z8" s="93">
        <v>20000000</v>
      </c>
      <c r="AA8" s="93">
        <v>20000000</v>
      </c>
      <c r="AB8" s="93">
        <v>20000000</v>
      </c>
      <c r="AC8" s="93">
        <v>20000000</v>
      </c>
      <c r="AD8" s="93">
        <v>20000000</v>
      </c>
      <c r="AE8" s="93">
        <v>20000000</v>
      </c>
      <c r="AF8" s="93">
        <v>20000000</v>
      </c>
      <c r="AG8" s="93">
        <v>20000000</v>
      </c>
      <c r="AH8" s="93">
        <v>20000000</v>
      </c>
      <c r="AI8" s="93">
        <v>20000000</v>
      </c>
      <c r="AJ8" s="93">
        <v>20000000</v>
      </c>
      <c r="AK8" s="93">
        <v>20000000</v>
      </c>
      <c r="AL8" s="93">
        <v>20000000</v>
      </c>
      <c r="AM8" s="93">
        <v>20000000</v>
      </c>
      <c r="AN8" s="93">
        <v>20000000</v>
      </c>
      <c r="AO8" s="93">
        <v>20000000</v>
      </c>
      <c r="AP8" s="93">
        <v>20000000</v>
      </c>
      <c r="AQ8" s="93">
        <v>20000000</v>
      </c>
      <c r="AR8" s="93">
        <v>20000000</v>
      </c>
      <c r="AS8" s="93">
        <v>20000000</v>
      </c>
      <c r="AT8" s="93">
        <v>20000000</v>
      </c>
      <c r="AU8" s="93">
        <v>20000000</v>
      </c>
      <c r="AV8" s="93">
        <v>20000000</v>
      </c>
      <c r="AW8" s="93">
        <v>20000000</v>
      </c>
      <c r="AX8" s="93">
        <v>20000000</v>
      </c>
      <c r="AY8" s="93">
        <v>20000000</v>
      </c>
      <c r="AZ8" s="93">
        <v>20000000</v>
      </c>
      <c r="BA8" s="93">
        <v>20000000</v>
      </c>
      <c r="BB8" s="93">
        <v>20000000</v>
      </c>
      <c r="BC8" s="93">
        <v>20000000</v>
      </c>
      <c r="BD8" s="93">
        <v>20000000</v>
      </c>
      <c r="BE8" s="93">
        <v>20000000</v>
      </c>
      <c r="BF8" s="93">
        <v>20000000</v>
      </c>
      <c r="BG8" s="93">
        <v>20000000</v>
      </c>
      <c r="BH8" s="93">
        <v>20000000</v>
      </c>
      <c r="BI8" s="93">
        <v>20000000</v>
      </c>
      <c r="BJ8" s="93">
        <v>20000000</v>
      </c>
      <c r="BK8" s="93">
        <v>20000000</v>
      </c>
      <c r="BL8" s="93">
        <v>20000000</v>
      </c>
      <c r="BM8" s="93">
        <v>20000000</v>
      </c>
      <c r="BN8" s="93">
        <v>20000000</v>
      </c>
      <c r="BO8" s="93">
        <v>20000000</v>
      </c>
      <c r="BP8" s="93">
        <v>20000000</v>
      </c>
      <c r="BQ8" s="93">
        <v>20000000</v>
      </c>
      <c r="BR8" s="93">
        <v>20000000</v>
      </c>
      <c r="BS8" s="93">
        <v>20000000</v>
      </c>
      <c r="BT8" s="93">
        <v>20000000</v>
      </c>
      <c r="BU8" s="93">
        <v>20000000</v>
      </c>
      <c r="BV8" s="93">
        <v>20000000</v>
      </c>
      <c r="BW8" s="93">
        <v>20000000</v>
      </c>
      <c r="BX8" s="93">
        <v>20000000</v>
      </c>
      <c r="BY8" s="93">
        <v>20000000</v>
      </c>
      <c r="BZ8" s="93">
        <v>20000000</v>
      </c>
      <c r="CA8" s="93">
        <v>20000000</v>
      </c>
      <c r="CB8" s="93">
        <v>20000000</v>
      </c>
      <c r="CC8" s="93">
        <v>20000000</v>
      </c>
      <c r="CD8" s="93">
        <v>20000000</v>
      </c>
      <c r="CE8" s="93">
        <v>20000000</v>
      </c>
      <c r="CF8" s="93">
        <v>20000000</v>
      </c>
      <c r="CG8" s="93">
        <v>20000000</v>
      </c>
      <c r="CH8" s="93">
        <v>20000000</v>
      </c>
      <c r="CI8" s="93">
        <v>20000000</v>
      </c>
      <c r="CJ8" s="93">
        <v>20000000</v>
      </c>
      <c r="CK8" s="93">
        <v>20000000</v>
      </c>
      <c r="CL8" s="93">
        <v>20000000</v>
      </c>
      <c r="CM8" s="93">
        <v>20000000</v>
      </c>
      <c r="CN8" s="93">
        <v>20000000</v>
      </c>
      <c r="CO8" s="93">
        <v>20000000</v>
      </c>
      <c r="CP8" s="93">
        <v>20000000</v>
      </c>
      <c r="CQ8" s="93">
        <v>20000000</v>
      </c>
      <c r="CR8" s="93">
        <v>20000000</v>
      </c>
      <c r="CS8" s="93">
        <v>20000000</v>
      </c>
      <c r="CT8" s="93">
        <v>20000000</v>
      </c>
      <c r="CU8" s="93">
        <v>20000000</v>
      </c>
      <c r="CV8" s="93">
        <v>20000000</v>
      </c>
      <c r="CW8" s="93">
        <v>20000000</v>
      </c>
      <c r="CX8" s="93">
        <v>20000000</v>
      </c>
      <c r="CY8" s="93">
        <v>20000000</v>
      </c>
      <c r="CZ8" s="93">
        <v>20000000</v>
      </c>
      <c r="DA8" s="93">
        <v>20000000</v>
      </c>
      <c r="DB8" s="93">
        <v>20000000</v>
      </c>
      <c r="DC8" s="93">
        <v>20000000</v>
      </c>
      <c r="DD8" s="93">
        <v>20000000</v>
      </c>
      <c r="DE8" s="93">
        <v>20000000</v>
      </c>
      <c r="DF8" s="93">
        <v>20000000</v>
      </c>
      <c r="DG8" s="93">
        <v>20000000</v>
      </c>
      <c r="DH8" s="93">
        <v>20000000</v>
      </c>
      <c r="DI8" s="93">
        <v>20000000</v>
      </c>
      <c r="DJ8" s="93">
        <v>20000000</v>
      </c>
      <c r="DK8" s="93">
        <v>20000000</v>
      </c>
      <c r="DL8" s="93">
        <v>20000000</v>
      </c>
      <c r="DM8" s="93">
        <v>20000000</v>
      </c>
      <c r="DN8" s="93">
        <v>20000000</v>
      </c>
      <c r="DO8" s="93">
        <v>20000000</v>
      </c>
      <c r="DP8" s="93">
        <v>20000000</v>
      </c>
      <c r="DQ8" s="93">
        <v>20000000</v>
      </c>
      <c r="DR8" s="93">
        <v>20000000</v>
      </c>
      <c r="DS8" s="93">
        <v>20000000</v>
      </c>
      <c r="DT8" s="93">
        <v>20000000</v>
      </c>
      <c r="DU8" s="93">
        <v>20000000</v>
      </c>
      <c r="DV8" s="93">
        <v>20000000</v>
      </c>
    </row>
    <row r="9" spans="1:126" x14ac:dyDescent="0.25">
      <c r="A9" t="s">
        <v>128</v>
      </c>
      <c r="B9" s="73">
        <f>'Flujo de Caja'!B42</f>
        <v>9.1600000000000001E-2</v>
      </c>
      <c r="C9" t="s">
        <v>129</v>
      </c>
      <c r="E9" s="90" t="s">
        <v>109</v>
      </c>
      <c r="F9" s="91"/>
      <c r="G9" s="91">
        <f>G10</f>
        <v>0</v>
      </c>
      <c r="H9" s="91">
        <f t="shared" ref="H9:BS9" si="4">H10</f>
        <v>0</v>
      </c>
      <c r="I9" s="91">
        <f t="shared" si="4"/>
        <v>0</v>
      </c>
      <c r="J9" s="91">
        <f t="shared" si="4"/>
        <v>0</v>
      </c>
      <c r="K9" s="91">
        <f t="shared" si="4"/>
        <v>0</v>
      </c>
      <c r="L9" s="91">
        <f t="shared" si="4"/>
        <v>0</v>
      </c>
      <c r="M9" s="91">
        <f t="shared" si="4"/>
        <v>0</v>
      </c>
      <c r="N9" s="91">
        <f t="shared" si="4"/>
        <v>0</v>
      </c>
      <c r="O9" s="91">
        <f t="shared" si="4"/>
        <v>0</v>
      </c>
      <c r="P9" s="91">
        <f t="shared" si="4"/>
        <v>-51471072.810000002</v>
      </c>
      <c r="Q9" s="91">
        <f t="shared" si="4"/>
        <v>-51471072.810000002</v>
      </c>
      <c r="R9" s="91">
        <f t="shared" si="4"/>
        <v>-51471072.810000002</v>
      </c>
      <c r="S9" s="91">
        <f t="shared" si="4"/>
        <v>-51471072.810000002</v>
      </c>
      <c r="T9" s="91">
        <f t="shared" si="4"/>
        <v>-51471072.810000002</v>
      </c>
      <c r="U9" s="91">
        <f t="shared" si="4"/>
        <v>-51471072.810000002</v>
      </c>
      <c r="V9" s="91">
        <f t="shared" si="4"/>
        <v>-51471072.810000002</v>
      </c>
      <c r="W9" s="91">
        <f t="shared" si="4"/>
        <v>-51471072.810000002</v>
      </c>
      <c r="X9" s="91">
        <f t="shared" si="4"/>
        <v>-51471072.810000002</v>
      </c>
      <c r="Y9" s="91">
        <f t="shared" si="4"/>
        <v>-51471072.810000002</v>
      </c>
      <c r="Z9" s="91">
        <f t="shared" si="4"/>
        <v>-51471072.810000002</v>
      </c>
      <c r="AA9" s="91">
        <f t="shared" si="4"/>
        <v>-51471072.810000002</v>
      </c>
      <c r="AB9" s="91">
        <f t="shared" si="4"/>
        <v>-51471072.810000002</v>
      </c>
      <c r="AC9" s="91">
        <f t="shared" si="4"/>
        <v>-51471072.810000002</v>
      </c>
      <c r="AD9" s="91">
        <f t="shared" si="4"/>
        <v>-51471072.810000002</v>
      </c>
      <c r="AE9" s="91">
        <f t="shared" si="4"/>
        <v>-51471072.810000002</v>
      </c>
      <c r="AF9" s="91">
        <f t="shared" si="4"/>
        <v>-51471072.810000002</v>
      </c>
      <c r="AG9" s="91">
        <f t="shared" si="4"/>
        <v>-51471072.810000002</v>
      </c>
      <c r="AH9" s="91">
        <f t="shared" si="4"/>
        <v>-51471072.810000002</v>
      </c>
      <c r="AI9" s="91">
        <f t="shared" si="4"/>
        <v>-51471072.810000002</v>
      </c>
      <c r="AJ9" s="91">
        <f t="shared" si="4"/>
        <v>-51471072.810000002</v>
      </c>
      <c r="AK9" s="91">
        <f t="shared" si="4"/>
        <v>-51471072.810000002</v>
      </c>
      <c r="AL9" s="91">
        <f t="shared" si="4"/>
        <v>-51471072.810000002</v>
      </c>
      <c r="AM9" s="91">
        <f t="shared" si="4"/>
        <v>-51471072.810000002</v>
      </c>
      <c r="AN9" s="91">
        <f t="shared" si="4"/>
        <v>-51471072.810000002</v>
      </c>
      <c r="AO9" s="91">
        <f t="shared" si="4"/>
        <v>-51471072.810000002</v>
      </c>
      <c r="AP9" s="91">
        <f t="shared" si="4"/>
        <v>-51471072.810000002</v>
      </c>
      <c r="AQ9" s="91">
        <f t="shared" si="4"/>
        <v>-51471072.810000002</v>
      </c>
      <c r="AR9" s="91">
        <f t="shared" si="4"/>
        <v>-51471072.810000002</v>
      </c>
      <c r="AS9" s="91">
        <f t="shared" si="4"/>
        <v>-51471072.810000002</v>
      </c>
      <c r="AT9" s="91">
        <f t="shared" si="4"/>
        <v>-51471072.810000002</v>
      </c>
      <c r="AU9" s="91">
        <f t="shared" si="4"/>
        <v>-51471072.810000002</v>
      </c>
      <c r="AV9" s="91">
        <f t="shared" si="4"/>
        <v>-51471072.810000002</v>
      </c>
      <c r="AW9" s="91">
        <f t="shared" si="4"/>
        <v>-51471072.810000002</v>
      </c>
      <c r="AX9" s="91">
        <f t="shared" si="4"/>
        <v>-51471072.810000002</v>
      </c>
      <c r="AY9" s="91">
        <f t="shared" si="4"/>
        <v>-51471072.810000002</v>
      </c>
      <c r="AZ9" s="91">
        <f t="shared" si="4"/>
        <v>-51471072.810000002</v>
      </c>
      <c r="BA9" s="91">
        <f t="shared" si="4"/>
        <v>-51471072.810000002</v>
      </c>
      <c r="BB9" s="91">
        <f t="shared" si="4"/>
        <v>-51471072.810000002</v>
      </c>
      <c r="BC9" s="91">
        <f t="shared" si="4"/>
        <v>-51471072.810000002</v>
      </c>
      <c r="BD9" s="91">
        <f t="shared" si="4"/>
        <v>-51471072.810000002</v>
      </c>
      <c r="BE9" s="91">
        <f t="shared" si="4"/>
        <v>-51471072.810000002</v>
      </c>
      <c r="BF9" s="91">
        <f t="shared" si="4"/>
        <v>-51471072.810000002</v>
      </c>
      <c r="BG9" s="91">
        <f t="shared" si="4"/>
        <v>-51471072.810000002</v>
      </c>
      <c r="BH9" s="91">
        <f t="shared" si="4"/>
        <v>-51471072.810000002</v>
      </c>
      <c r="BI9" s="91">
        <f t="shared" si="4"/>
        <v>-51471072.810000002</v>
      </c>
      <c r="BJ9" s="91">
        <f t="shared" si="4"/>
        <v>-51471072.810000002</v>
      </c>
      <c r="BK9" s="91">
        <f t="shared" si="4"/>
        <v>-51471072.810000002</v>
      </c>
      <c r="BL9" s="91">
        <f t="shared" si="4"/>
        <v>-51471072.810000002</v>
      </c>
      <c r="BM9" s="91">
        <f t="shared" si="4"/>
        <v>-51471072.810000002</v>
      </c>
      <c r="BN9" s="91">
        <f t="shared" si="4"/>
        <v>-51471072.810000002</v>
      </c>
      <c r="BO9" s="91">
        <f t="shared" si="4"/>
        <v>-51471072.810000002</v>
      </c>
      <c r="BP9" s="91">
        <f t="shared" si="4"/>
        <v>-51471072.810000002</v>
      </c>
      <c r="BQ9" s="91">
        <f t="shared" si="4"/>
        <v>-51471072.810000002</v>
      </c>
      <c r="BR9" s="91">
        <f t="shared" si="4"/>
        <v>-51471072.810000002</v>
      </c>
      <c r="BS9" s="91">
        <f t="shared" si="4"/>
        <v>-51471072.810000002</v>
      </c>
      <c r="BT9" s="91">
        <f t="shared" ref="BT9:DV9" si="5">BT10</f>
        <v>-51471072.810000002</v>
      </c>
      <c r="BU9" s="91">
        <f t="shared" si="5"/>
        <v>-51471072.810000002</v>
      </c>
      <c r="BV9" s="91">
        <f t="shared" si="5"/>
        <v>-51471072.810000002</v>
      </c>
      <c r="BW9" s="91">
        <f t="shared" si="5"/>
        <v>-51471072.810000002</v>
      </c>
      <c r="BX9" s="91">
        <f t="shared" si="5"/>
        <v>-51471072.810000002</v>
      </c>
      <c r="BY9" s="91">
        <f t="shared" si="5"/>
        <v>-51471072.810000002</v>
      </c>
      <c r="BZ9" s="91">
        <f t="shared" si="5"/>
        <v>-51471072.810000002</v>
      </c>
      <c r="CA9" s="91">
        <f t="shared" si="5"/>
        <v>-51471072.810000002</v>
      </c>
      <c r="CB9" s="91">
        <f t="shared" si="5"/>
        <v>-51471072.810000002</v>
      </c>
      <c r="CC9" s="91">
        <f t="shared" si="5"/>
        <v>-51471072.810000002</v>
      </c>
      <c r="CD9" s="91">
        <f t="shared" si="5"/>
        <v>-51471072.810000002</v>
      </c>
      <c r="CE9" s="91">
        <f t="shared" si="5"/>
        <v>-51471072.810000002</v>
      </c>
      <c r="CF9" s="91">
        <f t="shared" si="5"/>
        <v>-51471072.810000002</v>
      </c>
      <c r="CG9" s="91">
        <f t="shared" si="5"/>
        <v>-51471072.810000002</v>
      </c>
      <c r="CH9" s="91">
        <f t="shared" si="5"/>
        <v>-51471072.810000002</v>
      </c>
      <c r="CI9" s="91">
        <f t="shared" si="5"/>
        <v>-51471072.810000002</v>
      </c>
      <c r="CJ9" s="91">
        <f t="shared" si="5"/>
        <v>-51471072.810000002</v>
      </c>
      <c r="CK9" s="91">
        <f t="shared" si="5"/>
        <v>-51471072.810000002</v>
      </c>
      <c r="CL9" s="91">
        <f t="shared" si="5"/>
        <v>-51471072.810000002</v>
      </c>
      <c r="CM9" s="91">
        <f t="shared" si="5"/>
        <v>-51471072.810000002</v>
      </c>
      <c r="CN9" s="91">
        <f t="shared" si="5"/>
        <v>-51471072.810000002</v>
      </c>
      <c r="CO9" s="91">
        <f t="shared" si="5"/>
        <v>-51471072.810000002</v>
      </c>
      <c r="CP9" s="91">
        <f t="shared" si="5"/>
        <v>-51471072.810000002</v>
      </c>
      <c r="CQ9" s="91">
        <f t="shared" si="5"/>
        <v>-51471072.810000002</v>
      </c>
      <c r="CR9" s="91">
        <f t="shared" si="5"/>
        <v>-51471072.810000002</v>
      </c>
      <c r="CS9" s="91">
        <f t="shared" si="5"/>
        <v>-51471072.810000002</v>
      </c>
      <c r="CT9" s="91">
        <f t="shared" si="5"/>
        <v>-51471072.810000002</v>
      </c>
      <c r="CU9" s="91">
        <f t="shared" si="5"/>
        <v>-51471072.810000002</v>
      </c>
      <c r="CV9" s="91">
        <f t="shared" si="5"/>
        <v>-51471072.810000002</v>
      </c>
      <c r="CW9" s="91">
        <f t="shared" si="5"/>
        <v>-51471072.810000002</v>
      </c>
      <c r="CX9" s="91">
        <f t="shared" si="5"/>
        <v>-51471072.810000002</v>
      </c>
      <c r="CY9" s="91">
        <f t="shared" si="5"/>
        <v>-51471072.810000002</v>
      </c>
      <c r="CZ9" s="91">
        <f t="shared" si="5"/>
        <v>-51471072.810000002</v>
      </c>
      <c r="DA9" s="91">
        <f t="shared" si="5"/>
        <v>-51471072.810000002</v>
      </c>
      <c r="DB9" s="91">
        <f t="shared" si="5"/>
        <v>-51471072.810000002</v>
      </c>
      <c r="DC9" s="91">
        <f t="shared" si="5"/>
        <v>-51471072.810000002</v>
      </c>
      <c r="DD9" s="91">
        <f t="shared" si="5"/>
        <v>-51471072.810000002</v>
      </c>
      <c r="DE9" s="91">
        <f t="shared" si="5"/>
        <v>-51471072.810000002</v>
      </c>
      <c r="DF9" s="91">
        <f t="shared" si="5"/>
        <v>-51471072.810000002</v>
      </c>
      <c r="DG9" s="91">
        <f t="shared" si="5"/>
        <v>-51471072.810000002</v>
      </c>
      <c r="DH9" s="91">
        <f t="shared" si="5"/>
        <v>-51471072.810000002</v>
      </c>
      <c r="DI9" s="91">
        <f t="shared" si="5"/>
        <v>-51471072.810000002</v>
      </c>
      <c r="DJ9" s="91">
        <f t="shared" si="5"/>
        <v>-51471072.810000002</v>
      </c>
      <c r="DK9" s="91">
        <f t="shared" si="5"/>
        <v>-51471072.810000002</v>
      </c>
      <c r="DL9" s="91">
        <f t="shared" si="5"/>
        <v>-51471072.810000002</v>
      </c>
      <c r="DM9" s="91">
        <f t="shared" si="5"/>
        <v>-51471072.810000002</v>
      </c>
      <c r="DN9" s="91">
        <f t="shared" si="5"/>
        <v>-51471072.810000002</v>
      </c>
      <c r="DO9" s="91">
        <f t="shared" si="5"/>
        <v>-51471072.810000002</v>
      </c>
      <c r="DP9" s="91">
        <f t="shared" si="5"/>
        <v>-51471072.810000002</v>
      </c>
      <c r="DQ9" s="91">
        <f t="shared" si="5"/>
        <v>-51471072.810000002</v>
      </c>
      <c r="DR9" s="91">
        <f t="shared" si="5"/>
        <v>-51471072.810000002</v>
      </c>
      <c r="DS9" s="91">
        <f t="shared" si="5"/>
        <v>-51471072.810000002</v>
      </c>
      <c r="DT9" s="91">
        <f t="shared" si="5"/>
        <v>-51471072.810000002</v>
      </c>
      <c r="DU9" s="91">
        <f t="shared" si="5"/>
        <v>-51471072.810000002</v>
      </c>
      <c r="DV9" s="91">
        <f t="shared" si="5"/>
        <v>-401471072.81</v>
      </c>
    </row>
    <row r="10" spans="1:126" x14ac:dyDescent="0.25">
      <c r="A10" t="s">
        <v>128</v>
      </c>
      <c r="B10" s="73">
        <f>'Flujo de Caja'!B43</f>
        <v>7.3304462918302171E-3</v>
      </c>
      <c r="C10" t="s">
        <v>130</v>
      </c>
      <c r="E10" s="92" t="s">
        <v>157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>
        <f t="shared" ref="P10:AU10" si="6">-$B$7</f>
        <v>-51471072.810000002</v>
      </c>
      <c r="Q10" s="93">
        <f t="shared" si="6"/>
        <v>-51471072.810000002</v>
      </c>
      <c r="R10" s="93">
        <f t="shared" si="6"/>
        <v>-51471072.810000002</v>
      </c>
      <c r="S10" s="93">
        <f t="shared" si="6"/>
        <v>-51471072.810000002</v>
      </c>
      <c r="T10" s="93">
        <f t="shared" si="6"/>
        <v>-51471072.810000002</v>
      </c>
      <c r="U10" s="93">
        <f t="shared" si="6"/>
        <v>-51471072.810000002</v>
      </c>
      <c r="V10" s="93">
        <f t="shared" si="6"/>
        <v>-51471072.810000002</v>
      </c>
      <c r="W10" s="93">
        <f t="shared" si="6"/>
        <v>-51471072.810000002</v>
      </c>
      <c r="X10" s="93">
        <f t="shared" si="6"/>
        <v>-51471072.810000002</v>
      </c>
      <c r="Y10" s="93">
        <f t="shared" si="6"/>
        <v>-51471072.810000002</v>
      </c>
      <c r="Z10" s="93">
        <f t="shared" si="6"/>
        <v>-51471072.810000002</v>
      </c>
      <c r="AA10" s="93">
        <f t="shared" si="6"/>
        <v>-51471072.810000002</v>
      </c>
      <c r="AB10" s="93">
        <f t="shared" si="6"/>
        <v>-51471072.810000002</v>
      </c>
      <c r="AC10" s="93">
        <f t="shared" si="6"/>
        <v>-51471072.810000002</v>
      </c>
      <c r="AD10" s="93">
        <f t="shared" si="6"/>
        <v>-51471072.810000002</v>
      </c>
      <c r="AE10" s="93">
        <f t="shared" si="6"/>
        <v>-51471072.810000002</v>
      </c>
      <c r="AF10" s="93">
        <f t="shared" si="6"/>
        <v>-51471072.810000002</v>
      </c>
      <c r="AG10" s="93">
        <f t="shared" si="6"/>
        <v>-51471072.810000002</v>
      </c>
      <c r="AH10" s="93">
        <f t="shared" si="6"/>
        <v>-51471072.810000002</v>
      </c>
      <c r="AI10" s="93">
        <f t="shared" si="6"/>
        <v>-51471072.810000002</v>
      </c>
      <c r="AJ10" s="93">
        <f t="shared" si="6"/>
        <v>-51471072.810000002</v>
      </c>
      <c r="AK10" s="93">
        <f t="shared" si="6"/>
        <v>-51471072.810000002</v>
      </c>
      <c r="AL10" s="93">
        <f t="shared" si="6"/>
        <v>-51471072.810000002</v>
      </c>
      <c r="AM10" s="93">
        <f t="shared" si="6"/>
        <v>-51471072.810000002</v>
      </c>
      <c r="AN10" s="93">
        <f t="shared" si="6"/>
        <v>-51471072.810000002</v>
      </c>
      <c r="AO10" s="93">
        <f t="shared" si="6"/>
        <v>-51471072.810000002</v>
      </c>
      <c r="AP10" s="93">
        <f t="shared" si="6"/>
        <v>-51471072.810000002</v>
      </c>
      <c r="AQ10" s="93">
        <f t="shared" si="6"/>
        <v>-51471072.810000002</v>
      </c>
      <c r="AR10" s="93">
        <f t="shared" si="6"/>
        <v>-51471072.810000002</v>
      </c>
      <c r="AS10" s="93">
        <f t="shared" si="6"/>
        <v>-51471072.810000002</v>
      </c>
      <c r="AT10" s="93">
        <f t="shared" si="6"/>
        <v>-51471072.810000002</v>
      </c>
      <c r="AU10" s="93">
        <f t="shared" si="6"/>
        <v>-51471072.810000002</v>
      </c>
      <c r="AV10" s="93">
        <f t="shared" ref="AV10:CA10" si="7">-$B$7</f>
        <v>-51471072.810000002</v>
      </c>
      <c r="AW10" s="93">
        <f t="shared" si="7"/>
        <v>-51471072.810000002</v>
      </c>
      <c r="AX10" s="93">
        <f t="shared" si="7"/>
        <v>-51471072.810000002</v>
      </c>
      <c r="AY10" s="93">
        <f t="shared" si="7"/>
        <v>-51471072.810000002</v>
      </c>
      <c r="AZ10" s="93">
        <f t="shared" si="7"/>
        <v>-51471072.810000002</v>
      </c>
      <c r="BA10" s="93">
        <f t="shared" si="7"/>
        <v>-51471072.810000002</v>
      </c>
      <c r="BB10" s="93">
        <f t="shared" si="7"/>
        <v>-51471072.810000002</v>
      </c>
      <c r="BC10" s="93">
        <f t="shared" si="7"/>
        <v>-51471072.810000002</v>
      </c>
      <c r="BD10" s="93">
        <f t="shared" si="7"/>
        <v>-51471072.810000002</v>
      </c>
      <c r="BE10" s="93">
        <f t="shared" si="7"/>
        <v>-51471072.810000002</v>
      </c>
      <c r="BF10" s="93">
        <f t="shared" si="7"/>
        <v>-51471072.810000002</v>
      </c>
      <c r="BG10" s="93">
        <f t="shared" si="7"/>
        <v>-51471072.810000002</v>
      </c>
      <c r="BH10" s="93">
        <f t="shared" si="7"/>
        <v>-51471072.810000002</v>
      </c>
      <c r="BI10" s="93">
        <f t="shared" si="7"/>
        <v>-51471072.810000002</v>
      </c>
      <c r="BJ10" s="93">
        <f t="shared" si="7"/>
        <v>-51471072.810000002</v>
      </c>
      <c r="BK10" s="93">
        <f t="shared" si="7"/>
        <v>-51471072.810000002</v>
      </c>
      <c r="BL10" s="93">
        <f t="shared" si="7"/>
        <v>-51471072.810000002</v>
      </c>
      <c r="BM10" s="93">
        <f t="shared" si="7"/>
        <v>-51471072.810000002</v>
      </c>
      <c r="BN10" s="93">
        <f t="shared" si="7"/>
        <v>-51471072.810000002</v>
      </c>
      <c r="BO10" s="93">
        <f t="shared" si="7"/>
        <v>-51471072.810000002</v>
      </c>
      <c r="BP10" s="93">
        <f t="shared" si="7"/>
        <v>-51471072.810000002</v>
      </c>
      <c r="BQ10" s="93">
        <f t="shared" si="7"/>
        <v>-51471072.810000002</v>
      </c>
      <c r="BR10" s="93">
        <f t="shared" si="7"/>
        <v>-51471072.810000002</v>
      </c>
      <c r="BS10" s="93">
        <f t="shared" si="7"/>
        <v>-51471072.810000002</v>
      </c>
      <c r="BT10" s="93">
        <f t="shared" si="7"/>
        <v>-51471072.810000002</v>
      </c>
      <c r="BU10" s="93">
        <f t="shared" si="7"/>
        <v>-51471072.810000002</v>
      </c>
      <c r="BV10" s="93">
        <f t="shared" si="7"/>
        <v>-51471072.810000002</v>
      </c>
      <c r="BW10" s="93">
        <f t="shared" si="7"/>
        <v>-51471072.810000002</v>
      </c>
      <c r="BX10" s="93">
        <f t="shared" si="7"/>
        <v>-51471072.810000002</v>
      </c>
      <c r="BY10" s="93">
        <f t="shared" si="7"/>
        <v>-51471072.810000002</v>
      </c>
      <c r="BZ10" s="93">
        <f t="shared" si="7"/>
        <v>-51471072.810000002</v>
      </c>
      <c r="CA10" s="93">
        <f t="shared" si="7"/>
        <v>-51471072.810000002</v>
      </c>
      <c r="CB10" s="93">
        <f t="shared" ref="CB10:DG10" si="8">-$B$7</f>
        <v>-51471072.810000002</v>
      </c>
      <c r="CC10" s="93">
        <f t="shared" si="8"/>
        <v>-51471072.810000002</v>
      </c>
      <c r="CD10" s="93">
        <f t="shared" si="8"/>
        <v>-51471072.810000002</v>
      </c>
      <c r="CE10" s="93">
        <f t="shared" si="8"/>
        <v>-51471072.810000002</v>
      </c>
      <c r="CF10" s="93">
        <f t="shared" si="8"/>
        <v>-51471072.810000002</v>
      </c>
      <c r="CG10" s="93">
        <f t="shared" si="8"/>
        <v>-51471072.810000002</v>
      </c>
      <c r="CH10" s="93">
        <f t="shared" si="8"/>
        <v>-51471072.810000002</v>
      </c>
      <c r="CI10" s="93">
        <f t="shared" si="8"/>
        <v>-51471072.810000002</v>
      </c>
      <c r="CJ10" s="93">
        <f t="shared" si="8"/>
        <v>-51471072.810000002</v>
      </c>
      <c r="CK10" s="93">
        <f t="shared" si="8"/>
        <v>-51471072.810000002</v>
      </c>
      <c r="CL10" s="93">
        <f t="shared" si="8"/>
        <v>-51471072.810000002</v>
      </c>
      <c r="CM10" s="93">
        <f t="shared" si="8"/>
        <v>-51471072.810000002</v>
      </c>
      <c r="CN10" s="93">
        <f t="shared" si="8"/>
        <v>-51471072.810000002</v>
      </c>
      <c r="CO10" s="93">
        <f t="shared" si="8"/>
        <v>-51471072.810000002</v>
      </c>
      <c r="CP10" s="93">
        <f t="shared" si="8"/>
        <v>-51471072.810000002</v>
      </c>
      <c r="CQ10" s="93">
        <f t="shared" si="8"/>
        <v>-51471072.810000002</v>
      </c>
      <c r="CR10" s="93">
        <f t="shared" si="8"/>
        <v>-51471072.810000002</v>
      </c>
      <c r="CS10" s="93">
        <f t="shared" si="8"/>
        <v>-51471072.810000002</v>
      </c>
      <c r="CT10" s="93">
        <f t="shared" si="8"/>
        <v>-51471072.810000002</v>
      </c>
      <c r="CU10" s="93">
        <f t="shared" si="8"/>
        <v>-51471072.810000002</v>
      </c>
      <c r="CV10" s="93">
        <f t="shared" si="8"/>
        <v>-51471072.810000002</v>
      </c>
      <c r="CW10" s="93">
        <f t="shared" si="8"/>
        <v>-51471072.810000002</v>
      </c>
      <c r="CX10" s="93">
        <f t="shared" si="8"/>
        <v>-51471072.810000002</v>
      </c>
      <c r="CY10" s="93">
        <f t="shared" si="8"/>
        <v>-51471072.810000002</v>
      </c>
      <c r="CZ10" s="93">
        <f t="shared" si="8"/>
        <v>-51471072.810000002</v>
      </c>
      <c r="DA10" s="93">
        <f t="shared" si="8"/>
        <v>-51471072.810000002</v>
      </c>
      <c r="DB10" s="93">
        <f t="shared" si="8"/>
        <v>-51471072.810000002</v>
      </c>
      <c r="DC10" s="93">
        <f t="shared" si="8"/>
        <v>-51471072.810000002</v>
      </c>
      <c r="DD10" s="93">
        <f t="shared" si="8"/>
        <v>-51471072.810000002</v>
      </c>
      <c r="DE10" s="93">
        <f t="shared" si="8"/>
        <v>-51471072.810000002</v>
      </c>
      <c r="DF10" s="93">
        <f t="shared" si="8"/>
        <v>-51471072.810000002</v>
      </c>
      <c r="DG10" s="93">
        <f t="shared" si="8"/>
        <v>-51471072.810000002</v>
      </c>
      <c r="DH10" s="93">
        <f t="shared" ref="DH10:DU10" si="9">-$B$7</f>
        <v>-51471072.810000002</v>
      </c>
      <c r="DI10" s="93">
        <f t="shared" si="9"/>
        <v>-51471072.810000002</v>
      </c>
      <c r="DJ10" s="93">
        <f t="shared" si="9"/>
        <v>-51471072.810000002</v>
      </c>
      <c r="DK10" s="93">
        <f t="shared" si="9"/>
        <v>-51471072.810000002</v>
      </c>
      <c r="DL10" s="93">
        <f t="shared" si="9"/>
        <v>-51471072.810000002</v>
      </c>
      <c r="DM10" s="93">
        <f t="shared" si="9"/>
        <v>-51471072.810000002</v>
      </c>
      <c r="DN10" s="93">
        <f t="shared" si="9"/>
        <v>-51471072.810000002</v>
      </c>
      <c r="DO10" s="93">
        <f t="shared" si="9"/>
        <v>-51471072.810000002</v>
      </c>
      <c r="DP10" s="93">
        <f t="shared" si="9"/>
        <v>-51471072.810000002</v>
      </c>
      <c r="DQ10" s="93">
        <f t="shared" si="9"/>
        <v>-51471072.810000002</v>
      </c>
      <c r="DR10" s="93">
        <f t="shared" si="9"/>
        <v>-51471072.810000002</v>
      </c>
      <c r="DS10" s="93">
        <f t="shared" si="9"/>
        <v>-51471072.810000002</v>
      </c>
      <c r="DT10" s="93">
        <f t="shared" si="9"/>
        <v>-51471072.810000002</v>
      </c>
      <c r="DU10" s="93">
        <f t="shared" si="9"/>
        <v>-51471072.810000002</v>
      </c>
      <c r="DV10" s="93">
        <f>-$B$7-B8</f>
        <v>-401471072.81</v>
      </c>
    </row>
    <row r="11" spans="1:126" x14ac:dyDescent="0.25">
      <c r="E11" s="88" t="s">
        <v>159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8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>
        <f>B5+B8+1000000000</f>
        <v>4350000000</v>
      </c>
    </row>
    <row r="12" spans="1:126" x14ac:dyDescent="0.25"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</row>
    <row r="13" spans="1:126" x14ac:dyDescent="0.25">
      <c r="E13" t="s">
        <v>160</v>
      </c>
      <c r="F13" s="72">
        <f>F3+F4+F11</f>
        <v>-1000000000</v>
      </c>
      <c r="G13" s="72">
        <f t="shared" ref="G13:BR13" si="10">G3+G4+G11</f>
        <v>0</v>
      </c>
      <c r="H13" s="72">
        <f t="shared" si="10"/>
        <v>0</v>
      </c>
      <c r="I13" s="72">
        <f t="shared" si="10"/>
        <v>0</v>
      </c>
      <c r="J13" s="72">
        <f t="shared" si="10"/>
        <v>0</v>
      </c>
      <c r="K13" s="72">
        <f t="shared" si="10"/>
        <v>0</v>
      </c>
      <c r="L13" s="72">
        <f t="shared" si="10"/>
        <v>0</v>
      </c>
      <c r="M13" s="72">
        <f t="shared" si="10"/>
        <v>0</v>
      </c>
      <c r="N13" s="72">
        <f t="shared" si="10"/>
        <v>0</v>
      </c>
      <c r="O13" s="72">
        <f t="shared" si="10"/>
        <v>0</v>
      </c>
      <c r="P13" s="72">
        <f t="shared" si="10"/>
        <v>-31471072.810000002</v>
      </c>
      <c r="Q13" s="72">
        <f t="shared" si="10"/>
        <v>-31471072.810000002</v>
      </c>
      <c r="R13" s="72">
        <f t="shared" si="10"/>
        <v>-1151471072.8099999</v>
      </c>
      <c r="S13" s="72">
        <f t="shared" si="10"/>
        <v>15015447.839549348</v>
      </c>
      <c r="T13" s="72">
        <f t="shared" si="10"/>
        <v>15015447.839549348</v>
      </c>
      <c r="U13" s="72">
        <f t="shared" si="10"/>
        <v>15015447.839549348</v>
      </c>
      <c r="V13" s="72">
        <f t="shared" si="10"/>
        <v>15015447.839549348</v>
      </c>
      <c r="W13" s="72">
        <f t="shared" si="10"/>
        <v>15015447.839549348</v>
      </c>
      <c r="X13" s="72">
        <f t="shared" si="10"/>
        <v>15015447.839549348</v>
      </c>
      <c r="Y13" s="72">
        <f t="shared" si="10"/>
        <v>15015447.839549348</v>
      </c>
      <c r="Z13" s="72">
        <f t="shared" si="10"/>
        <v>15015447.839549348</v>
      </c>
      <c r="AA13" s="72">
        <f t="shared" si="10"/>
        <v>15015447.839549348</v>
      </c>
      <c r="AB13" s="72">
        <f t="shared" si="10"/>
        <v>15015447.839549348</v>
      </c>
      <c r="AC13" s="72">
        <f t="shared" si="10"/>
        <v>15015447.839549348</v>
      </c>
      <c r="AD13" s="72">
        <f t="shared" si="10"/>
        <v>-1044984552.1604507</v>
      </c>
      <c r="AE13" s="72">
        <f t="shared" si="10"/>
        <v>15015447.839549348</v>
      </c>
      <c r="AF13" s="72">
        <f t="shared" si="10"/>
        <v>15015447.839549348</v>
      </c>
      <c r="AG13" s="72">
        <f t="shared" si="10"/>
        <v>15015447.839549348</v>
      </c>
      <c r="AH13" s="72">
        <f t="shared" si="10"/>
        <v>15015447.839549348</v>
      </c>
      <c r="AI13" s="72">
        <f t="shared" si="10"/>
        <v>15015447.839549348</v>
      </c>
      <c r="AJ13" s="72">
        <f t="shared" si="10"/>
        <v>15015447.839549348</v>
      </c>
      <c r="AK13" s="72">
        <f t="shared" si="10"/>
        <v>15015447.839549348</v>
      </c>
      <c r="AL13" s="72">
        <f t="shared" si="10"/>
        <v>15015447.839549348</v>
      </c>
      <c r="AM13" s="72">
        <f t="shared" si="10"/>
        <v>15015447.839549348</v>
      </c>
      <c r="AN13" s="72">
        <f t="shared" si="10"/>
        <v>15015447.839549348</v>
      </c>
      <c r="AO13" s="72">
        <f t="shared" si="10"/>
        <v>15015447.839549348</v>
      </c>
      <c r="AP13" s="72">
        <f t="shared" si="10"/>
        <v>15015447.839549348</v>
      </c>
      <c r="AQ13" s="72">
        <f t="shared" si="10"/>
        <v>15015447.839549348</v>
      </c>
      <c r="AR13" s="72">
        <f t="shared" si="10"/>
        <v>15015447.839549348</v>
      </c>
      <c r="AS13" s="72">
        <f t="shared" si="10"/>
        <v>15015447.839549348</v>
      </c>
      <c r="AT13" s="72">
        <f t="shared" si="10"/>
        <v>15015447.839549348</v>
      </c>
      <c r="AU13" s="72">
        <f t="shared" si="10"/>
        <v>15015447.839549348</v>
      </c>
      <c r="AV13" s="72">
        <f t="shared" si="10"/>
        <v>15015447.839549348</v>
      </c>
      <c r="AW13" s="72">
        <f t="shared" si="10"/>
        <v>15015447.839549348</v>
      </c>
      <c r="AX13" s="72">
        <f t="shared" si="10"/>
        <v>15015447.839549348</v>
      </c>
      <c r="AY13" s="72">
        <f t="shared" si="10"/>
        <v>15015447.839549348</v>
      </c>
      <c r="AZ13" s="72">
        <f t="shared" si="10"/>
        <v>15015447.839549348</v>
      </c>
      <c r="BA13" s="72">
        <f t="shared" si="10"/>
        <v>15015447.839549348</v>
      </c>
      <c r="BB13" s="72">
        <f t="shared" si="10"/>
        <v>15015447.839549348</v>
      </c>
      <c r="BC13" s="72">
        <f t="shared" si="10"/>
        <v>15015447.839549348</v>
      </c>
      <c r="BD13" s="72">
        <f t="shared" si="10"/>
        <v>15015447.839549348</v>
      </c>
      <c r="BE13" s="72">
        <f t="shared" si="10"/>
        <v>15015447.839549348</v>
      </c>
      <c r="BF13" s="72">
        <f t="shared" si="10"/>
        <v>15015447.839549348</v>
      </c>
      <c r="BG13" s="72">
        <f t="shared" si="10"/>
        <v>15015447.839549348</v>
      </c>
      <c r="BH13" s="72">
        <f t="shared" si="10"/>
        <v>15015447.839549348</v>
      </c>
      <c r="BI13" s="72">
        <f t="shared" si="10"/>
        <v>15015447.839549348</v>
      </c>
      <c r="BJ13" s="72">
        <f t="shared" si="10"/>
        <v>15015447.839549348</v>
      </c>
      <c r="BK13" s="72">
        <f t="shared" si="10"/>
        <v>15015447.839549348</v>
      </c>
      <c r="BL13" s="72">
        <f t="shared" si="10"/>
        <v>15015447.839549348</v>
      </c>
      <c r="BM13" s="72">
        <f t="shared" si="10"/>
        <v>15015447.839549348</v>
      </c>
      <c r="BN13" s="72">
        <f t="shared" si="10"/>
        <v>15015447.839549348</v>
      </c>
      <c r="BO13" s="72">
        <f t="shared" si="10"/>
        <v>15015447.839549348</v>
      </c>
      <c r="BP13" s="72">
        <f t="shared" si="10"/>
        <v>15015447.839549348</v>
      </c>
      <c r="BQ13" s="72">
        <f t="shared" si="10"/>
        <v>15015447.839549348</v>
      </c>
      <c r="BR13" s="72">
        <f t="shared" si="10"/>
        <v>15015447.839549348</v>
      </c>
      <c r="BS13" s="72">
        <f t="shared" ref="BS13:DV13" si="11">BS3+BS4+BS11</f>
        <v>15015447.839549348</v>
      </c>
      <c r="BT13" s="72">
        <f t="shared" si="11"/>
        <v>15015447.839549348</v>
      </c>
      <c r="BU13" s="72">
        <f t="shared" si="11"/>
        <v>15015447.839549348</v>
      </c>
      <c r="BV13" s="72">
        <f t="shared" si="11"/>
        <v>15015447.839549348</v>
      </c>
      <c r="BW13" s="72">
        <f t="shared" si="11"/>
        <v>15015447.839549348</v>
      </c>
      <c r="BX13" s="72">
        <f t="shared" si="11"/>
        <v>15015447.839549348</v>
      </c>
      <c r="BY13" s="72">
        <f t="shared" si="11"/>
        <v>15015447.839549348</v>
      </c>
      <c r="BZ13" s="72">
        <f t="shared" si="11"/>
        <v>15015447.839549348</v>
      </c>
      <c r="CA13" s="72">
        <f t="shared" si="11"/>
        <v>15015447.839549348</v>
      </c>
      <c r="CB13" s="72">
        <f t="shared" si="11"/>
        <v>15015447.839549348</v>
      </c>
      <c r="CC13" s="72">
        <f t="shared" si="11"/>
        <v>15015447.839549348</v>
      </c>
      <c r="CD13" s="72">
        <f t="shared" si="11"/>
        <v>15015447.839549348</v>
      </c>
      <c r="CE13" s="72">
        <f t="shared" si="11"/>
        <v>15015447.839549348</v>
      </c>
      <c r="CF13" s="72">
        <f t="shared" si="11"/>
        <v>15015447.839549348</v>
      </c>
      <c r="CG13" s="72">
        <f t="shared" si="11"/>
        <v>15015447.839549348</v>
      </c>
      <c r="CH13" s="72">
        <f t="shared" si="11"/>
        <v>15015447.839549348</v>
      </c>
      <c r="CI13" s="72">
        <f t="shared" si="11"/>
        <v>15015447.839549348</v>
      </c>
      <c r="CJ13" s="72">
        <f t="shared" si="11"/>
        <v>15015447.839549348</v>
      </c>
      <c r="CK13" s="72">
        <f t="shared" si="11"/>
        <v>15015447.839549348</v>
      </c>
      <c r="CL13" s="72">
        <f t="shared" si="11"/>
        <v>15015447.839549348</v>
      </c>
      <c r="CM13" s="72">
        <f t="shared" si="11"/>
        <v>15015447.839549348</v>
      </c>
      <c r="CN13" s="72">
        <f t="shared" si="11"/>
        <v>15015447.839549348</v>
      </c>
      <c r="CO13" s="72">
        <f t="shared" si="11"/>
        <v>15015447.839549348</v>
      </c>
      <c r="CP13" s="72">
        <f t="shared" si="11"/>
        <v>15015447.839549348</v>
      </c>
      <c r="CQ13" s="72">
        <f t="shared" si="11"/>
        <v>15015447.839549348</v>
      </c>
      <c r="CR13" s="72">
        <f t="shared" si="11"/>
        <v>15015447.839549348</v>
      </c>
      <c r="CS13" s="72">
        <f t="shared" si="11"/>
        <v>15015447.839549348</v>
      </c>
      <c r="CT13" s="72">
        <f t="shared" si="11"/>
        <v>15015447.839549348</v>
      </c>
      <c r="CU13" s="72">
        <f t="shared" si="11"/>
        <v>15015447.839549348</v>
      </c>
      <c r="CV13" s="72">
        <f t="shared" si="11"/>
        <v>15015447.839549348</v>
      </c>
      <c r="CW13" s="72">
        <f t="shared" si="11"/>
        <v>15015447.839549348</v>
      </c>
      <c r="CX13" s="72">
        <f t="shared" si="11"/>
        <v>15015447.839549348</v>
      </c>
      <c r="CY13" s="72">
        <f t="shared" si="11"/>
        <v>15015447.839549348</v>
      </c>
      <c r="CZ13" s="72">
        <f t="shared" si="11"/>
        <v>15015447.839549348</v>
      </c>
      <c r="DA13" s="72">
        <f t="shared" si="11"/>
        <v>15015447.839549348</v>
      </c>
      <c r="DB13" s="72">
        <f t="shared" si="11"/>
        <v>15015447.839549348</v>
      </c>
      <c r="DC13" s="72">
        <f t="shared" si="11"/>
        <v>15015447.839549348</v>
      </c>
      <c r="DD13" s="72">
        <f t="shared" si="11"/>
        <v>15015447.839549348</v>
      </c>
      <c r="DE13" s="72">
        <f t="shared" si="11"/>
        <v>15015447.839549348</v>
      </c>
      <c r="DF13" s="72">
        <f t="shared" si="11"/>
        <v>15015447.839549348</v>
      </c>
      <c r="DG13" s="72">
        <f t="shared" si="11"/>
        <v>15015447.839549348</v>
      </c>
      <c r="DH13" s="72">
        <f t="shared" si="11"/>
        <v>15015447.839549348</v>
      </c>
      <c r="DI13" s="72">
        <f t="shared" si="11"/>
        <v>15015447.839549348</v>
      </c>
      <c r="DJ13" s="72">
        <f t="shared" si="11"/>
        <v>15015447.839549348</v>
      </c>
      <c r="DK13" s="72">
        <f t="shared" si="11"/>
        <v>15015447.839549348</v>
      </c>
      <c r="DL13" s="72">
        <f t="shared" si="11"/>
        <v>15015447.839549348</v>
      </c>
      <c r="DM13" s="72">
        <f t="shared" si="11"/>
        <v>15015447.839549348</v>
      </c>
      <c r="DN13" s="72">
        <f t="shared" si="11"/>
        <v>15015447.839549348</v>
      </c>
      <c r="DO13" s="72">
        <f t="shared" si="11"/>
        <v>15015447.839549348</v>
      </c>
      <c r="DP13" s="72">
        <f t="shared" si="11"/>
        <v>15015447.839549348</v>
      </c>
      <c r="DQ13" s="72">
        <f t="shared" si="11"/>
        <v>15015447.839549348</v>
      </c>
      <c r="DR13" s="72">
        <f t="shared" si="11"/>
        <v>15015447.839549348</v>
      </c>
      <c r="DS13" s="72">
        <f t="shared" si="11"/>
        <v>15015447.839549348</v>
      </c>
      <c r="DT13" s="72">
        <f t="shared" si="11"/>
        <v>15015447.839549348</v>
      </c>
      <c r="DU13" s="72">
        <f t="shared" si="11"/>
        <v>15015447.839549348</v>
      </c>
      <c r="DV13" s="72">
        <f t="shared" si="11"/>
        <v>4015015447.8395495</v>
      </c>
    </row>
    <row r="14" spans="1:126" x14ac:dyDescent="0.25">
      <c r="E14" t="s">
        <v>131</v>
      </c>
      <c r="F14" s="72">
        <f>NPV($B$10,G13:DV13)+F13</f>
        <v>-313841994.67285383</v>
      </c>
      <c r="G14" s="72"/>
      <c r="H14" s="72"/>
      <c r="I14" s="72"/>
      <c r="J14" s="72"/>
      <c r="K14" s="72"/>
      <c r="L14" s="72"/>
      <c r="M14" s="72"/>
      <c r="N14" s="72"/>
      <c r="O14" s="87"/>
      <c r="P14" s="87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</row>
    <row r="15" spans="1:126" x14ac:dyDescent="0.25">
      <c r="E15" t="s">
        <v>132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87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</row>
    <row r="16" spans="1:126" x14ac:dyDescent="0.25">
      <c r="E16" t="s">
        <v>133</v>
      </c>
      <c r="F16" s="72"/>
      <c r="G16" s="72"/>
      <c r="H16" s="72"/>
      <c r="I16" s="86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</row>
    <row r="17" spans="6:126" x14ac:dyDescent="0.25">
      <c r="F17" s="72"/>
      <c r="G17" s="72"/>
      <c r="H17" s="72"/>
      <c r="I17" s="86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</row>
    <row r="18" spans="6:126" x14ac:dyDescent="0.25"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</row>
    <row r="19" spans="6:126" x14ac:dyDescent="0.25"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</row>
    <row r="20" spans="6:126" x14ac:dyDescent="0.25"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</row>
    <row r="21" spans="6:126" x14ac:dyDescent="0.25"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</row>
    <row r="22" spans="6:126" x14ac:dyDescent="0.25"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</row>
    <row r="23" spans="6:126" x14ac:dyDescent="0.25"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</row>
    <row r="24" spans="6:126" x14ac:dyDescent="0.25"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</row>
  </sheetData>
  <mergeCells count="1">
    <mergeCell ref="F1:D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V24"/>
  <sheetViews>
    <sheetView showGridLines="0" zoomScale="85" workbookViewId="0">
      <selection activeCell="F21" sqref="F21"/>
    </sheetView>
  </sheetViews>
  <sheetFormatPr baseColWidth="10" defaultColWidth="10.875" defaultRowHeight="15.75" x14ac:dyDescent="0.25"/>
  <cols>
    <col min="1" max="1" width="21" bestFit="1" customWidth="1"/>
    <col min="2" max="2" width="15" bestFit="1" customWidth="1"/>
    <col min="3" max="3" width="4.25" bestFit="1" customWidth="1"/>
    <col min="4" max="4" width="12.75" customWidth="1"/>
    <col min="5" max="5" width="23.5" bestFit="1" customWidth="1"/>
    <col min="6" max="6" width="13.75" bestFit="1" customWidth="1"/>
    <col min="7" max="12" width="12.375" bestFit="1" customWidth="1"/>
    <col min="13" max="15" width="3.375" bestFit="1" customWidth="1"/>
    <col min="16" max="125" width="11.375" bestFit="1" customWidth="1"/>
    <col min="126" max="126" width="13.75" bestFit="1" customWidth="1"/>
  </cols>
  <sheetData>
    <row r="1" spans="1:126" x14ac:dyDescent="0.25">
      <c r="E1" s="29"/>
      <c r="F1" s="121" t="s">
        <v>122</v>
      </c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</row>
    <row r="2" spans="1:126" x14ac:dyDescent="0.25">
      <c r="E2" s="29"/>
      <c r="F2" s="29">
        <v>0</v>
      </c>
      <c r="G2" s="29">
        <v>1</v>
      </c>
      <c r="H2" s="29">
        <v>2</v>
      </c>
      <c r="I2" s="29">
        <v>3</v>
      </c>
      <c r="J2" s="29">
        <v>4</v>
      </c>
      <c r="K2" s="29">
        <v>5</v>
      </c>
      <c r="L2" s="29">
        <v>6</v>
      </c>
      <c r="M2" s="29">
        <v>7</v>
      </c>
      <c r="N2" s="29">
        <v>8</v>
      </c>
      <c r="O2" s="29">
        <v>9</v>
      </c>
      <c r="P2" s="29">
        <v>10</v>
      </c>
      <c r="Q2" s="29">
        <v>11</v>
      </c>
      <c r="R2" s="29">
        <v>12</v>
      </c>
      <c r="S2" s="29">
        <v>13</v>
      </c>
      <c r="T2" s="29">
        <v>14</v>
      </c>
      <c r="U2" s="29">
        <v>15</v>
      </c>
      <c r="V2" s="29">
        <v>16</v>
      </c>
      <c r="W2" s="29">
        <v>17</v>
      </c>
      <c r="X2" s="29">
        <v>18</v>
      </c>
      <c r="Y2" s="29">
        <v>19</v>
      </c>
      <c r="Z2" s="29">
        <v>20</v>
      </c>
      <c r="AA2" s="29">
        <v>21</v>
      </c>
      <c r="AB2" s="29">
        <v>22</v>
      </c>
      <c r="AC2" s="29">
        <v>23</v>
      </c>
      <c r="AD2" s="29">
        <v>24</v>
      </c>
      <c r="AE2" s="29">
        <v>25</v>
      </c>
      <c r="AF2" s="29">
        <v>26</v>
      </c>
      <c r="AG2" s="29">
        <v>27</v>
      </c>
      <c r="AH2" s="29">
        <v>28</v>
      </c>
      <c r="AI2" s="29">
        <v>29</v>
      </c>
      <c r="AJ2" s="29">
        <v>30</v>
      </c>
      <c r="AK2" s="29">
        <v>31</v>
      </c>
      <c r="AL2" s="29">
        <v>32</v>
      </c>
      <c r="AM2" s="29">
        <v>33</v>
      </c>
      <c r="AN2" s="29">
        <v>34</v>
      </c>
      <c r="AO2" s="29">
        <v>35</v>
      </c>
      <c r="AP2" s="29">
        <v>36</v>
      </c>
      <c r="AQ2" s="29">
        <v>37</v>
      </c>
      <c r="AR2" s="29">
        <v>38</v>
      </c>
      <c r="AS2" s="29">
        <v>39</v>
      </c>
      <c r="AT2" s="29">
        <v>40</v>
      </c>
      <c r="AU2" s="29">
        <v>41</v>
      </c>
      <c r="AV2" s="29">
        <v>42</v>
      </c>
      <c r="AW2" s="29">
        <v>43</v>
      </c>
      <c r="AX2" s="29">
        <v>44</v>
      </c>
      <c r="AY2" s="29">
        <v>45</v>
      </c>
      <c r="AZ2" s="29">
        <v>46</v>
      </c>
      <c r="BA2" s="29">
        <v>47</v>
      </c>
      <c r="BB2" s="29">
        <v>48</v>
      </c>
      <c r="BC2" s="29">
        <v>49</v>
      </c>
      <c r="BD2" s="29">
        <v>50</v>
      </c>
      <c r="BE2" s="29">
        <v>51</v>
      </c>
      <c r="BF2" s="29">
        <v>52</v>
      </c>
      <c r="BG2" s="29">
        <v>53</v>
      </c>
      <c r="BH2" s="29">
        <v>54</v>
      </c>
      <c r="BI2" s="29">
        <v>55</v>
      </c>
      <c r="BJ2" s="29">
        <v>56</v>
      </c>
      <c r="BK2" s="29">
        <v>57</v>
      </c>
      <c r="BL2" s="29">
        <v>58</v>
      </c>
      <c r="BM2" s="29">
        <v>59</v>
      </c>
      <c r="BN2" s="29">
        <v>60</v>
      </c>
      <c r="BO2" s="29">
        <v>61</v>
      </c>
      <c r="BP2" s="29">
        <v>62</v>
      </c>
      <c r="BQ2" s="29">
        <v>63</v>
      </c>
      <c r="BR2" s="29">
        <v>64</v>
      </c>
      <c r="BS2" s="29">
        <v>65</v>
      </c>
      <c r="BT2" s="29">
        <v>66</v>
      </c>
      <c r="BU2" s="29">
        <v>67</v>
      </c>
      <c r="BV2" s="29">
        <v>68</v>
      </c>
      <c r="BW2" s="29">
        <v>69</v>
      </c>
      <c r="BX2" s="29">
        <v>70</v>
      </c>
      <c r="BY2" s="29">
        <v>71</v>
      </c>
      <c r="BZ2" s="29">
        <v>72</v>
      </c>
      <c r="CA2" s="29">
        <v>73</v>
      </c>
      <c r="CB2" s="29">
        <v>74</v>
      </c>
      <c r="CC2" s="29">
        <v>75</v>
      </c>
      <c r="CD2" s="29">
        <v>76</v>
      </c>
      <c r="CE2" s="29">
        <v>77</v>
      </c>
      <c r="CF2" s="29">
        <v>78</v>
      </c>
      <c r="CG2" s="29">
        <v>79</v>
      </c>
      <c r="CH2" s="29">
        <v>80</v>
      </c>
      <c r="CI2" s="29">
        <v>81</v>
      </c>
      <c r="CJ2" s="29">
        <v>82</v>
      </c>
      <c r="CK2" s="29">
        <v>83</v>
      </c>
      <c r="CL2" s="29">
        <v>84</v>
      </c>
      <c r="CM2" s="29">
        <v>85</v>
      </c>
      <c r="CN2" s="29">
        <v>86</v>
      </c>
      <c r="CO2" s="29">
        <v>87</v>
      </c>
      <c r="CP2" s="29">
        <v>88</v>
      </c>
      <c r="CQ2" s="29">
        <v>89</v>
      </c>
      <c r="CR2" s="29">
        <v>90</v>
      </c>
      <c r="CS2" s="29">
        <v>91</v>
      </c>
      <c r="CT2" s="29">
        <v>92</v>
      </c>
      <c r="CU2" s="29">
        <v>93</v>
      </c>
      <c r="CV2" s="29">
        <v>94</v>
      </c>
      <c r="CW2" s="29">
        <v>95</v>
      </c>
      <c r="CX2" s="29">
        <v>96</v>
      </c>
      <c r="CY2" s="29">
        <v>97</v>
      </c>
      <c r="CZ2" s="29">
        <v>98</v>
      </c>
      <c r="DA2" s="29">
        <v>99</v>
      </c>
      <c r="DB2" s="29">
        <v>100</v>
      </c>
      <c r="DC2" s="29">
        <v>101</v>
      </c>
      <c r="DD2" s="29">
        <v>102</v>
      </c>
      <c r="DE2" s="29">
        <v>103</v>
      </c>
      <c r="DF2" s="29">
        <v>104</v>
      </c>
      <c r="DG2" s="29">
        <v>105</v>
      </c>
      <c r="DH2" s="29">
        <v>106</v>
      </c>
      <c r="DI2" s="29">
        <v>107</v>
      </c>
      <c r="DJ2" s="29">
        <v>108</v>
      </c>
      <c r="DK2" s="29">
        <v>109</v>
      </c>
      <c r="DL2" s="29">
        <v>110</v>
      </c>
      <c r="DM2" s="29">
        <v>111</v>
      </c>
      <c r="DN2" s="29">
        <v>112</v>
      </c>
      <c r="DO2" s="29">
        <v>113</v>
      </c>
      <c r="DP2" s="29">
        <v>114</v>
      </c>
      <c r="DQ2" s="29">
        <v>115</v>
      </c>
      <c r="DR2" s="29">
        <v>116</v>
      </c>
      <c r="DS2" s="29">
        <v>117</v>
      </c>
      <c r="DT2" s="29">
        <v>118</v>
      </c>
      <c r="DU2" s="29">
        <v>119</v>
      </c>
      <c r="DV2" s="29">
        <v>120</v>
      </c>
    </row>
    <row r="3" spans="1:126" x14ac:dyDescent="0.25">
      <c r="A3" t="s">
        <v>150</v>
      </c>
      <c r="B3">
        <v>300</v>
      </c>
      <c r="E3" s="88" t="s">
        <v>153</v>
      </c>
      <c r="F3" s="94"/>
      <c r="G3" s="89">
        <f t="shared" ref="G3:L3" si="0">-$B$11/6</f>
        <v>-600000000</v>
      </c>
      <c r="H3" s="89">
        <f t="shared" si="0"/>
        <v>-600000000</v>
      </c>
      <c r="I3" s="89">
        <f t="shared" si="0"/>
        <v>-600000000</v>
      </c>
      <c r="J3" s="89">
        <f t="shared" si="0"/>
        <v>-600000000</v>
      </c>
      <c r="K3" s="89">
        <f t="shared" si="0"/>
        <v>-600000000</v>
      </c>
      <c r="L3" s="89">
        <f t="shared" si="0"/>
        <v>-600000000</v>
      </c>
      <c r="M3" s="95"/>
      <c r="N3" s="95"/>
      <c r="O3" s="95"/>
      <c r="P3" s="95"/>
      <c r="Q3" s="95"/>
      <c r="R3" s="94"/>
      <c r="S3" s="95"/>
      <c r="T3" s="95"/>
      <c r="U3" s="95"/>
      <c r="V3" s="89"/>
      <c r="W3" s="89"/>
      <c r="X3" s="89"/>
      <c r="Y3" s="89"/>
      <c r="Z3" s="89"/>
      <c r="AA3" s="89"/>
      <c r="AB3" s="89"/>
      <c r="AC3" s="89"/>
      <c r="AD3" s="94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</row>
    <row r="4" spans="1:126" x14ac:dyDescent="0.25">
      <c r="A4" t="s">
        <v>151</v>
      </c>
      <c r="B4" s="38">
        <v>10000000</v>
      </c>
      <c r="E4" s="88" t="s">
        <v>111</v>
      </c>
      <c r="F4" s="89"/>
      <c r="G4" s="89">
        <f t="shared" ref="G4:AL4" si="1">G5+G9</f>
        <v>0</v>
      </c>
      <c r="H4" s="89">
        <f t="shared" si="1"/>
        <v>0</v>
      </c>
      <c r="I4" s="89">
        <f t="shared" si="1"/>
        <v>0</v>
      </c>
      <c r="J4" s="89">
        <f t="shared" si="1"/>
        <v>0</v>
      </c>
      <c r="K4" s="89">
        <f t="shared" si="1"/>
        <v>0</v>
      </c>
      <c r="L4" s="89">
        <f t="shared" si="1"/>
        <v>0</v>
      </c>
      <c r="M4" s="89">
        <f t="shared" si="1"/>
        <v>0</v>
      </c>
      <c r="N4" s="89">
        <f t="shared" si="1"/>
        <v>0</v>
      </c>
      <c r="O4" s="89">
        <f t="shared" si="1"/>
        <v>0</v>
      </c>
      <c r="P4" s="89">
        <f t="shared" si="1"/>
        <v>55100000</v>
      </c>
      <c r="Q4" s="89">
        <f t="shared" si="1"/>
        <v>55100000</v>
      </c>
      <c r="R4" s="89">
        <f t="shared" si="1"/>
        <v>55100000</v>
      </c>
      <c r="S4" s="89">
        <f t="shared" si="1"/>
        <v>55100000</v>
      </c>
      <c r="T4" s="89">
        <f t="shared" si="1"/>
        <v>55100000</v>
      </c>
      <c r="U4" s="89">
        <f t="shared" si="1"/>
        <v>55100000</v>
      </c>
      <c r="V4" s="89">
        <f t="shared" si="1"/>
        <v>55100000</v>
      </c>
      <c r="W4" s="89">
        <f t="shared" si="1"/>
        <v>55100000</v>
      </c>
      <c r="X4" s="89">
        <f t="shared" si="1"/>
        <v>55100000</v>
      </c>
      <c r="Y4" s="89">
        <f t="shared" si="1"/>
        <v>55100000</v>
      </c>
      <c r="Z4" s="89">
        <f t="shared" si="1"/>
        <v>55100000</v>
      </c>
      <c r="AA4" s="89">
        <f t="shared" si="1"/>
        <v>55100000</v>
      </c>
      <c r="AB4" s="89">
        <f t="shared" si="1"/>
        <v>55100000</v>
      </c>
      <c r="AC4" s="89">
        <f t="shared" si="1"/>
        <v>55100000</v>
      </c>
      <c r="AD4" s="89">
        <f t="shared" si="1"/>
        <v>55100000</v>
      </c>
      <c r="AE4" s="89">
        <f t="shared" si="1"/>
        <v>55100000</v>
      </c>
      <c r="AF4" s="89">
        <f t="shared" si="1"/>
        <v>55100000</v>
      </c>
      <c r="AG4" s="89">
        <f t="shared" si="1"/>
        <v>55100000</v>
      </c>
      <c r="AH4" s="89">
        <f t="shared" si="1"/>
        <v>55100000</v>
      </c>
      <c r="AI4" s="89">
        <f t="shared" si="1"/>
        <v>55100000</v>
      </c>
      <c r="AJ4" s="89">
        <f t="shared" si="1"/>
        <v>55100000</v>
      </c>
      <c r="AK4" s="89">
        <f t="shared" si="1"/>
        <v>55100000</v>
      </c>
      <c r="AL4" s="89">
        <f t="shared" si="1"/>
        <v>55100000</v>
      </c>
      <c r="AM4" s="89">
        <f t="shared" ref="AM4:BR4" si="2">AM5+AM9</f>
        <v>55100000</v>
      </c>
      <c r="AN4" s="89">
        <f t="shared" si="2"/>
        <v>55100000</v>
      </c>
      <c r="AO4" s="89">
        <f t="shared" si="2"/>
        <v>55100000</v>
      </c>
      <c r="AP4" s="89">
        <f t="shared" si="2"/>
        <v>55100000</v>
      </c>
      <c r="AQ4" s="89">
        <f t="shared" si="2"/>
        <v>55100000</v>
      </c>
      <c r="AR4" s="89">
        <f t="shared" si="2"/>
        <v>55100000</v>
      </c>
      <c r="AS4" s="89">
        <f t="shared" si="2"/>
        <v>55100000</v>
      </c>
      <c r="AT4" s="89">
        <f t="shared" si="2"/>
        <v>55100000</v>
      </c>
      <c r="AU4" s="89">
        <f t="shared" si="2"/>
        <v>55100000</v>
      </c>
      <c r="AV4" s="89">
        <f t="shared" si="2"/>
        <v>55100000</v>
      </c>
      <c r="AW4" s="89">
        <f t="shared" si="2"/>
        <v>55100000</v>
      </c>
      <c r="AX4" s="89">
        <f t="shared" si="2"/>
        <v>55100000</v>
      </c>
      <c r="AY4" s="89">
        <f t="shared" si="2"/>
        <v>55100000</v>
      </c>
      <c r="AZ4" s="89">
        <f t="shared" si="2"/>
        <v>55100000</v>
      </c>
      <c r="BA4" s="89">
        <f t="shared" si="2"/>
        <v>55100000</v>
      </c>
      <c r="BB4" s="89">
        <f t="shared" si="2"/>
        <v>55100000</v>
      </c>
      <c r="BC4" s="89">
        <f t="shared" si="2"/>
        <v>55100000</v>
      </c>
      <c r="BD4" s="89">
        <f t="shared" si="2"/>
        <v>55100000</v>
      </c>
      <c r="BE4" s="89">
        <f t="shared" si="2"/>
        <v>55100000</v>
      </c>
      <c r="BF4" s="89">
        <f t="shared" si="2"/>
        <v>55100000</v>
      </c>
      <c r="BG4" s="89">
        <f t="shared" si="2"/>
        <v>55100000</v>
      </c>
      <c r="BH4" s="89">
        <f t="shared" si="2"/>
        <v>55100000</v>
      </c>
      <c r="BI4" s="89">
        <f t="shared" si="2"/>
        <v>55100000</v>
      </c>
      <c r="BJ4" s="89">
        <f t="shared" si="2"/>
        <v>55100000</v>
      </c>
      <c r="BK4" s="89">
        <f t="shared" si="2"/>
        <v>55100000</v>
      </c>
      <c r="BL4" s="89">
        <f t="shared" si="2"/>
        <v>55100000</v>
      </c>
      <c r="BM4" s="89">
        <f t="shared" si="2"/>
        <v>55100000</v>
      </c>
      <c r="BN4" s="89">
        <f t="shared" si="2"/>
        <v>55100000</v>
      </c>
      <c r="BO4" s="89">
        <f t="shared" si="2"/>
        <v>55100000</v>
      </c>
      <c r="BP4" s="89">
        <f t="shared" si="2"/>
        <v>55100000</v>
      </c>
      <c r="BQ4" s="89">
        <f t="shared" si="2"/>
        <v>55100000</v>
      </c>
      <c r="BR4" s="89">
        <f t="shared" si="2"/>
        <v>55100000</v>
      </c>
      <c r="BS4" s="89">
        <f t="shared" ref="BS4:CX4" si="3">BS5+BS9</f>
        <v>55100000</v>
      </c>
      <c r="BT4" s="89">
        <f t="shared" si="3"/>
        <v>55100000</v>
      </c>
      <c r="BU4" s="89">
        <f t="shared" si="3"/>
        <v>55100000</v>
      </c>
      <c r="BV4" s="89">
        <f t="shared" si="3"/>
        <v>55100000</v>
      </c>
      <c r="BW4" s="89">
        <f t="shared" si="3"/>
        <v>55100000</v>
      </c>
      <c r="BX4" s="89">
        <f t="shared" si="3"/>
        <v>55100000</v>
      </c>
      <c r="BY4" s="89">
        <f t="shared" si="3"/>
        <v>55100000</v>
      </c>
      <c r="BZ4" s="89">
        <f t="shared" si="3"/>
        <v>55100000</v>
      </c>
      <c r="CA4" s="89">
        <f t="shared" si="3"/>
        <v>55100000</v>
      </c>
      <c r="CB4" s="89">
        <f t="shared" si="3"/>
        <v>55100000</v>
      </c>
      <c r="CC4" s="89">
        <f t="shared" si="3"/>
        <v>55100000</v>
      </c>
      <c r="CD4" s="89">
        <f t="shared" si="3"/>
        <v>55100000</v>
      </c>
      <c r="CE4" s="89">
        <f t="shared" si="3"/>
        <v>55100000</v>
      </c>
      <c r="CF4" s="89">
        <f t="shared" si="3"/>
        <v>55100000</v>
      </c>
      <c r="CG4" s="89">
        <f t="shared" si="3"/>
        <v>55100000</v>
      </c>
      <c r="CH4" s="89">
        <f t="shared" si="3"/>
        <v>55100000</v>
      </c>
      <c r="CI4" s="89">
        <f t="shared" si="3"/>
        <v>55100000</v>
      </c>
      <c r="CJ4" s="89">
        <f t="shared" si="3"/>
        <v>55100000</v>
      </c>
      <c r="CK4" s="89">
        <f t="shared" si="3"/>
        <v>55100000</v>
      </c>
      <c r="CL4" s="89">
        <f t="shared" si="3"/>
        <v>55100000</v>
      </c>
      <c r="CM4" s="89">
        <f t="shared" si="3"/>
        <v>55100000</v>
      </c>
      <c r="CN4" s="89">
        <f t="shared" si="3"/>
        <v>55100000</v>
      </c>
      <c r="CO4" s="89">
        <f t="shared" si="3"/>
        <v>55100000</v>
      </c>
      <c r="CP4" s="89">
        <f t="shared" si="3"/>
        <v>55100000</v>
      </c>
      <c r="CQ4" s="89">
        <f t="shared" si="3"/>
        <v>55100000</v>
      </c>
      <c r="CR4" s="89">
        <f t="shared" si="3"/>
        <v>55100000</v>
      </c>
      <c r="CS4" s="89">
        <f t="shared" si="3"/>
        <v>55100000</v>
      </c>
      <c r="CT4" s="89">
        <f t="shared" si="3"/>
        <v>55100000</v>
      </c>
      <c r="CU4" s="89">
        <f t="shared" si="3"/>
        <v>55100000</v>
      </c>
      <c r="CV4" s="89">
        <f t="shared" si="3"/>
        <v>55100000</v>
      </c>
      <c r="CW4" s="89">
        <f t="shared" si="3"/>
        <v>55100000</v>
      </c>
      <c r="CX4" s="89">
        <f t="shared" si="3"/>
        <v>55100000</v>
      </c>
      <c r="CY4" s="89">
        <f t="shared" ref="CY4:DV4" si="4">CY5+CY9</f>
        <v>55100000</v>
      </c>
      <c r="CZ4" s="89">
        <f t="shared" si="4"/>
        <v>55100000</v>
      </c>
      <c r="DA4" s="89">
        <f t="shared" si="4"/>
        <v>55100000</v>
      </c>
      <c r="DB4" s="89">
        <f t="shared" si="4"/>
        <v>55100000</v>
      </c>
      <c r="DC4" s="89">
        <f t="shared" si="4"/>
        <v>55100000</v>
      </c>
      <c r="DD4" s="89">
        <f t="shared" si="4"/>
        <v>55100000</v>
      </c>
      <c r="DE4" s="89">
        <f t="shared" si="4"/>
        <v>55100000</v>
      </c>
      <c r="DF4" s="89">
        <f t="shared" si="4"/>
        <v>55100000</v>
      </c>
      <c r="DG4" s="89">
        <f t="shared" si="4"/>
        <v>55100000</v>
      </c>
      <c r="DH4" s="89">
        <f t="shared" si="4"/>
        <v>55100000</v>
      </c>
      <c r="DI4" s="89">
        <f t="shared" si="4"/>
        <v>55100000</v>
      </c>
      <c r="DJ4" s="89">
        <f t="shared" si="4"/>
        <v>55100000</v>
      </c>
      <c r="DK4" s="89">
        <f t="shared" si="4"/>
        <v>55100000</v>
      </c>
      <c r="DL4" s="89">
        <f t="shared" si="4"/>
        <v>55100000</v>
      </c>
      <c r="DM4" s="89">
        <f t="shared" si="4"/>
        <v>55100000</v>
      </c>
      <c r="DN4" s="89">
        <f t="shared" si="4"/>
        <v>55100000</v>
      </c>
      <c r="DO4" s="89">
        <f t="shared" si="4"/>
        <v>55100000</v>
      </c>
      <c r="DP4" s="89">
        <f t="shared" si="4"/>
        <v>55100000</v>
      </c>
      <c r="DQ4" s="89">
        <f t="shared" si="4"/>
        <v>55100000</v>
      </c>
      <c r="DR4" s="89">
        <f t="shared" si="4"/>
        <v>55100000</v>
      </c>
      <c r="DS4" s="89">
        <f t="shared" si="4"/>
        <v>55100000</v>
      </c>
      <c r="DT4" s="89">
        <f t="shared" si="4"/>
        <v>55100000</v>
      </c>
      <c r="DU4" s="89">
        <f t="shared" si="4"/>
        <v>55100000</v>
      </c>
      <c r="DV4" s="89">
        <f t="shared" si="4"/>
        <v>55100000</v>
      </c>
    </row>
    <row r="5" spans="1:126" x14ac:dyDescent="0.25">
      <c r="A5" t="s">
        <v>152</v>
      </c>
      <c r="B5" s="79">
        <f>B4*B3</f>
        <v>3000000000</v>
      </c>
      <c r="E5" s="90" t="s">
        <v>84</v>
      </c>
      <c r="F5" s="91"/>
      <c r="G5" s="91">
        <f>SUM(G6+G7+G8)</f>
        <v>0</v>
      </c>
      <c r="H5" s="91">
        <f t="shared" ref="H5:BS5" si="5">SUM(H6+H7+H8)</f>
        <v>0</v>
      </c>
      <c r="I5" s="91">
        <f t="shared" si="5"/>
        <v>0</v>
      </c>
      <c r="J5" s="91">
        <f t="shared" si="5"/>
        <v>0</v>
      </c>
      <c r="K5" s="91">
        <f t="shared" si="5"/>
        <v>0</v>
      </c>
      <c r="L5" s="91">
        <f t="shared" si="5"/>
        <v>0</v>
      </c>
      <c r="M5" s="91">
        <f t="shared" si="5"/>
        <v>0</v>
      </c>
      <c r="N5" s="91">
        <f t="shared" si="5"/>
        <v>0</v>
      </c>
      <c r="O5" s="91">
        <f t="shared" si="5"/>
        <v>0</v>
      </c>
      <c r="P5" s="91">
        <f t="shared" si="5"/>
        <v>55100000</v>
      </c>
      <c r="Q5" s="91">
        <f t="shared" si="5"/>
        <v>55100000</v>
      </c>
      <c r="R5" s="91">
        <f t="shared" si="5"/>
        <v>55100000</v>
      </c>
      <c r="S5" s="91">
        <f t="shared" si="5"/>
        <v>55100000</v>
      </c>
      <c r="T5" s="91">
        <f t="shared" si="5"/>
        <v>55100000</v>
      </c>
      <c r="U5" s="91">
        <f t="shared" si="5"/>
        <v>55100000</v>
      </c>
      <c r="V5" s="91">
        <f t="shared" si="5"/>
        <v>55100000</v>
      </c>
      <c r="W5" s="91">
        <f t="shared" si="5"/>
        <v>55100000</v>
      </c>
      <c r="X5" s="91">
        <f t="shared" si="5"/>
        <v>55100000</v>
      </c>
      <c r="Y5" s="91">
        <f t="shared" si="5"/>
        <v>55100000</v>
      </c>
      <c r="Z5" s="91">
        <f t="shared" si="5"/>
        <v>55100000</v>
      </c>
      <c r="AA5" s="91">
        <f t="shared" si="5"/>
        <v>55100000</v>
      </c>
      <c r="AB5" s="91">
        <f t="shared" si="5"/>
        <v>55100000</v>
      </c>
      <c r="AC5" s="91">
        <f t="shared" si="5"/>
        <v>55100000</v>
      </c>
      <c r="AD5" s="91">
        <f t="shared" si="5"/>
        <v>55100000</v>
      </c>
      <c r="AE5" s="91">
        <f t="shared" si="5"/>
        <v>55100000</v>
      </c>
      <c r="AF5" s="91">
        <f t="shared" si="5"/>
        <v>55100000</v>
      </c>
      <c r="AG5" s="91">
        <f t="shared" si="5"/>
        <v>55100000</v>
      </c>
      <c r="AH5" s="91">
        <f t="shared" si="5"/>
        <v>55100000</v>
      </c>
      <c r="AI5" s="91">
        <f t="shared" si="5"/>
        <v>55100000</v>
      </c>
      <c r="AJ5" s="91">
        <f t="shared" si="5"/>
        <v>55100000</v>
      </c>
      <c r="AK5" s="91">
        <f t="shared" si="5"/>
        <v>55100000</v>
      </c>
      <c r="AL5" s="91">
        <f t="shared" si="5"/>
        <v>55100000</v>
      </c>
      <c r="AM5" s="91">
        <f t="shared" si="5"/>
        <v>55100000</v>
      </c>
      <c r="AN5" s="91">
        <f t="shared" si="5"/>
        <v>55100000</v>
      </c>
      <c r="AO5" s="91">
        <f t="shared" si="5"/>
        <v>55100000</v>
      </c>
      <c r="AP5" s="91">
        <f t="shared" si="5"/>
        <v>55100000</v>
      </c>
      <c r="AQ5" s="91">
        <f t="shared" si="5"/>
        <v>55100000</v>
      </c>
      <c r="AR5" s="91">
        <f t="shared" si="5"/>
        <v>55100000</v>
      </c>
      <c r="AS5" s="91">
        <f t="shared" si="5"/>
        <v>55100000</v>
      </c>
      <c r="AT5" s="91">
        <f t="shared" si="5"/>
        <v>55100000</v>
      </c>
      <c r="AU5" s="91">
        <f t="shared" si="5"/>
        <v>55100000</v>
      </c>
      <c r="AV5" s="91">
        <f t="shared" si="5"/>
        <v>55100000</v>
      </c>
      <c r="AW5" s="91">
        <f t="shared" si="5"/>
        <v>55100000</v>
      </c>
      <c r="AX5" s="91">
        <f t="shared" si="5"/>
        <v>55100000</v>
      </c>
      <c r="AY5" s="91">
        <f t="shared" si="5"/>
        <v>55100000</v>
      </c>
      <c r="AZ5" s="91">
        <f t="shared" si="5"/>
        <v>55100000</v>
      </c>
      <c r="BA5" s="91">
        <f t="shared" si="5"/>
        <v>55100000</v>
      </c>
      <c r="BB5" s="91">
        <f t="shared" si="5"/>
        <v>55100000</v>
      </c>
      <c r="BC5" s="91">
        <f t="shared" si="5"/>
        <v>55100000</v>
      </c>
      <c r="BD5" s="91">
        <f t="shared" si="5"/>
        <v>55100000</v>
      </c>
      <c r="BE5" s="91">
        <f t="shared" si="5"/>
        <v>55100000</v>
      </c>
      <c r="BF5" s="91">
        <f t="shared" si="5"/>
        <v>55100000</v>
      </c>
      <c r="BG5" s="91">
        <f t="shared" si="5"/>
        <v>55100000</v>
      </c>
      <c r="BH5" s="91">
        <f t="shared" si="5"/>
        <v>55100000</v>
      </c>
      <c r="BI5" s="91">
        <f t="shared" si="5"/>
        <v>55100000</v>
      </c>
      <c r="BJ5" s="91">
        <f t="shared" si="5"/>
        <v>55100000</v>
      </c>
      <c r="BK5" s="91">
        <f t="shared" si="5"/>
        <v>55100000</v>
      </c>
      <c r="BL5" s="91">
        <f t="shared" si="5"/>
        <v>55100000</v>
      </c>
      <c r="BM5" s="91">
        <f t="shared" si="5"/>
        <v>55100000</v>
      </c>
      <c r="BN5" s="91">
        <f t="shared" si="5"/>
        <v>55100000</v>
      </c>
      <c r="BO5" s="91">
        <f t="shared" si="5"/>
        <v>55100000</v>
      </c>
      <c r="BP5" s="91">
        <f t="shared" si="5"/>
        <v>55100000</v>
      </c>
      <c r="BQ5" s="91">
        <f t="shared" si="5"/>
        <v>55100000</v>
      </c>
      <c r="BR5" s="91">
        <f t="shared" si="5"/>
        <v>55100000</v>
      </c>
      <c r="BS5" s="91">
        <f t="shared" si="5"/>
        <v>55100000</v>
      </c>
      <c r="BT5" s="91">
        <f t="shared" ref="BT5:DV5" si="6">SUM(BT6+BT7+BT8)</f>
        <v>55100000</v>
      </c>
      <c r="BU5" s="91">
        <f t="shared" si="6"/>
        <v>55100000</v>
      </c>
      <c r="BV5" s="91">
        <f t="shared" si="6"/>
        <v>55100000</v>
      </c>
      <c r="BW5" s="91">
        <f t="shared" si="6"/>
        <v>55100000</v>
      </c>
      <c r="BX5" s="91">
        <f t="shared" si="6"/>
        <v>55100000</v>
      </c>
      <c r="BY5" s="91">
        <f t="shared" si="6"/>
        <v>55100000</v>
      </c>
      <c r="BZ5" s="91">
        <f t="shared" si="6"/>
        <v>55100000</v>
      </c>
      <c r="CA5" s="91">
        <f t="shared" si="6"/>
        <v>55100000</v>
      </c>
      <c r="CB5" s="91">
        <f t="shared" si="6"/>
        <v>55100000</v>
      </c>
      <c r="CC5" s="91">
        <f t="shared" si="6"/>
        <v>55100000</v>
      </c>
      <c r="CD5" s="91">
        <f t="shared" si="6"/>
        <v>55100000</v>
      </c>
      <c r="CE5" s="91">
        <f t="shared" si="6"/>
        <v>55100000</v>
      </c>
      <c r="CF5" s="91">
        <f t="shared" si="6"/>
        <v>55100000</v>
      </c>
      <c r="CG5" s="91">
        <f t="shared" si="6"/>
        <v>55100000</v>
      </c>
      <c r="CH5" s="91">
        <f t="shared" si="6"/>
        <v>55100000</v>
      </c>
      <c r="CI5" s="91">
        <f t="shared" si="6"/>
        <v>55100000</v>
      </c>
      <c r="CJ5" s="91">
        <f t="shared" si="6"/>
        <v>55100000</v>
      </c>
      <c r="CK5" s="91">
        <f t="shared" si="6"/>
        <v>55100000</v>
      </c>
      <c r="CL5" s="91">
        <f t="shared" si="6"/>
        <v>55100000</v>
      </c>
      <c r="CM5" s="91">
        <f t="shared" si="6"/>
        <v>55100000</v>
      </c>
      <c r="CN5" s="91">
        <f t="shared" si="6"/>
        <v>55100000</v>
      </c>
      <c r="CO5" s="91">
        <f t="shared" si="6"/>
        <v>55100000</v>
      </c>
      <c r="CP5" s="91">
        <f t="shared" si="6"/>
        <v>55100000</v>
      </c>
      <c r="CQ5" s="91">
        <f t="shared" si="6"/>
        <v>55100000</v>
      </c>
      <c r="CR5" s="91">
        <f t="shared" si="6"/>
        <v>55100000</v>
      </c>
      <c r="CS5" s="91">
        <f t="shared" si="6"/>
        <v>55100000</v>
      </c>
      <c r="CT5" s="91">
        <f t="shared" si="6"/>
        <v>55100000</v>
      </c>
      <c r="CU5" s="91">
        <f t="shared" si="6"/>
        <v>55100000</v>
      </c>
      <c r="CV5" s="91">
        <f t="shared" si="6"/>
        <v>55100000</v>
      </c>
      <c r="CW5" s="91">
        <f t="shared" si="6"/>
        <v>55100000</v>
      </c>
      <c r="CX5" s="91">
        <f t="shared" si="6"/>
        <v>55100000</v>
      </c>
      <c r="CY5" s="91">
        <f t="shared" si="6"/>
        <v>55100000</v>
      </c>
      <c r="CZ5" s="91">
        <f t="shared" si="6"/>
        <v>55100000</v>
      </c>
      <c r="DA5" s="91">
        <f t="shared" si="6"/>
        <v>55100000</v>
      </c>
      <c r="DB5" s="91">
        <f t="shared" si="6"/>
        <v>55100000</v>
      </c>
      <c r="DC5" s="91">
        <f t="shared" si="6"/>
        <v>55100000</v>
      </c>
      <c r="DD5" s="91">
        <f t="shared" si="6"/>
        <v>55100000</v>
      </c>
      <c r="DE5" s="91">
        <f t="shared" si="6"/>
        <v>55100000</v>
      </c>
      <c r="DF5" s="91">
        <f t="shared" si="6"/>
        <v>55100000</v>
      </c>
      <c r="DG5" s="91">
        <f t="shared" si="6"/>
        <v>55100000</v>
      </c>
      <c r="DH5" s="91">
        <f t="shared" si="6"/>
        <v>55100000</v>
      </c>
      <c r="DI5" s="91">
        <f t="shared" si="6"/>
        <v>55100000</v>
      </c>
      <c r="DJ5" s="91">
        <f t="shared" si="6"/>
        <v>55100000</v>
      </c>
      <c r="DK5" s="91">
        <f t="shared" si="6"/>
        <v>55100000</v>
      </c>
      <c r="DL5" s="91">
        <f t="shared" si="6"/>
        <v>55100000</v>
      </c>
      <c r="DM5" s="91">
        <f t="shared" si="6"/>
        <v>55100000</v>
      </c>
      <c r="DN5" s="91">
        <f t="shared" si="6"/>
        <v>55100000</v>
      </c>
      <c r="DO5" s="91">
        <f t="shared" si="6"/>
        <v>55100000</v>
      </c>
      <c r="DP5" s="91">
        <f t="shared" si="6"/>
        <v>55100000</v>
      </c>
      <c r="DQ5" s="91">
        <f t="shared" si="6"/>
        <v>55100000</v>
      </c>
      <c r="DR5" s="91">
        <f t="shared" si="6"/>
        <v>55100000</v>
      </c>
      <c r="DS5" s="91">
        <f t="shared" si="6"/>
        <v>55100000</v>
      </c>
      <c r="DT5" s="91">
        <f t="shared" si="6"/>
        <v>55100000</v>
      </c>
      <c r="DU5" s="91">
        <f t="shared" si="6"/>
        <v>55100000</v>
      </c>
      <c r="DV5" s="91">
        <f t="shared" si="6"/>
        <v>55100000</v>
      </c>
    </row>
    <row r="6" spans="1:126" x14ac:dyDescent="0.25">
      <c r="A6" t="s">
        <v>58</v>
      </c>
      <c r="B6" s="3">
        <f>VLOOKUP(A6,'Flujo de Caja'!A1:B41,2,0)</f>
        <v>35100000</v>
      </c>
      <c r="E6" s="92" t="s">
        <v>105</v>
      </c>
      <c r="F6" s="93"/>
      <c r="G6" s="93"/>
      <c r="H6" s="93"/>
      <c r="I6" s="93"/>
      <c r="J6" s="93"/>
      <c r="K6" s="93"/>
      <c r="L6" s="93"/>
      <c r="M6" s="93"/>
      <c r="N6" s="93"/>
      <c r="O6" s="93"/>
      <c r="P6" s="93">
        <f t="shared" ref="P6:AU6" si="7">$B$6</f>
        <v>35100000</v>
      </c>
      <c r="Q6" s="93">
        <f t="shared" si="7"/>
        <v>35100000</v>
      </c>
      <c r="R6" s="93">
        <f t="shared" si="7"/>
        <v>35100000</v>
      </c>
      <c r="S6" s="93">
        <f t="shared" si="7"/>
        <v>35100000</v>
      </c>
      <c r="T6" s="93">
        <f t="shared" si="7"/>
        <v>35100000</v>
      </c>
      <c r="U6" s="93">
        <f t="shared" si="7"/>
        <v>35100000</v>
      </c>
      <c r="V6" s="93">
        <f t="shared" si="7"/>
        <v>35100000</v>
      </c>
      <c r="W6" s="93">
        <f t="shared" si="7"/>
        <v>35100000</v>
      </c>
      <c r="X6" s="93">
        <f t="shared" si="7"/>
        <v>35100000</v>
      </c>
      <c r="Y6" s="93">
        <f t="shared" si="7"/>
        <v>35100000</v>
      </c>
      <c r="Z6" s="93">
        <f t="shared" si="7"/>
        <v>35100000</v>
      </c>
      <c r="AA6" s="93">
        <f t="shared" si="7"/>
        <v>35100000</v>
      </c>
      <c r="AB6" s="93">
        <f t="shared" si="7"/>
        <v>35100000</v>
      </c>
      <c r="AC6" s="93">
        <f t="shared" si="7"/>
        <v>35100000</v>
      </c>
      <c r="AD6" s="93">
        <f t="shared" si="7"/>
        <v>35100000</v>
      </c>
      <c r="AE6" s="93">
        <f t="shared" si="7"/>
        <v>35100000</v>
      </c>
      <c r="AF6" s="93">
        <f t="shared" si="7"/>
        <v>35100000</v>
      </c>
      <c r="AG6" s="93">
        <f t="shared" si="7"/>
        <v>35100000</v>
      </c>
      <c r="AH6" s="93">
        <f t="shared" si="7"/>
        <v>35100000</v>
      </c>
      <c r="AI6" s="93">
        <f t="shared" si="7"/>
        <v>35100000</v>
      </c>
      <c r="AJ6" s="93">
        <f t="shared" si="7"/>
        <v>35100000</v>
      </c>
      <c r="AK6" s="93">
        <f t="shared" si="7"/>
        <v>35100000</v>
      </c>
      <c r="AL6" s="93">
        <f t="shared" si="7"/>
        <v>35100000</v>
      </c>
      <c r="AM6" s="93">
        <f t="shared" si="7"/>
        <v>35100000</v>
      </c>
      <c r="AN6" s="93">
        <f t="shared" si="7"/>
        <v>35100000</v>
      </c>
      <c r="AO6" s="93">
        <f t="shared" si="7"/>
        <v>35100000</v>
      </c>
      <c r="AP6" s="93">
        <f t="shared" si="7"/>
        <v>35100000</v>
      </c>
      <c r="AQ6" s="93">
        <f t="shared" si="7"/>
        <v>35100000</v>
      </c>
      <c r="AR6" s="93">
        <f t="shared" si="7"/>
        <v>35100000</v>
      </c>
      <c r="AS6" s="93">
        <f t="shared" si="7"/>
        <v>35100000</v>
      </c>
      <c r="AT6" s="93">
        <f t="shared" si="7"/>
        <v>35100000</v>
      </c>
      <c r="AU6" s="93">
        <f t="shared" si="7"/>
        <v>35100000</v>
      </c>
      <c r="AV6" s="93">
        <f t="shared" ref="AV6:CA6" si="8">$B$6</f>
        <v>35100000</v>
      </c>
      <c r="AW6" s="93">
        <f t="shared" si="8"/>
        <v>35100000</v>
      </c>
      <c r="AX6" s="93">
        <f t="shared" si="8"/>
        <v>35100000</v>
      </c>
      <c r="AY6" s="93">
        <f t="shared" si="8"/>
        <v>35100000</v>
      </c>
      <c r="AZ6" s="93">
        <f t="shared" si="8"/>
        <v>35100000</v>
      </c>
      <c r="BA6" s="93">
        <f t="shared" si="8"/>
        <v>35100000</v>
      </c>
      <c r="BB6" s="93">
        <f t="shared" si="8"/>
        <v>35100000</v>
      </c>
      <c r="BC6" s="93">
        <f t="shared" si="8"/>
        <v>35100000</v>
      </c>
      <c r="BD6" s="93">
        <f t="shared" si="8"/>
        <v>35100000</v>
      </c>
      <c r="BE6" s="93">
        <f t="shared" si="8"/>
        <v>35100000</v>
      </c>
      <c r="BF6" s="93">
        <f t="shared" si="8"/>
        <v>35100000</v>
      </c>
      <c r="BG6" s="93">
        <f t="shared" si="8"/>
        <v>35100000</v>
      </c>
      <c r="BH6" s="93">
        <f t="shared" si="8"/>
        <v>35100000</v>
      </c>
      <c r="BI6" s="93">
        <f t="shared" si="8"/>
        <v>35100000</v>
      </c>
      <c r="BJ6" s="93">
        <f t="shared" si="8"/>
        <v>35100000</v>
      </c>
      <c r="BK6" s="93">
        <f t="shared" si="8"/>
        <v>35100000</v>
      </c>
      <c r="BL6" s="93">
        <f t="shared" si="8"/>
        <v>35100000</v>
      </c>
      <c r="BM6" s="93">
        <f t="shared" si="8"/>
        <v>35100000</v>
      </c>
      <c r="BN6" s="93">
        <f t="shared" si="8"/>
        <v>35100000</v>
      </c>
      <c r="BO6" s="93">
        <f t="shared" si="8"/>
        <v>35100000</v>
      </c>
      <c r="BP6" s="93">
        <f t="shared" si="8"/>
        <v>35100000</v>
      </c>
      <c r="BQ6" s="93">
        <f t="shared" si="8"/>
        <v>35100000</v>
      </c>
      <c r="BR6" s="93">
        <f t="shared" si="8"/>
        <v>35100000</v>
      </c>
      <c r="BS6" s="93">
        <f t="shared" si="8"/>
        <v>35100000</v>
      </c>
      <c r="BT6" s="93">
        <f t="shared" si="8"/>
        <v>35100000</v>
      </c>
      <c r="BU6" s="93">
        <f t="shared" si="8"/>
        <v>35100000</v>
      </c>
      <c r="BV6" s="93">
        <f t="shared" si="8"/>
        <v>35100000</v>
      </c>
      <c r="BW6" s="93">
        <f t="shared" si="8"/>
        <v>35100000</v>
      </c>
      <c r="BX6" s="93">
        <f t="shared" si="8"/>
        <v>35100000</v>
      </c>
      <c r="BY6" s="93">
        <f t="shared" si="8"/>
        <v>35100000</v>
      </c>
      <c r="BZ6" s="93">
        <f t="shared" si="8"/>
        <v>35100000</v>
      </c>
      <c r="CA6" s="93">
        <f t="shared" si="8"/>
        <v>35100000</v>
      </c>
      <c r="CB6" s="93">
        <f t="shared" ref="CB6:DG6" si="9">$B$6</f>
        <v>35100000</v>
      </c>
      <c r="CC6" s="93">
        <f t="shared" si="9"/>
        <v>35100000</v>
      </c>
      <c r="CD6" s="93">
        <f t="shared" si="9"/>
        <v>35100000</v>
      </c>
      <c r="CE6" s="93">
        <f t="shared" si="9"/>
        <v>35100000</v>
      </c>
      <c r="CF6" s="93">
        <f t="shared" si="9"/>
        <v>35100000</v>
      </c>
      <c r="CG6" s="93">
        <f t="shared" si="9"/>
        <v>35100000</v>
      </c>
      <c r="CH6" s="93">
        <f t="shared" si="9"/>
        <v>35100000</v>
      </c>
      <c r="CI6" s="93">
        <f t="shared" si="9"/>
        <v>35100000</v>
      </c>
      <c r="CJ6" s="93">
        <f t="shared" si="9"/>
        <v>35100000</v>
      </c>
      <c r="CK6" s="93">
        <f t="shared" si="9"/>
        <v>35100000</v>
      </c>
      <c r="CL6" s="93">
        <f t="shared" si="9"/>
        <v>35100000</v>
      </c>
      <c r="CM6" s="93">
        <f t="shared" si="9"/>
        <v>35100000</v>
      </c>
      <c r="CN6" s="93">
        <f t="shared" si="9"/>
        <v>35100000</v>
      </c>
      <c r="CO6" s="93">
        <f t="shared" si="9"/>
        <v>35100000</v>
      </c>
      <c r="CP6" s="93">
        <f t="shared" si="9"/>
        <v>35100000</v>
      </c>
      <c r="CQ6" s="93">
        <f t="shared" si="9"/>
        <v>35100000</v>
      </c>
      <c r="CR6" s="93">
        <f t="shared" si="9"/>
        <v>35100000</v>
      </c>
      <c r="CS6" s="93">
        <f t="shared" si="9"/>
        <v>35100000</v>
      </c>
      <c r="CT6" s="93">
        <f t="shared" si="9"/>
        <v>35100000</v>
      </c>
      <c r="CU6" s="93">
        <f t="shared" si="9"/>
        <v>35100000</v>
      </c>
      <c r="CV6" s="93">
        <f t="shared" si="9"/>
        <v>35100000</v>
      </c>
      <c r="CW6" s="93">
        <f t="shared" si="9"/>
        <v>35100000</v>
      </c>
      <c r="CX6" s="93">
        <f t="shared" si="9"/>
        <v>35100000</v>
      </c>
      <c r="CY6" s="93">
        <f t="shared" si="9"/>
        <v>35100000</v>
      </c>
      <c r="CZ6" s="93">
        <f t="shared" si="9"/>
        <v>35100000</v>
      </c>
      <c r="DA6" s="93">
        <f t="shared" si="9"/>
        <v>35100000</v>
      </c>
      <c r="DB6" s="93">
        <f t="shared" si="9"/>
        <v>35100000</v>
      </c>
      <c r="DC6" s="93">
        <f t="shared" si="9"/>
        <v>35100000</v>
      </c>
      <c r="DD6" s="93">
        <f t="shared" si="9"/>
        <v>35100000</v>
      </c>
      <c r="DE6" s="93">
        <f t="shared" si="9"/>
        <v>35100000</v>
      </c>
      <c r="DF6" s="93">
        <f t="shared" si="9"/>
        <v>35100000</v>
      </c>
      <c r="DG6" s="93">
        <f t="shared" si="9"/>
        <v>35100000</v>
      </c>
      <c r="DH6" s="93">
        <f t="shared" ref="DH6:DV6" si="10">$B$6</f>
        <v>35100000</v>
      </c>
      <c r="DI6" s="93">
        <f t="shared" si="10"/>
        <v>35100000</v>
      </c>
      <c r="DJ6" s="93">
        <f t="shared" si="10"/>
        <v>35100000</v>
      </c>
      <c r="DK6" s="93">
        <f t="shared" si="10"/>
        <v>35100000</v>
      </c>
      <c r="DL6" s="93">
        <f t="shared" si="10"/>
        <v>35100000</v>
      </c>
      <c r="DM6" s="93">
        <f t="shared" si="10"/>
        <v>35100000</v>
      </c>
      <c r="DN6" s="93">
        <f t="shared" si="10"/>
        <v>35100000</v>
      </c>
      <c r="DO6" s="93">
        <f t="shared" si="10"/>
        <v>35100000</v>
      </c>
      <c r="DP6" s="93">
        <f t="shared" si="10"/>
        <v>35100000</v>
      </c>
      <c r="DQ6" s="93">
        <f t="shared" si="10"/>
        <v>35100000</v>
      </c>
      <c r="DR6" s="93">
        <f t="shared" si="10"/>
        <v>35100000</v>
      </c>
      <c r="DS6" s="93">
        <f t="shared" si="10"/>
        <v>35100000</v>
      </c>
      <c r="DT6" s="93">
        <f t="shared" si="10"/>
        <v>35100000</v>
      </c>
      <c r="DU6" s="93">
        <f t="shared" si="10"/>
        <v>35100000</v>
      </c>
      <c r="DV6" s="93">
        <f t="shared" si="10"/>
        <v>35100000</v>
      </c>
    </row>
    <row r="7" spans="1:126" x14ac:dyDescent="0.25">
      <c r="A7" t="s">
        <v>154</v>
      </c>
      <c r="B7" s="3">
        <v>51471072.810000002</v>
      </c>
      <c r="E7" s="92" t="s">
        <v>155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 s="93"/>
      <c r="DJ7" s="93"/>
      <c r="DK7" s="93"/>
      <c r="DL7" s="93"/>
      <c r="DM7" s="93"/>
      <c r="DN7" s="93"/>
      <c r="DO7" s="93"/>
      <c r="DP7" s="93"/>
      <c r="DQ7" s="93"/>
      <c r="DR7" s="93"/>
      <c r="DS7" s="93"/>
      <c r="DT7" s="93"/>
      <c r="DU7" s="93"/>
      <c r="DV7" s="93"/>
    </row>
    <row r="8" spans="1:126" x14ac:dyDescent="0.25">
      <c r="A8" t="s">
        <v>158</v>
      </c>
      <c r="B8" s="38">
        <v>350000000</v>
      </c>
      <c r="E8" s="92" t="s">
        <v>156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>
        <v>20000000</v>
      </c>
      <c r="Q8" s="93">
        <v>20000000</v>
      </c>
      <c r="R8" s="93">
        <v>20000000</v>
      </c>
      <c r="S8" s="93">
        <v>20000000</v>
      </c>
      <c r="T8" s="93">
        <v>20000000</v>
      </c>
      <c r="U8" s="93">
        <v>20000000</v>
      </c>
      <c r="V8" s="93">
        <v>20000000</v>
      </c>
      <c r="W8" s="93">
        <v>20000000</v>
      </c>
      <c r="X8" s="93">
        <v>20000000</v>
      </c>
      <c r="Y8" s="93">
        <v>20000000</v>
      </c>
      <c r="Z8" s="93">
        <v>20000000</v>
      </c>
      <c r="AA8" s="93">
        <v>20000000</v>
      </c>
      <c r="AB8" s="93">
        <v>20000000</v>
      </c>
      <c r="AC8" s="93">
        <v>20000000</v>
      </c>
      <c r="AD8" s="93">
        <v>20000000</v>
      </c>
      <c r="AE8" s="93">
        <v>20000000</v>
      </c>
      <c r="AF8" s="93">
        <v>20000000</v>
      </c>
      <c r="AG8" s="93">
        <v>20000000</v>
      </c>
      <c r="AH8" s="93">
        <v>20000000</v>
      </c>
      <c r="AI8" s="93">
        <v>20000000</v>
      </c>
      <c r="AJ8" s="93">
        <v>20000000</v>
      </c>
      <c r="AK8" s="93">
        <v>20000000</v>
      </c>
      <c r="AL8" s="93">
        <v>20000000</v>
      </c>
      <c r="AM8" s="93">
        <v>20000000</v>
      </c>
      <c r="AN8" s="93">
        <v>20000000</v>
      </c>
      <c r="AO8" s="93">
        <v>20000000</v>
      </c>
      <c r="AP8" s="93">
        <v>20000000</v>
      </c>
      <c r="AQ8" s="93">
        <v>20000000</v>
      </c>
      <c r="AR8" s="93">
        <v>20000000</v>
      </c>
      <c r="AS8" s="93">
        <v>20000000</v>
      </c>
      <c r="AT8" s="93">
        <v>20000000</v>
      </c>
      <c r="AU8" s="93">
        <v>20000000</v>
      </c>
      <c r="AV8" s="93">
        <v>20000000</v>
      </c>
      <c r="AW8" s="93">
        <v>20000000</v>
      </c>
      <c r="AX8" s="93">
        <v>20000000</v>
      </c>
      <c r="AY8" s="93">
        <v>20000000</v>
      </c>
      <c r="AZ8" s="93">
        <v>20000000</v>
      </c>
      <c r="BA8" s="93">
        <v>20000000</v>
      </c>
      <c r="BB8" s="93">
        <v>20000000</v>
      </c>
      <c r="BC8" s="93">
        <v>20000000</v>
      </c>
      <c r="BD8" s="93">
        <v>20000000</v>
      </c>
      <c r="BE8" s="93">
        <v>20000000</v>
      </c>
      <c r="BF8" s="93">
        <v>20000000</v>
      </c>
      <c r="BG8" s="93">
        <v>20000000</v>
      </c>
      <c r="BH8" s="93">
        <v>20000000</v>
      </c>
      <c r="BI8" s="93">
        <v>20000000</v>
      </c>
      <c r="BJ8" s="93">
        <v>20000000</v>
      </c>
      <c r="BK8" s="93">
        <v>20000000</v>
      </c>
      <c r="BL8" s="93">
        <v>20000000</v>
      </c>
      <c r="BM8" s="93">
        <v>20000000</v>
      </c>
      <c r="BN8" s="93">
        <v>20000000</v>
      </c>
      <c r="BO8" s="93">
        <v>20000000</v>
      </c>
      <c r="BP8" s="93">
        <v>20000000</v>
      </c>
      <c r="BQ8" s="93">
        <v>20000000</v>
      </c>
      <c r="BR8" s="93">
        <v>20000000</v>
      </c>
      <c r="BS8" s="93">
        <v>20000000</v>
      </c>
      <c r="BT8" s="93">
        <v>20000000</v>
      </c>
      <c r="BU8" s="93">
        <v>20000000</v>
      </c>
      <c r="BV8" s="93">
        <v>20000000</v>
      </c>
      <c r="BW8" s="93">
        <v>20000000</v>
      </c>
      <c r="BX8" s="93">
        <v>20000000</v>
      </c>
      <c r="BY8" s="93">
        <v>20000000</v>
      </c>
      <c r="BZ8" s="93">
        <v>20000000</v>
      </c>
      <c r="CA8" s="93">
        <v>20000000</v>
      </c>
      <c r="CB8" s="93">
        <v>20000000</v>
      </c>
      <c r="CC8" s="93">
        <v>20000000</v>
      </c>
      <c r="CD8" s="93">
        <v>20000000</v>
      </c>
      <c r="CE8" s="93">
        <v>20000000</v>
      </c>
      <c r="CF8" s="93">
        <v>20000000</v>
      </c>
      <c r="CG8" s="93">
        <v>20000000</v>
      </c>
      <c r="CH8" s="93">
        <v>20000000</v>
      </c>
      <c r="CI8" s="93">
        <v>20000000</v>
      </c>
      <c r="CJ8" s="93">
        <v>20000000</v>
      </c>
      <c r="CK8" s="93">
        <v>20000000</v>
      </c>
      <c r="CL8" s="93">
        <v>20000000</v>
      </c>
      <c r="CM8" s="93">
        <v>20000000</v>
      </c>
      <c r="CN8" s="93">
        <v>20000000</v>
      </c>
      <c r="CO8" s="93">
        <v>20000000</v>
      </c>
      <c r="CP8" s="93">
        <v>20000000</v>
      </c>
      <c r="CQ8" s="93">
        <v>20000000</v>
      </c>
      <c r="CR8" s="93">
        <v>20000000</v>
      </c>
      <c r="CS8" s="93">
        <v>20000000</v>
      </c>
      <c r="CT8" s="93">
        <v>20000000</v>
      </c>
      <c r="CU8" s="93">
        <v>20000000</v>
      </c>
      <c r="CV8" s="93">
        <v>20000000</v>
      </c>
      <c r="CW8" s="93">
        <v>20000000</v>
      </c>
      <c r="CX8" s="93">
        <v>20000000</v>
      </c>
      <c r="CY8" s="93">
        <v>20000000</v>
      </c>
      <c r="CZ8" s="93">
        <v>20000000</v>
      </c>
      <c r="DA8" s="93">
        <v>20000000</v>
      </c>
      <c r="DB8" s="93">
        <v>20000000</v>
      </c>
      <c r="DC8" s="93">
        <v>20000000</v>
      </c>
      <c r="DD8" s="93">
        <v>20000000</v>
      </c>
      <c r="DE8" s="93">
        <v>20000000</v>
      </c>
      <c r="DF8" s="93">
        <v>20000000</v>
      </c>
      <c r="DG8" s="93">
        <v>20000000</v>
      </c>
      <c r="DH8" s="93">
        <v>20000000</v>
      </c>
      <c r="DI8" s="93">
        <v>20000000</v>
      </c>
      <c r="DJ8" s="93">
        <v>20000000</v>
      </c>
      <c r="DK8" s="93">
        <v>20000000</v>
      </c>
      <c r="DL8" s="93">
        <v>20000000</v>
      </c>
      <c r="DM8" s="93">
        <v>20000000</v>
      </c>
      <c r="DN8" s="93">
        <v>20000000</v>
      </c>
      <c r="DO8" s="93">
        <v>20000000</v>
      </c>
      <c r="DP8" s="93">
        <v>20000000</v>
      </c>
      <c r="DQ8" s="93">
        <v>20000000</v>
      </c>
      <c r="DR8" s="93">
        <v>20000000</v>
      </c>
      <c r="DS8" s="93">
        <v>20000000</v>
      </c>
      <c r="DT8" s="93">
        <v>20000000</v>
      </c>
      <c r="DU8" s="93">
        <v>20000000</v>
      </c>
      <c r="DV8" s="93">
        <v>20000000</v>
      </c>
    </row>
    <row r="9" spans="1:126" x14ac:dyDescent="0.25">
      <c r="A9" t="s">
        <v>128</v>
      </c>
      <c r="B9" s="73">
        <f>'Flujo de Caja'!B42</f>
        <v>9.1600000000000001E-2</v>
      </c>
      <c r="C9" t="s">
        <v>129</v>
      </c>
      <c r="E9" s="90" t="s">
        <v>109</v>
      </c>
      <c r="F9" s="91"/>
      <c r="G9" s="91">
        <f>G10</f>
        <v>0</v>
      </c>
      <c r="H9" s="91">
        <f t="shared" ref="H9:BS9" si="11">H10</f>
        <v>0</v>
      </c>
      <c r="I9" s="91">
        <f t="shared" si="11"/>
        <v>0</v>
      </c>
      <c r="J9" s="91">
        <f t="shared" si="11"/>
        <v>0</v>
      </c>
      <c r="K9" s="91">
        <f t="shared" si="11"/>
        <v>0</v>
      </c>
      <c r="L9" s="91">
        <f t="shared" si="11"/>
        <v>0</v>
      </c>
      <c r="M9" s="91">
        <f t="shared" si="11"/>
        <v>0</v>
      </c>
      <c r="N9" s="91">
        <f t="shared" si="11"/>
        <v>0</v>
      </c>
      <c r="O9" s="91">
        <f t="shared" si="11"/>
        <v>0</v>
      </c>
      <c r="P9" s="91">
        <f t="shared" si="11"/>
        <v>0</v>
      </c>
      <c r="Q9" s="91">
        <f t="shared" si="11"/>
        <v>0</v>
      </c>
      <c r="R9" s="91">
        <f t="shared" si="11"/>
        <v>0</v>
      </c>
      <c r="S9" s="91">
        <f t="shared" si="11"/>
        <v>0</v>
      </c>
      <c r="T9" s="91">
        <f t="shared" si="11"/>
        <v>0</v>
      </c>
      <c r="U9" s="91">
        <f t="shared" si="11"/>
        <v>0</v>
      </c>
      <c r="V9" s="91">
        <f t="shared" si="11"/>
        <v>0</v>
      </c>
      <c r="W9" s="91">
        <f t="shared" si="11"/>
        <v>0</v>
      </c>
      <c r="X9" s="91">
        <f t="shared" si="11"/>
        <v>0</v>
      </c>
      <c r="Y9" s="91">
        <f t="shared" si="11"/>
        <v>0</v>
      </c>
      <c r="Z9" s="91">
        <f t="shared" si="11"/>
        <v>0</v>
      </c>
      <c r="AA9" s="91">
        <f t="shared" si="11"/>
        <v>0</v>
      </c>
      <c r="AB9" s="91">
        <f t="shared" si="11"/>
        <v>0</v>
      </c>
      <c r="AC9" s="91">
        <f t="shared" si="11"/>
        <v>0</v>
      </c>
      <c r="AD9" s="91">
        <f t="shared" si="11"/>
        <v>0</v>
      </c>
      <c r="AE9" s="91">
        <f t="shared" si="11"/>
        <v>0</v>
      </c>
      <c r="AF9" s="91">
        <f t="shared" si="11"/>
        <v>0</v>
      </c>
      <c r="AG9" s="91">
        <f t="shared" si="11"/>
        <v>0</v>
      </c>
      <c r="AH9" s="91">
        <f t="shared" si="11"/>
        <v>0</v>
      </c>
      <c r="AI9" s="91">
        <f t="shared" si="11"/>
        <v>0</v>
      </c>
      <c r="AJ9" s="91">
        <f t="shared" si="11"/>
        <v>0</v>
      </c>
      <c r="AK9" s="91">
        <f t="shared" si="11"/>
        <v>0</v>
      </c>
      <c r="AL9" s="91">
        <f t="shared" si="11"/>
        <v>0</v>
      </c>
      <c r="AM9" s="91">
        <f t="shared" si="11"/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si="11"/>
        <v>0</v>
      </c>
      <c r="BC9" s="91">
        <f t="shared" si="11"/>
        <v>0</v>
      </c>
      <c r="BD9" s="91">
        <f t="shared" si="11"/>
        <v>0</v>
      </c>
      <c r="BE9" s="91">
        <f t="shared" si="11"/>
        <v>0</v>
      </c>
      <c r="BF9" s="91">
        <f t="shared" si="11"/>
        <v>0</v>
      </c>
      <c r="BG9" s="91">
        <f t="shared" si="11"/>
        <v>0</v>
      </c>
      <c r="BH9" s="91">
        <f t="shared" si="11"/>
        <v>0</v>
      </c>
      <c r="BI9" s="91">
        <f t="shared" si="11"/>
        <v>0</v>
      </c>
      <c r="BJ9" s="91">
        <f t="shared" si="11"/>
        <v>0</v>
      </c>
      <c r="BK9" s="91">
        <f t="shared" si="11"/>
        <v>0</v>
      </c>
      <c r="BL9" s="91">
        <f t="shared" si="11"/>
        <v>0</v>
      </c>
      <c r="BM9" s="91">
        <f t="shared" si="11"/>
        <v>0</v>
      </c>
      <c r="BN9" s="91">
        <f t="shared" si="11"/>
        <v>0</v>
      </c>
      <c r="BO9" s="91">
        <f t="shared" si="11"/>
        <v>0</v>
      </c>
      <c r="BP9" s="91">
        <f t="shared" si="11"/>
        <v>0</v>
      </c>
      <c r="BQ9" s="91">
        <f t="shared" si="11"/>
        <v>0</v>
      </c>
      <c r="BR9" s="91">
        <f t="shared" si="11"/>
        <v>0</v>
      </c>
      <c r="BS9" s="91">
        <f t="shared" si="11"/>
        <v>0</v>
      </c>
      <c r="BT9" s="91">
        <f t="shared" ref="BT9:DV9" si="12">BT10</f>
        <v>0</v>
      </c>
      <c r="BU9" s="91">
        <f t="shared" si="12"/>
        <v>0</v>
      </c>
      <c r="BV9" s="91">
        <f t="shared" si="12"/>
        <v>0</v>
      </c>
      <c r="BW9" s="91">
        <f t="shared" si="12"/>
        <v>0</v>
      </c>
      <c r="BX9" s="91">
        <f t="shared" si="12"/>
        <v>0</v>
      </c>
      <c r="BY9" s="91">
        <f t="shared" si="12"/>
        <v>0</v>
      </c>
      <c r="BZ9" s="91">
        <f t="shared" si="12"/>
        <v>0</v>
      </c>
      <c r="CA9" s="91">
        <f t="shared" si="12"/>
        <v>0</v>
      </c>
      <c r="CB9" s="91">
        <f t="shared" si="12"/>
        <v>0</v>
      </c>
      <c r="CC9" s="91">
        <f t="shared" si="12"/>
        <v>0</v>
      </c>
      <c r="CD9" s="91">
        <f t="shared" si="12"/>
        <v>0</v>
      </c>
      <c r="CE9" s="91">
        <f t="shared" si="12"/>
        <v>0</v>
      </c>
      <c r="CF9" s="91">
        <f t="shared" si="12"/>
        <v>0</v>
      </c>
      <c r="CG9" s="91">
        <f t="shared" si="12"/>
        <v>0</v>
      </c>
      <c r="CH9" s="91">
        <f t="shared" si="12"/>
        <v>0</v>
      </c>
      <c r="CI9" s="91">
        <f t="shared" si="12"/>
        <v>0</v>
      </c>
      <c r="CJ9" s="91">
        <f t="shared" si="12"/>
        <v>0</v>
      </c>
      <c r="CK9" s="91">
        <f t="shared" si="12"/>
        <v>0</v>
      </c>
      <c r="CL9" s="91">
        <f t="shared" si="12"/>
        <v>0</v>
      </c>
      <c r="CM9" s="91">
        <f t="shared" si="12"/>
        <v>0</v>
      </c>
      <c r="CN9" s="91">
        <f t="shared" si="12"/>
        <v>0</v>
      </c>
      <c r="CO9" s="91">
        <f t="shared" si="12"/>
        <v>0</v>
      </c>
      <c r="CP9" s="91">
        <f t="shared" si="12"/>
        <v>0</v>
      </c>
      <c r="CQ9" s="91">
        <f t="shared" si="12"/>
        <v>0</v>
      </c>
      <c r="CR9" s="91">
        <f t="shared" si="12"/>
        <v>0</v>
      </c>
      <c r="CS9" s="91">
        <f t="shared" si="12"/>
        <v>0</v>
      </c>
      <c r="CT9" s="91">
        <f t="shared" si="12"/>
        <v>0</v>
      </c>
      <c r="CU9" s="91">
        <f t="shared" si="12"/>
        <v>0</v>
      </c>
      <c r="CV9" s="91">
        <f t="shared" si="12"/>
        <v>0</v>
      </c>
      <c r="CW9" s="91">
        <f t="shared" si="12"/>
        <v>0</v>
      </c>
      <c r="CX9" s="91">
        <f t="shared" si="12"/>
        <v>0</v>
      </c>
      <c r="CY9" s="91">
        <f t="shared" si="12"/>
        <v>0</v>
      </c>
      <c r="CZ9" s="91">
        <f t="shared" si="12"/>
        <v>0</v>
      </c>
      <c r="DA9" s="91">
        <f t="shared" si="12"/>
        <v>0</v>
      </c>
      <c r="DB9" s="91">
        <f t="shared" si="12"/>
        <v>0</v>
      </c>
      <c r="DC9" s="91">
        <f t="shared" si="12"/>
        <v>0</v>
      </c>
      <c r="DD9" s="91">
        <f t="shared" si="12"/>
        <v>0</v>
      </c>
      <c r="DE9" s="91">
        <f t="shared" si="12"/>
        <v>0</v>
      </c>
      <c r="DF9" s="91">
        <f t="shared" si="12"/>
        <v>0</v>
      </c>
      <c r="DG9" s="91">
        <f t="shared" si="12"/>
        <v>0</v>
      </c>
      <c r="DH9" s="91">
        <f t="shared" si="12"/>
        <v>0</v>
      </c>
      <c r="DI9" s="91">
        <f t="shared" si="12"/>
        <v>0</v>
      </c>
      <c r="DJ9" s="91">
        <f t="shared" si="12"/>
        <v>0</v>
      </c>
      <c r="DK9" s="91">
        <f t="shared" si="12"/>
        <v>0</v>
      </c>
      <c r="DL9" s="91">
        <f t="shared" si="12"/>
        <v>0</v>
      </c>
      <c r="DM9" s="91">
        <f t="shared" si="12"/>
        <v>0</v>
      </c>
      <c r="DN9" s="91">
        <f t="shared" si="12"/>
        <v>0</v>
      </c>
      <c r="DO9" s="91">
        <f t="shared" si="12"/>
        <v>0</v>
      </c>
      <c r="DP9" s="91">
        <f t="shared" si="12"/>
        <v>0</v>
      </c>
      <c r="DQ9" s="91">
        <f t="shared" si="12"/>
        <v>0</v>
      </c>
      <c r="DR9" s="91">
        <f t="shared" si="12"/>
        <v>0</v>
      </c>
      <c r="DS9" s="91">
        <f t="shared" si="12"/>
        <v>0</v>
      </c>
      <c r="DT9" s="91">
        <f t="shared" si="12"/>
        <v>0</v>
      </c>
      <c r="DU9" s="91">
        <f t="shared" si="12"/>
        <v>0</v>
      </c>
      <c r="DV9" s="91">
        <f t="shared" si="12"/>
        <v>0</v>
      </c>
    </row>
    <row r="10" spans="1:126" x14ac:dyDescent="0.25">
      <c r="A10" t="s">
        <v>128</v>
      </c>
      <c r="B10" s="73">
        <f>'Flujo de Caja'!B43</f>
        <v>7.3304462918302171E-3</v>
      </c>
      <c r="C10" t="s">
        <v>130</v>
      </c>
      <c r="E10" s="92" t="s">
        <v>157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</row>
    <row r="11" spans="1:126" x14ac:dyDescent="0.25">
      <c r="A11" t="s">
        <v>161</v>
      </c>
      <c r="B11" s="38">
        <v>3600000000</v>
      </c>
      <c r="E11" s="88" t="s">
        <v>159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8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>
        <f>B8</f>
        <v>350000000</v>
      </c>
    </row>
    <row r="12" spans="1:126" x14ac:dyDescent="0.25"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</row>
    <row r="13" spans="1:126" x14ac:dyDescent="0.25">
      <c r="E13" t="s">
        <v>160</v>
      </c>
      <c r="F13" s="72">
        <f t="shared" ref="F13:AK13" si="13">F3+F4+F11</f>
        <v>0</v>
      </c>
      <c r="G13" s="72">
        <f t="shared" si="13"/>
        <v>-600000000</v>
      </c>
      <c r="H13" s="72">
        <f t="shared" si="13"/>
        <v>-600000000</v>
      </c>
      <c r="I13" s="72">
        <f t="shared" si="13"/>
        <v>-600000000</v>
      </c>
      <c r="J13" s="72">
        <f t="shared" si="13"/>
        <v>-600000000</v>
      </c>
      <c r="K13" s="72">
        <f t="shared" si="13"/>
        <v>-600000000</v>
      </c>
      <c r="L13" s="72">
        <f t="shared" si="13"/>
        <v>-600000000</v>
      </c>
      <c r="M13" s="72">
        <f t="shared" si="13"/>
        <v>0</v>
      </c>
      <c r="N13" s="72">
        <f t="shared" si="13"/>
        <v>0</v>
      </c>
      <c r="O13" s="72">
        <f t="shared" si="13"/>
        <v>0</v>
      </c>
      <c r="P13" s="72">
        <f t="shared" si="13"/>
        <v>55100000</v>
      </c>
      <c r="Q13" s="72">
        <f t="shared" si="13"/>
        <v>55100000</v>
      </c>
      <c r="R13" s="72">
        <f t="shared" si="13"/>
        <v>55100000</v>
      </c>
      <c r="S13" s="72">
        <f t="shared" si="13"/>
        <v>55100000</v>
      </c>
      <c r="T13" s="72">
        <f t="shared" si="13"/>
        <v>55100000</v>
      </c>
      <c r="U13" s="72">
        <f t="shared" si="13"/>
        <v>55100000</v>
      </c>
      <c r="V13" s="72">
        <f t="shared" si="13"/>
        <v>55100000</v>
      </c>
      <c r="W13" s="72">
        <f t="shared" si="13"/>
        <v>55100000</v>
      </c>
      <c r="X13" s="72">
        <f t="shared" si="13"/>
        <v>55100000</v>
      </c>
      <c r="Y13" s="72">
        <f t="shared" si="13"/>
        <v>55100000</v>
      </c>
      <c r="Z13" s="72">
        <f t="shared" si="13"/>
        <v>55100000</v>
      </c>
      <c r="AA13" s="72">
        <f t="shared" si="13"/>
        <v>55100000</v>
      </c>
      <c r="AB13" s="72">
        <f t="shared" si="13"/>
        <v>55100000</v>
      </c>
      <c r="AC13" s="72">
        <f t="shared" si="13"/>
        <v>55100000</v>
      </c>
      <c r="AD13" s="72">
        <f t="shared" si="13"/>
        <v>55100000</v>
      </c>
      <c r="AE13" s="72">
        <f t="shared" si="13"/>
        <v>55100000</v>
      </c>
      <c r="AF13" s="72">
        <f t="shared" si="13"/>
        <v>55100000</v>
      </c>
      <c r="AG13" s="72">
        <f t="shared" si="13"/>
        <v>55100000</v>
      </c>
      <c r="AH13" s="72">
        <f t="shared" si="13"/>
        <v>55100000</v>
      </c>
      <c r="AI13" s="72">
        <f t="shared" si="13"/>
        <v>55100000</v>
      </c>
      <c r="AJ13" s="72">
        <f t="shared" si="13"/>
        <v>55100000</v>
      </c>
      <c r="AK13" s="72">
        <f t="shared" si="13"/>
        <v>55100000</v>
      </c>
      <c r="AL13" s="72">
        <f t="shared" ref="AL13:BQ13" si="14">AL3+AL4+AL11</f>
        <v>55100000</v>
      </c>
      <c r="AM13" s="72">
        <f t="shared" si="14"/>
        <v>55100000</v>
      </c>
      <c r="AN13" s="72">
        <f t="shared" si="14"/>
        <v>55100000</v>
      </c>
      <c r="AO13" s="72">
        <f t="shared" si="14"/>
        <v>55100000</v>
      </c>
      <c r="AP13" s="72">
        <f t="shared" si="14"/>
        <v>55100000</v>
      </c>
      <c r="AQ13" s="72">
        <f t="shared" si="14"/>
        <v>55100000</v>
      </c>
      <c r="AR13" s="72">
        <f t="shared" si="14"/>
        <v>55100000</v>
      </c>
      <c r="AS13" s="72">
        <f t="shared" si="14"/>
        <v>55100000</v>
      </c>
      <c r="AT13" s="72">
        <f t="shared" si="14"/>
        <v>55100000</v>
      </c>
      <c r="AU13" s="72">
        <f t="shared" si="14"/>
        <v>55100000</v>
      </c>
      <c r="AV13" s="72">
        <f t="shared" si="14"/>
        <v>55100000</v>
      </c>
      <c r="AW13" s="72">
        <f t="shared" si="14"/>
        <v>55100000</v>
      </c>
      <c r="AX13" s="72">
        <f t="shared" si="14"/>
        <v>55100000</v>
      </c>
      <c r="AY13" s="72">
        <f t="shared" si="14"/>
        <v>55100000</v>
      </c>
      <c r="AZ13" s="72">
        <f t="shared" si="14"/>
        <v>55100000</v>
      </c>
      <c r="BA13" s="72">
        <f t="shared" si="14"/>
        <v>55100000</v>
      </c>
      <c r="BB13" s="72">
        <f t="shared" si="14"/>
        <v>55100000</v>
      </c>
      <c r="BC13" s="72">
        <f t="shared" si="14"/>
        <v>55100000</v>
      </c>
      <c r="BD13" s="72">
        <f t="shared" si="14"/>
        <v>55100000</v>
      </c>
      <c r="BE13" s="72">
        <f t="shared" si="14"/>
        <v>55100000</v>
      </c>
      <c r="BF13" s="72">
        <f t="shared" si="14"/>
        <v>55100000</v>
      </c>
      <c r="BG13" s="72">
        <f t="shared" si="14"/>
        <v>55100000</v>
      </c>
      <c r="BH13" s="72">
        <f t="shared" si="14"/>
        <v>55100000</v>
      </c>
      <c r="BI13" s="72">
        <f t="shared" si="14"/>
        <v>55100000</v>
      </c>
      <c r="BJ13" s="72">
        <f t="shared" si="14"/>
        <v>55100000</v>
      </c>
      <c r="BK13" s="72">
        <f t="shared" si="14"/>
        <v>55100000</v>
      </c>
      <c r="BL13" s="72">
        <f t="shared" si="14"/>
        <v>55100000</v>
      </c>
      <c r="BM13" s="72">
        <f t="shared" si="14"/>
        <v>55100000</v>
      </c>
      <c r="BN13" s="72">
        <f t="shared" si="14"/>
        <v>55100000</v>
      </c>
      <c r="BO13" s="72">
        <f t="shared" si="14"/>
        <v>55100000</v>
      </c>
      <c r="BP13" s="72">
        <f t="shared" si="14"/>
        <v>55100000</v>
      </c>
      <c r="BQ13" s="72">
        <f t="shared" si="14"/>
        <v>55100000</v>
      </c>
      <c r="BR13" s="72">
        <f t="shared" ref="BR13:CW13" si="15">BR3+BR4+BR11</f>
        <v>55100000</v>
      </c>
      <c r="BS13" s="72">
        <f t="shared" si="15"/>
        <v>55100000</v>
      </c>
      <c r="BT13" s="72">
        <f t="shared" si="15"/>
        <v>55100000</v>
      </c>
      <c r="BU13" s="72">
        <f t="shared" si="15"/>
        <v>55100000</v>
      </c>
      <c r="BV13" s="72">
        <f t="shared" si="15"/>
        <v>55100000</v>
      </c>
      <c r="BW13" s="72">
        <f t="shared" si="15"/>
        <v>55100000</v>
      </c>
      <c r="BX13" s="72">
        <f t="shared" si="15"/>
        <v>55100000</v>
      </c>
      <c r="BY13" s="72">
        <f t="shared" si="15"/>
        <v>55100000</v>
      </c>
      <c r="BZ13" s="72">
        <f t="shared" si="15"/>
        <v>55100000</v>
      </c>
      <c r="CA13" s="72">
        <f t="shared" si="15"/>
        <v>55100000</v>
      </c>
      <c r="CB13" s="72">
        <f t="shared" si="15"/>
        <v>55100000</v>
      </c>
      <c r="CC13" s="72">
        <f t="shared" si="15"/>
        <v>55100000</v>
      </c>
      <c r="CD13" s="72">
        <f t="shared" si="15"/>
        <v>55100000</v>
      </c>
      <c r="CE13" s="72">
        <f t="shared" si="15"/>
        <v>55100000</v>
      </c>
      <c r="CF13" s="72">
        <f t="shared" si="15"/>
        <v>55100000</v>
      </c>
      <c r="CG13" s="72">
        <f t="shared" si="15"/>
        <v>55100000</v>
      </c>
      <c r="CH13" s="72">
        <f t="shared" si="15"/>
        <v>55100000</v>
      </c>
      <c r="CI13" s="72">
        <f t="shared" si="15"/>
        <v>55100000</v>
      </c>
      <c r="CJ13" s="72">
        <f t="shared" si="15"/>
        <v>55100000</v>
      </c>
      <c r="CK13" s="72">
        <f t="shared" si="15"/>
        <v>55100000</v>
      </c>
      <c r="CL13" s="72">
        <f t="shared" si="15"/>
        <v>55100000</v>
      </c>
      <c r="CM13" s="72">
        <f t="shared" si="15"/>
        <v>55100000</v>
      </c>
      <c r="CN13" s="72">
        <f t="shared" si="15"/>
        <v>55100000</v>
      </c>
      <c r="CO13" s="72">
        <f t="shared" si="15"/>
        <v>55100000</v>
      </c>
      <c r="CP13" s="72">
        <f t="shared" si="15"/>
        <v>55100000</v>
      </c>
      <c r="CQ13" s="72">
        <f t="shared" si="15"/>
        <v>55100000</v>
      </c>
      <c r="CR13" s="72">
        <f t="shared" si="15"/>
        <v>55100000</v>
      </c>
      <c r="CS13" s="72">
        <f t="shared" si="15"/>
        <v>55100000</v>
      </c>
      <c r="CT13" s="72">
        <f t="shared" si="15"/>
        <v>55100000</v>
      </c>
      <c r="CU13" s="72">
        <f t="shared" si="15"/>
        <v>55100000</v>
      </c>
      <c r="CV13" s="72">
        <f t="shared" si="15"/>
        <v>55100000</v>
      </c>
      <c r="CW13" s="72">
        <f t="shared" si="15"/>
        <v>55100000</v>
      </c>
      <c r="CX13" s="72">
        <f t="shared" ref="CX13:DV13" si="16">CX3+CX4+CX11</f>
        <v>55100000</v>
      </c>
      <c r="CY13" s="72">
        <f t="shared" si="16"/>
        <v>55100000</v>
      </c>
      <c r="CZ13" s="72">
        <f t="shared" si="16"/>
        <v>55100000</v>
      </c>
      <c r="DA13" s="72">
        <f t="shared" si="16"/>
        <v>55100000</v>
      </c>
      <c r="DB13" s="72">
        <f t="shared" si="16"/>
        <v>55100000</v>
      </c>
      <c r="DC13" s="72">
        <f t="shared" si="16"/>
        <v>55100000</v>
      </c>
      <c r="DD13" s="72">
        <f t="shared" si="16"/>
        <v>55100000</v>
      </c>
      <c r="DE13" s="72">
        <f t="shared" si="16"/>
        <v>55100000</v>
      </c>
      <c r="DF13" s="72">
        <f t="shared" si="16"/>
        <v>55100000</v>
      </c>
      <c r="DG13" s="72">
        <f t="shared" si="16"/>
        <v>55100000</v>
      </c>
      <c r="DH13" s="72">
        <f t="shared" si="16"/>
        <v>55100000</v>
      </c>
      <c r="DI13" s="72">
        <f t="shared" si="16"/>
        <v>55100000</v>
      </c>
      <c r="DJ13" s="72">
        <f t="shared" si="16"/>
        <v>55100000</v>
      </c>
      <c r="DK13" s="72">
        <f t="shared" si="16"/>
        <v>55100000</v>
      </c>
      <c r="DL13" s="72">
        <f t="shared" si="16"/>
        <v>55100000</v>
      </c>
      <c r="DM13" s="72">
        <f t="shared" si="16"/>
        <v>55100000</v>
      </c>
      <c r="DN13" s="72">
        <f t="shared" si="16"/>
        <v>55100000</v>
      </c>
      <c r="DO13" s="72">
        <f t="shared" si="16"/>
        <v>55100000</v>
      </c>
      <c r="DP13" s="72">
        <f t="shared" si="16"/>
        <v>55100000</v>
      </c>
      <c r="DQ13" s="72">
        <f t="shared" si="16"/>
        <v>55100000</v>
      </c>
      <c r="DR13" s="72">
        <f t="shared" si="16"/>
        <v>55100000</v>
      </c>
      <c r="DS13" s="72">
        <f t="shared" si="16"/>
        <v>55100000</v>
      </c>
      <c r="DT13" s="72">
        <f t="shared" si="16"/>
        <v>55100000</v>
      </c>
      <c r="DU13" s="72">
        <f t="shared" si="16"/>
        <v>55100000</v>
      </c>
      <c r="DV13" s="72">
        <f t="shared" si="16"/>
        <v>405100000</v>
      </c>
    </row>
    <row r="14" spans="1:126" x14ac:dyDescent="0.25">
      <c r="E14" t="s">
        <v>131</v>
      </c>
      <c r="F14" s="72">
        <f>NPV($B$10,G13:DV13)+F13</f>
        <v>545813452.70861983</v>
      </c>
      <c r="G14" s="72"/>
      <c r="H14" s="72"/>
      <c r="I14" s="72"/>
      <c r="J14" s="72"/>
      <c r="K14" s="72"/>
      <c r="L14" s="72"/>
      <c r="M14" s="72"/>
      <c r="N14" s="72"/>
      <c r="O14" s="87"/>
      <c r="P14" s="87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</row>
    <row r="15" spans="1:126" x14ac:dyDescent="0.25">
      <c r="E15" t="s">
        <v>132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87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</row>
    <row r="16" spans="1:126" x14ac:dyDescent="0.25">
      <c r="E16" t="s">
        <v>133</v>
      </c>
      <c r="F16" s="72"/>
      <c r="G16" s="72"/>
      <c r="H16" s="72"/>
      <c r="I16" s="86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</row>
    <row r="17" spans="6:126" x14ac:dyDescent="0.25">
      <c r="F17" s="72"/>
      <c r="G17" s="72"/>
      <c r="H17" s="72"/>
      <c r="I17" s="86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</row>
    <row r="18" spans="6:126" x14ac:dyDescent="0.25"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</row>
    <row r="19" spans="6:126" x14ac:dyDescent="0.25"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</row>
    <row r="20" spans="6:126" x14ac:dyDescent="0.25"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</row>
    <row r="21" spans="6:126" x14ac:dyDescent="0.25"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</row>
    <row r="22" spans="6:126" x14ac:dyDescent="0.25"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</row>
    <row r="23" spans="6:126" x14ac:dyDescent="0.25"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</row>
    <row r="24" spans="6:126" x14ac:dyDescent="0.25"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</row>
  </sheetData>
  <mergeCells count="1">
    <mergeCell ref="F1:D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V27"/>
  <sheetViews>
    <sheetView showGridLines="0" topLeftCell="B1" zoomScale="110" zoomScaleNormal="110" zoomScalePageLayoutView="110" workbookViewId="0">
      <selection activeCell="F17" sqref="F17"/>
    </sheetView>
  </sheetViews>
  <sheetFormatPr baseColWidth="10" defaultColWidth="10.875" defaultRowHeight="15.75" x14ac:dyDescent="0.25"/>
  <cols>
    <col min="1" max="1" width="23.625" bestFit="1" customWidth="1"/>
    <col min="2" max="2" width="15" bestFit="1" customWidth="1"/>
    <col min="3" max="3" width="4.25" bestFit="1" customWidth="1"/>
    <col min="4" max="4" width="12.75" customWidth="1"/>
    <col min="5" max="5" width="23.5" bestFit="1" customWidth="1"/>
    <col min="6" max="6" width="13.75" bestFit="1" customWidth="1"/>
    <col min="7" max="7" width="12.375" bestFit="1" customWidth="1"/>
    <col min="8" max="8" width="13.75" bestFit="1" customWidth="1"/>
    <col min="9" max="12" width="12.375" bestFit="1" customWidth="1"/>
    <col min="13" max="14" width="12.25" bestFit="1" customWidth="1"/>
    <col min="15" max="16" width="13.75" bestFit="1" customWidth="1"/>
    <col min="17" max="125" width="12.375" bestFit="1" customWidth="1"/>
    <col min="126" max="126" width="13.75" bestFit="1" customWidth="1"/>
  </cols>
  <sheetData>
    <row r="1" spans="1:126" x14ac:dyDescent="0.25">
      <c r="E1" s="29"/>
      <c r="F1" s="121" t="s">
        <v>122</v>
      </c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</row>
    <row r="2" spans="1:126" x14ac:dyDescent="0.25">
      <c r="E2" s="29"/>
      <c r="F2" s="29">
        <v>0</v>
      </c>
      <c r="G2" s="29">
        <v>1</v>
      </c>
      <c r="H2" s="29">
        <v>2</v>
      </c>
      <c r="I2" s="29">
        <v>3</v>
      </c>
      <c r="J2" s="29">
        <v>4</v>
      </c>
      <c r="K2" s="29">
        <v>5</v>
      </c>
      <c r="L2" s="29">
        <v>6</v>
      </c>
      <c r="M2" s="29">
        <v>7</v>
      </c>
      <c r="N2" s="29">
        <v>8</v>
      </c>
      <c r="O2" s="29">
        <v>9</v>
      </c>
      <c r="P2" s="29">
        <v>10</v>
      </c>
      <c r="Q2" s="29">
        <v>11</v>
      </c>
      <c r="R2" s="29">
        <v>12</v>
      </c>
      <c r="S2" s="29">
        <v>13</v>
      </c>
      <c r="T2" s="29">
        <v>14</v>
      </c>
      <c r="U2" s="29">
        <v>15</v>
      </c>
      <c r="V2" s="29">
        <v>16</v>
      </c>
      <c r="W2" s="29">
        <v>17</v>
      </c>
      <c r="X2" s="29">
        <v>18</v>
      </c>
      <c r="Y2" s="29">
        <v>19</v>
      </c>
      <c r="Z2" s="29">
        <v>20</v>
      </c>
      <c r="AA2" s="29">
        <v>21</v>
      </c>
      <c r="AB2" s="29">
        <v>22</v>
      </c>
      <c r="AC2" s="29">
        <v>23</v>
      </c>
      <c r="AD2" s="29">
        <v>24</v>
      </c>
      <c r="AE2" s="29">
        <v>25</v>
      </c>
      <c r="AF2" s="29">
        <v>26</v>
      </c>
      <c r="AG2" s="29">
        <v>27</v>
      </c>
      <c r="AH2" s="29">
        <v>28</v>
      </c>
      <c r="AI2" s="29">
        <v>29</v>
      </c>
      <c r="AJ2" s="29">
        <v>30</v>
      </c>
      <c r="AK2" s="29">
        <v>31</v>
      </c>
      <c r="AL2" s="29">
        <v>32</v>
      </c>
      <c r="AM2" s="29">
        <v>33</v>
      </c>
      <c r="AN2" s="29">
        <v>34</v>
      </c>
      <c r="AO2" s="29">
        <v>35</v>
      </c>
      <c r="AP2" s="29">
        <v>36</v>
      </c>
      <c r="AQ2" s="29">
        <v>37</v>
      </c>
      <c r="AR2" s="29">
        <v>38</v>
      </c>
      <c r="AS2" s="29">
        <v>39</v>
      </c>
      <c r="AT2" s="29">
        <v>40</v>
      </c>
      <c r="AU2" s="29">
        <v>41</v>
      </c>
      <c r="AV2" s="29">
        <v>42</v>
      </c>
      <c r="AW2" s="29">
        <v>43</v>
      </c>
      <c r="AX2" s="29">
        <v>44</v>
      </c>
      <c r="AY2" s="29">
        <v>45</v>
      </c>
      <c r="AZ2" s="29">
        <v>46</v>
      </c>
      <c r="BA2" s="29">
        <v>47</v>
      </c>
      <c r="BB2" s="29">
        <v>48</v>
      </c>
      <c r="BC2" s="29">
        <v>49</v>
      </c>
      <c r="BD2" s="29">
        <v>50</v>
      </c>
      <c r="BE2" s="29">
        <v>51</v>
      </c>
      <c r="BF2" s="29">
        <v>52</v>
      </c>
      <c r="BG2" s="29">
        <v>53</v>
      </c>
      <c r="BH2" s="29">
        <v>54</v>
      </c>
      <c r="BI2" s="29">
        <v>55</v>
      </c>
      <c r="BJ2" s="29">
        <v>56</v>
      </c>
      <c r="BK2" s="29">
        <v>57</v>
      </c>
      <c r="BL2" s="29">
        <v>58</v>
      </c>
      <c r="BM2" s="29">
        <v>59</v>
      </c>
      <c r="BN2" s="29">
        <v>60</v>
      </c>
      <c r="BO2" s="29">
        <v>61</v>
      </c>
      <c r="BP2" s="29">
        <v>62</v>
      </c>
      <c r="BQ2" s="29">
        <v>63</v>
      </c>
      <c r="BR2" s="29">
        <v>64</v>
      </c>
      <c r="BS2" s="29">
        <v>65</v>
      </c>
      <c r="BT2" s="29">
        <v>66</v>
      </c>
      <c r="BU2" s="29">
        <v>67</v>
      </c>
      <c r="BV2" s="29">
        <v>68</v>
      </c>
      <c r="BW2" s="29">
        <v>69</v>
      </c>
      <c r="BX2" s="29">
        <v>70</v>
      </c>
      <c r="BY2" s="29">
        <v>71</v>
      </c>
      <c r="BZ2" s="29">
        <v>72</v>
      </c>
      <c r="CA2" s="29">
        <v>73</v>
      </c>
      <c r="CB2" s="29">
        <v>74</v>
      </c>
      <c r="CC2" s="29">
        <v>75</v>
      </c>
      <c r="CD2" s="29">
        <v>76</v>
      </c>
      <c r="CE2" s="29">
        <v>77</v>
      </c>
      <c r="CF2" s="29">
        <v>78</v>
      </c>
      <c r="CG2" s="29">
        <v>79</v>
      </c>
      <c r="CH2" s="29">
        <v>80</v>
      </c>
      <c r="CI2" s="29">
        <v>81</v>
      </c>
      <c r="CJ2" s="29">
        <v>82</v>
      </c>
      <c r="CK2" s="29">
        <v>83</v>
      </c>
      <c r="CL2" s="29">
        <v>84</v>
      </c>
      <c r="CM2" s="29">
        <v>85</v>
      </c>
      <c r="CN2" s="29">
        <v>86</v>
      </c>
      <c r="CO2" s="29">
        <v>87</v>
      </c>
      <c r="CP2" s="29">
        <v>88</v>
      </c>
      <c r="CQ2" s="29">
        <v>89</v>
      </c>
      <c r="CR2" s="29">
        <v>90</v>
      </c>
      <c r="CS2" s="29">
        <v>91</v>
      </c>
      <c r="CT2" s="29">
        <v>92</v>
      </c>
      <c r="CU2" s="29">
        <v>93</v>
      </c>
      <c r="CV2" s="29">
        <v>94</v>
      </c>
      <c r="CW2" s="29">
        <v>95</v>
      </c>
      <c r="CX2" s="29">
        <v>96</v>
      </c>
      <c r="CY2" s="29">
        <v>97</v>
      </c>
      <c r="CZ2" s="29">
        <v>98</v>
      </c>
      <c r="DA2" s="29">
        <v>99</v>
      </c>
      <c r="DB2" s="29">
        <v>100</v>
      </c>
      <c r="DC2" s="29">
        <v>101</v>
      </c>
      <c r="DD2" s="29">
        <v>102</v>
      </c>
      <c r="DE2" s="29">
        <v>103</v>
      </c>
      <c r="DF2" s="29">
        <v>104</v>
      </c>
      <c r="DG2" s="29">
        <v>105</v>
      </c>
      <c r="DH2" s="29">
        <v>106</v>
      </c>
      <c r="DI2" s="29">
        <v>107</v>
      </c>
      <c r="DJ2" s="29">
        <v>108</v>
      </c>
      <c r="DK2" s="29">
        <v>109</v>
      </c>
      <c r="DL2" s="29">
        <v>110</v>
      </c>
      <c r="DM2" s="29">
        <v>111</v>
      </c>
      <c r="DN2" s="29">
        <v>112</v>
      </c>
      <c r="DO2" s="29">
        <v>113</v>
      </c>
      <c r="DP2" s="29">
        <v>114</v>
      </c>
      <c r="DQ2" s="29">
        <v>115</v>
      </c>
      <c r="DR2" s="29">
        <v>116</v>
      </c>
      <c r="DS2" s="29">
        <v>117</v>
      </c>
      <c r="DT2" s="29">
        <v>118</v>
      </c>
      <c r="DU2" s="29">
        <v>119</v>
      </c>
      <c r="DV2" s="29">
        <v>120</v>
      </c>
    </row>
    <row r="3" spans="1:126" x14ac:dyDescent="0.25">
      <c r="A3" t="s">
        <v>150</v>
      </c>
      <c r="B3">
        <v>300</v>
      </c>
      <c r="E3" s="88" t="s">
        <v>153</v>
      </c>
      <c r="F3" s="94"/>
      <c r="G3" s="89">
        <f t="shared" ref="G3:L3" si="0">-$B$11/6</f>
        <v>-600000000</v>
      </c>
      <c r="H3" s="89">
        <f t="shared" si="0"/>
        <v>-600000000</v>
      </c>
      <c r="I3" s="89">
        <f t="shared" si="0"/>
        <v>-600000000</v>
      </c>
      <c r="J3" s="89">
        <f t="shared" si="0"/>
        <v>-600000000</v>
      </c>
      <c r="K3" s="89">
        <f t="shared" si="0"/>
        <v>-600000000</v>
      </c>
      <c r="L3" s="89">
        <f t="shared" si="0"/>
        <v>-600000000</v>
      </c>
      <c r="M3" s="95"/>
      <c r="N3" s="95"/>
      <c r="O3" s="95"/>
      <c r="P3" s="95"/>
      <c r="Q3" s="95"/>
      <c r="R3" s="94"/>
      <c r="S3" s="95"/>
      <c r="T3" s="95"/>
      <c r="U3" s="95"/>
      <c r="V3" s="89"/>
      <c r="W3" s="89"/>
      <c r="X3" s="89"/>
      <c r="Y3" s="89"/>
      <c r="Z3" s="89"/>
      <c r="AA3" s="89"/>
      <c r="AB3" s="89"/>
      <c r="AC3" s="89"/>
      <c r="AD3" s="94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</row>
    <row r="4" spans="1:126" x14ac:dyDescent="0.25">
      <c r="A4" t="s">
        <v>151</v>
      </c>
      <c r="B4" s="38">
        <v>10000000</v>
      </c>
      <c r="E4" s="88" t="s">
        <v>111</v>
      </c>
      <c r="F4" s="89"/>
      <c r="G4" s="89">
        <f t="shared" ref="G4:AL4" si="1">G5+G10</f>
        <v>0</v>
      </c>
      <c r="H4" s="89">
        <f t="shared" si="1"/>
        <v>0</v>
      </c>
      <c r="I4" s="89">
        <f t="shared" si="1"/>
        <v>0</v>
      </c>
      <c r="J4" s="89">
        <f t="shared" si="1"/>
        <v>0</v>
      </c>
      <c r="K4" s="89">
        <f t="shared" si="1"/>
        <v>0</v>
      </c>
      <c r="L4" s="89">
        <f t="shared" si="1"/>
        <v>0</v>
      </c>
      <c r="M4" s="89">
        <f t="shared" si="1"/>
        <v>-129694882.20780469</v>
      </c>
      <c r="N4" s="89">
        <f t="shared" si="1"/>
        <v>-331816776.55763018</v>
      </c>
      <c r="O4" s="89">
        <f t="shared" si="1"/>
        <v>-533938670.90745568</v>
      </c>
      <c r="P4" s="89">
        <f t="shared" si="1"/>
        <v>-566931266.14977086</v>
      </c>
      <c r="Q4" s="89">
        <f t="shared" si="1"/>
        <v>89964890.487162009</v>
      </c>
      <c r="R4" s="89">
        <f t="shared" si="1"/>
        <v>89964890.487162009</v>
      </c>
      <c r="S4" s="89">
        <f t="shared" si="1"/>
        <v>89964890.487162009</v>
      </c>
      <c r="T4" s="89">
        <f t="shared" si="1"/>
        <v>89964890.487162009</v>
      </c>
      <c r="U4" s="89">
        <f t="shared" si="1"/>
        <v>89964890.487162009</v>
      </c>
      <c r="V4" s="89">
        <f t="shared" si="1"/>
        <v>89964890.487162009</v>
      </c>
      <c r="W4" s="89">
        <f t="shared" si="1"/>
        <v>89964890.487162009</v>
      </c>
      <c r="X4" s="89">
        <f t="shared" si="1"/>
        <v>89964890.487162009</v>
      </c>
      <c r="Y4" s="89">
        <f t="shared" si="1"/>
        <v>89964890.487162009</v>
      </c>
      <c r="Z4" s="89">
        <f t="shared" si="1"/>
        <v>89964890.487162009</v>
      </c>
      <c r="AA4" s="89">
        <f t="shared" si="1"/>
        <v>89964890.487162009</v>
      </c>
      <c r="AB4" s="89">
        <f t="shared" si="1"/>
        <v>89964890.487162009</v>
      </c>
      <c r="AC4" s="89">
        <f t="shared" si="1"/>
        <v>89964890.487162009</v>
      </c>
      <c r="AD4" s="89">
        <f t="shared" si="1"/>
        <v>89964890.487162009</v>
      </c>
      <c r="AE4" s="89">
        <f t="shared" si="1"/>
        <v>89964890.487162009</v>
      </c>
      <c r="AF4" s="89">
        <f t="shared" si="1"/>
        <v>89964890.487162009</v>
      </c>
      <c r="AG4" s="89">
        <f t="shared" si="1"/>
        <v>89964890.487162009</v>
      </c>
      <c r="AH4" s="89">
        <f t="shared" si="1"/>
        <v>89964890.487162009</v>
      </c>
      <c r="AI4" s="89">
        <f t="shared" si="1"/>
        <v>89964890.487162009</v>
      </c>
      <c r="AJ4" s="89">
        <f t="shared" si="1"/>
        <v>89964890.487162009</v>
      </c>
      <c r="AK4" s="89">
        <f t="shared" si="1"/>
        <v>89964890.487162009</v>
      </c>
      <c r="AL4" s="89">
        <f t="shared" si="1"/>
        <v>89964890.487162009</v>
      </c>
      <c r="AM4" s="89">
        <f t="shared" ref="AM4:BR4" si="2">AM5+AM10</f>
        <v>89964890.487162009</v>
      </c>
      <c r="AN4" s="89">
        <f t="shared" si="2"/>
        <v>89964890.487162009</v>
      </c>
      <c r="AO4" s="89">
        <f t="shared" si="2"/>
        <v>89964890.487162009</v>
      </c>
      <c r="AP4" s="89">
        <f t="shared" si="2"/>
        <v>89964890.487162009</v>
      </c>
      <c r="AQ4" s="89">
        <f t="shared" si="2"/>
        <v>89964890.487162009</v>
      </c>
      <c r="AR4" s="89">
        <f t="shared" si="2"/>
        <v>89964890.487162009</v>
      </c>
      <c r="AS4" s="89">
        <f t="shared" si="2"/>
        <v>89964890.487162009</v>
      </c>
      <c r="AT4" s="89">
        <f t="shared" si="2"/>
        <v>89964890.487162009</v>
      </c>
      <c r="AU4" s="89">
        <f t="shared" si="2"/>
        <v>89964890.487162009</v>
      </c>
      <c r="AV4" s="89">
        <f t="shared" si="2"/>
        <v>89964890.487162009</v>
      </c>
      <c r="AW4" s="89">
        <f t="shared" si="2"/>
        <v>89964890.487162009</v>
      </c>
      <c r="AX4" s="89">
        <f t="shared" si="2"/>
        <v>89964890.487162009</v>
      </c>
      <c r="AY4" s="89">
        <f t="shared" si="2"/>
        <v>89964890.487162009</v>
      </c>
      <c r="AZ4" s="89">
        <f t="shared" si="2"/>
        <v>89964890.487162009</v>
      </c>
      <c r="BA4" s="89">
        <f t="shared" si="2"/>
        <v>89964890.487162009</v>
      </c>
      <c r="BB4" s="89">
        <f t="shared" si="2"/>
        <v>89964890.487162009</v>
      </c>
      <c r="BC4" s="89">
        <f t="shared" si="2"/>
        <v>89964890.487162009</v>
      </c>
      <c r="BD4" s="89">
        <f t="shared" si="2"/>
        <v>89964890.487162009</v>
      </c>
      <c r="BE4" s="89">
        <f t="shared" si="2"/>
        <v>89964890.487162009</v>
      </c>
      <c r="BF4" s="89">
        <f t="shared" si="2"/>
        <v>89964890.487162009</v>
      </c>
      <c r="BG4" s="89">
        <f t="shared" si="2"/>
        <v>89964890.487162009</v>
      </c>
      <c r="BH4" s="89">
        <f t="shared" si="2"/>
        <v>89964890.487162009</v>
      </c>
      <c r="BI4" s="89">
        <f t="shared" si="2"/>
        <v>89964890.487162009</v>
      </c>
      <c r="BJ4" s="89">
        <f t="shared" si="2"/>
        <v>89964890.487162009</v>
      </c>
      <c r="BK4" s="89">
        <f t="shared" si="2"/>
        <v>89964890.487162009</v>
      </c>
      <c r="BL4" s="89">
        <f t="shared" si="2"/>
        <v>89964890.487162009</v>
      </c>
      <c r="BM4" s="89">
        <f t="shared" si="2"/>
        <v>89964890.487162009</v>
      </c>
      <c r="BN4" s="89">
        <f t="shared" si="2"/>
        <v>89964890.487162009</v>
      </c>
      <c r="BO4" s="89">
        <f t="shared" si="2"/>
        <v>89964890.487162009</v>
      </c>
      <c r="BP4" s="89">
        <f t="shared" si="2"/>
        <v>89964890.487162009</v>
      </c>
      <c r="BQ4" s="89">
        <f t="shared" si="2"/>
        <v>89964890.487162009</v>
      </c>
      <c r="BR4" s="89">
        <f t="shared" si="2"/>
        <v>89964890.487162009</v>
      </c>
      <c r="BS4" s="89">
        <f t="shared" ref="BS4:CX4" si="3">BS5+BS10</f>
        <v>89964890.487162009</v>
      </c>
      <c r="BT4" s="89">
        <f t="shared" si="3"/>
        <v>89964890.487162009</v>
      </c>
      <c r="BU4" s="89">
        <f t="shared" si="3"/>
        <v>89964890.487162009</v>
      </c>
      <c r="BV4" s="89">
        <f t="shared" si="3"/>
        <v>89964890.487162009</v>
      </c>
      <c r="BW4" s="89">
        <f t="shared" si="3"/>
        <v>89964890.487162009</v>
      </c>
      <c r="BX4" s="89">
        <f t="shared" si="3"/>
        <v>89964890.487162009</v>
      </c>
      <c r="BY4" s="89">
        <f t="shared" si="3"/>
        <v>89964890.487162009</v>
      </c>
      <c r="BZ4" s="89">
        <f t="shared" si="3"/>
        <v>89964890.487162009</v>
      </c>
      <c r="CA4" s="89">
        <f t="shared" si="3"/>
        <v>89964890.487162009</v>
      </c>
      <c r="CB4" s="89">
        <f t="shared" si="3"/>
        <v>89964890.487162009</v>
      </c>
      <c r="CC4" s="89">
        <f t="shared" si="3"/>
        <v>89964890.487162009</v>
      </c>
      <c r="CD4" s="89">
        <f t="shared" si="3"/>
        <v>89964890.487162009</v>
      </c>
      <c r="CE4" s="89">
        <f t="shared" si="3"/>
        <v>89964890.487162009</v>
      </c>
      <c r="CF4" s="89">
        <f t="shared" si="3"/>
        <v>89964890.487162009</v>
      </c>
      <c r="CG4" s="89">
        <f t="shared" si="3"/>
        <v>89964890.487162009</v>
      </c>
      <c r="CH4" s="89">
        <f t="shared" si="3"/>
        <v>89964890.487162009</v>
      </c>
      <c r="CI4" s="89">
        <f t="shared" si="3"/>
        <v>89964890.487162009</v>
      </c>
      <c r="CJ4" s="89">
        <f t="shared" si="3"/>
        <v>89964890.487162009</v>
      </c>
      <c r="CK4" s="89">
        <f t="shared" si="3"/>
        <v>89964890.487162009</v>
      </c>
      <c r="CL4" s="89">
        <f t="shared" si="3"/>
        <v>89964890.487162009</v>
      </c>
      <c r="CM4" s="89">
        <f t="shared" si="3"/>
        <v>89964890.487162009</v>
      </c>
      <c r="CN4" s="89">
        <f t="shared" si="3"/>
        <v>89964890.487162009</v>
      </c>
      <c r="CO4" s="89">
        <f t="shared" si="3"/>
        <v>89964890.487162009</v>
      </c>
      <c r="CP4" s="89">
        <f t="shared" si="3"/>
        <v>89964890.487162009</v>
      </c>
      <c r="CQ4" s="89">
        <f t="shared" si="3"/>
        <v>89964890.487162009</v>
      </c>
      <c r="CR4" s="89">
        <f t="shared" si="3"/>
        <v>89964890.487162009</v>
      </c>
      <c r="CS4" s="89">
        <f t="shared" si="3"/>
        <v>89964890.487162009</v>
      </c>
      <c r="CT4" s="89">
        <f t="shared" si="3"/>
        <v>89964890.487162009</v>
      </c>
      <c r="CU4" s="89">
        <f t="shared" si="3"/>
        <v>89964890.487162009</v>
      </c>
      <c r="CV4" s="89">
        <f t="shared" si="3"/>
        <v>89964890.487162009</v>
      </c>
      <c r="CW4" s="89">
        <f t="shared" si="3"/>
        <v>89964890.487162009</v>
      </c>
      <c r="CX4" s="89">
        <f t="shared" si="3"/>
        <v>89964890.487162009</v>
      </c>
      <c r="CY4" s="89">
        <f t="shared" ref="CY4:DV4" si="4">CY5+CY10</f>
        <v>89964890.487162009</v>
      </c>
      <c r="CZ4" s="89">
        <f t="shared" si="4"/>
        <v>89964890.487162009</v>
      </c>
      <c r="DA4" s="89">
        <f t="shared" si="4"/>
        <v>89964890.487162009</v>
      </c>
      <c r="DB4" s="89">
        <f t="shared" si="4"/>
        <v>89964890.487162009</v>
      </c>
      <c r="DC4" s="89">
        <f t="shared" si="4"/>
        <v>89964890.487162009</v>
      </c>
      <c r="DD4" s="89">
        <f t="shared" si="4"/>
        <v>89964890.487162009</v>
      </c>
      <c r="DE4" s="89">
        <f t="shared" si="4"/>
        <v>89964890.487162009</v>
      </c>
      <c r="DF4" s="89">
        <f t="shared" si="4"/>
        <v>89964890.487162009</v>
      </c>
      <c r="DG4" s="89">
        <f t="shared" si="4"/>
        <v>89964890.487162009</v>
      </c>
      <c r="DH4" s="89">
        <f t="shared" si="4"/>
        <v>89964890.487162009</v>
      </c>
      <c r="DI4" s="89">
        <f t="shared" si="4"/>
        <v>89964890.487162009</v>
      </c>
      <c r="DJ4" s="89">
        <f t="shared" si="4"/>
        <v>89964890.487162009</v>
      </c>
      <c r="DK4" s="89">
        <f t="shared" si="4"/>
        <v>89964890.487162009</v>
      </c>
      <c r="DL4" s="89">
        <f t="shared" si="4"/>
        <v>89964890.487162009</v>
      </c>
      <c r="DM4" s="89">
        <f t="shared" si="4"/>
        <v>89964890.487162009</v>
      </c>
      <c r="DN4" s="89">
        <f t="shared" si="4"/>
        <v>89964890.487162009</v>
      </c>
      <c r="DO4" s="89">
        <f t="shared" si="4"/>
        <v>89964890.487162009</v>
      </c>
      <c r="DP4" s="89">
        <f t="shared" si="4"/>
        <v>89964890.487162009</v>
      </c>
      <c r="DQ4" s="89">
        <f t="shared" si="4"/>
        <v>89964890.487162009</v>
      </c>
      <c r="DR4" s="89">
        <f t="shared" si="4"/>
        <v>89964890.487162009</v>
      </c>
      <c r="DS4" s="89">
        <f t="shared" si="4"/>
        <v>89964890.487162009</v>
      </c>
      <c r="DT4" s="89">
        <f t="shared" si="4"/>
        <v>89964890.487162009</v>
      </c>
      <c r="DU4" s="89">
        <f t="shared" si="4"/>
        <v>89964890.487162009</v>
      </c>
      <c r="DV4" s="89">
        <f t="shared" si="4"/>
        <v>89964890.487162009</v>
      </c>
    </row>
    <row r="5" spans="1:126" x14ac:dyDescent="0.25">
      <c r="A5" t="s">
        <v>152</v>
      </c>
      <c r="B5" s="79">
        <f>B4*B3</f>
        <v>3000000000</v>
      </c>
      <c r="E5" s="90" t="s">
        <v>84</v>
      </c>
      <c r="F5" s="91"/>
      <c r="G5" s="91">
        <f>SUM(G6+G7+G8)</f>
        <v>0</v>
      </c>
      <c r="H5" s="91">
        <f t="shared" ref="H5:BS5" si="5">SUM(H6+H7+H8)</f>
        <v>0</v>
      </c>
      <c r="I5" s="91">
        <f t="shared" si="5"/>
        <v>0</v>
      </c>
      <c r="J5" s="91">
        <f t="shared" si="5"/>
        <v>0</v>
      </c>
      <c r="K5" s="91">
        <f t="shared" si="5"/>
        <v>0</v>
      </c>
      <c r="L5" s="91">
        <f t="shared" si="5"/>
        <v>0</v>
      </c>
      <c r="M5" s="91">
        <f t="shared" si="5"/>
        <v>0</v>
      </c>
      <c r="N5" s="91">
        <f t="shared" si="5"/>
        <v>0</v>
      </c>
      <c r="O5" s="91">
        <f t="shared" si="5"/>
        <v>0</v>
      </c>
      <c r="P5" s="91">
        <f t="shared" si="5"/>
        <v>89964890.487162009</v>
      </c>
      <c r="Q5" s="91">
        <f t="shared" si="5"/>
        <v>89964890.487162009</v>
      </c>
      <c r="R5" s="91">
        <f t="shared" si="5"/>
        <v>89964890.487162009</v>
      </c>
      <c r="S5" s="91">
        <f t="shared" si="5"/>
        <v>89964890.487162009</v>
      </c>
      <c r="T5" s="91">
        <f t="shared" si="5"/>
        <v>89964890.487162009</v>
      </c>
      <c r="U5" s="91">
        <f t="shared" si="5"/>
        <v>89964890.487162009</v>
      </c>
      <c r="V5" s="91">
        <f t="shared" si="5"/>
        <v>89964890.487162009</v>
      </c>
      <c r="W5" s="91">
        <f t="shared" si="5"/>
        <v>89964890.487162009</v>
      </c>
      <c r="X5" s="91">
        <f t="shared" si="5"/>
        <v>89964890.487162009</v>
      </c>
      <c r="Y5" s="91">
        <f t="shared" si="5"/>
        <v>89964890.487162009</v>
      </c>
      <c r="Z5" s="91">
        <f t="shared" si="5"/>
        <v>89964890.487162009</v>
      </c>
      <c r="AA5" s="91">
        <f t="shared" si="5"/>
        <v>89964890.487162009</v>
      </c>
      <c r="AB5" s="91">
        <f t="shared" si="5"/>
        <v>89964890.487162009</v>
      </c>
      <c r="AC5" s="91">
        <f t="shared" si="5"/>
        <v>89964890.487162009</v>
      </c>
      <c r="AD5" s="91">
        <f t="shared" si="5"/>
        <v>89964890.487162009</v>
      </c>
      <c r="AE5" s="91">
        <f t="shared" si="5"/>
        <v>89964890.487162009</v>
      </c>
      <c r="AF5" s="91">
        <f t="shared" si="5"/>
        <v>89964890.487162009</v>
      </c>
      <c r="AG5" s="91">
        <f t="shared" si="5"/>
        <v>89964890.487162009</v>
      </c>
      <c r="AH5" s="91">
        <f t="shared" si="5"/>
        <v>89964890.487162009</v>
      </c>
      <c r="AI5" s="91">
        <f t="shared" si="5"/>
        <v>89964890.487162009</v>
      </c>
      <c r="AJ5" s="91">
        <f t="shared" si="5"/>
        <v>89964890.487162009</v>
      </c>
      <c r="AK5" s="91">
        <f t="shared" si="5"/>
        <v>89964890.487162009</v>
      </c>
      <c r="AL5" s="91">
        <f t="shared" si="5"/>
        <v>89964890.487162009</v>
      </c>
      <c r="AM5" s="91">
        <f t="shared" si="5"/>
        <v>89964890.487162009</v>
      </c>
      <c r="AN5" s="91">
        <f t="shared" si="5"/>
        <v>89964890.487162009</v>
      </c>
      <c r="AO5" s="91">
        <f t="shared" si="5"/>
        <v>89964890.487162009</v>
      </c>
      <c r="AP5" s="91">
        <f t="shared" si="5"/>
        <v>89964890.487162009</v>
      </c>
      <c r="AQ5" s="91">
        <f t="shared" si="5"/>
        <v>89964890.487162009</v>
      </c>
      <c r="AR5" s="91">
        <f t="shared" si="5"/>
        <v>89964890.487162009</v>
      </c>
      <c r="AS5" s="91">
        <f t="shared" si="5"/>
        <v>89964890.487162009</v>
      </c>
      <c r="AT5" s="91">
        <f t="shared" si="5"/>
        <v>89964890.487162009</v>
      </c>
      <c r="AU5" s="91">
        <f t="shared" si="5"/>
        <v>89964890.487162009</v>
      </c>
      <c r="AV5" s="91">
        <f t="shared" si="5"/>
        <v>89964890.487162009</v>
      </c>
      <c r="AW5" s="91">
        <f t="shared" si="5"/>
        <v>89964890.487162009</v>
      </c>
      <c r="AX5" s="91">
        <f t="shared" si="5"/>
        <v>89964890.487162009</v>
      </c>
      <c r="AY5" s="91">
        <f t="shared" si="5"/>
        <v>89964890.487162009</v>
      </c>
      <c r="AZ5" s="91">
        <f t="shared" si="5"/>
        <v>89964890.487162009</v>
      </c>
      <c r="BA5" s="91">
        <f t="shared" si="5"/>
        <v>89964890.487162009</v>
      </c>
      <c r="BB5" s="91">
        <f t="shared" si="5"/>
        <v>89964890.487162009</v>
      </c>
      <c r="BC5" s="91">
        <f t="shared" si="5"/>
        <v>89964890.487162009</v>
      </c>
      <c r="BD5" s="91">
        <f t="shared" si="5"/>
        <v>89964890.487162009</v>
      </c>
      <c r="BE5" s="91">
        <f t="shared" si="5"/>
        <v>89964890.487162009</v>
      </c>
      <c r="BF5" s="91">
        <f t="shared" si="5"/>
        <v>89964890.487162009</v>
      </c>
      <c r="BG5" s="91">
        <f t="shared" si="5"/>
        <v>89964890.487162009</v>
      </c>
      <c r="BH5" s="91">
        <f t="shared" si="5"/>
        <v>89964890.487162009</v>
      </c>
      <c r="BI5" s="91">
        <f t="shared" si="5"/>
        <v>89964890.487162009</v>
      </c>
      <c r="BJ5" s="91">
        <f t="shared" si="5"/>
        <v>89964890.487162009</v>
      </c>
      <c r="BK5" s="91">
        <f t="shared" si="5"/>
        <v>89964890.487162009</v>
      </c>
      <c r="BL5" s="91">
        <f t="shared" si="5"/>
        <v>89964890.487162009</v>
      </c>
      <c r="BM5" s="91">
        <f t="shared" si="5"/>
        <v>89964890.487162009</v>
      </c>
      <c r="BN5" s="91">
        <f t="shared" si="5"/>
        <v>89964890.487162009</v>
      </c>
      <c r="BO5" s="91">
        <f t="shared" si="5"/>
        <v>89964890.487162009</v>
      </c>
      <c r="BP5" s="91">
        <f t="shared" si="5"/>
        <v>89964890.487162009</v>
      </c>
      <c r="BQ5" s="91">
        <f t="shared" si="5"/>
        <v>89964890.487162009</v>
      </c>
      <c r="BR5" s="91">
        <f t="shared" si="5"/>
        <v>89964890.487162009</v>
      </c>
      <c r="BS5" s="91">
        <f t="shared" si="5"/>
        <v>89964890.487162009</v>
      </c>
      <c r="BT5" s="91">
        <f t="shared" ref="BT5:DV5" si="6">SUM(BT6+BT7+BT8)</f>
        <v>89964890.487162009</v>
      </c>
      <c r="BU5" s="91">
        <f t="shared" si="6"/>
        <v>89964890.487162009</v>
      </c>
      <c r="BV5" s="91">
        <f t="shared" si="6"/>
        <v>89964890.487162009</v>
      </c>
      <c r="BW5" s="91">
        <f t="shared" si="6"/>
        <v>89964890.487162009</v>
      </c>
      <c r="BX5" s="91">
        <f t="shared" si="6"/>
        <v>89964890.487162009</v>
      </c>
      <c r="BY5" s="91">
        <f t="shared" si="6"/>
        <v>89964890.487162009</v>
      </c>
      <c r="BZ5" s="91">
        <f t="shared" si="6"/>
        <v>89964890.487162009</v>
      </c>
      <c r="CA5" s="91">
        <f t="shared" si="6"/>
        <v>89964890.487162009</v>
      </c>
      <c r="CB5" s="91">
        <f t="shared" si="6"/>
        <v>89964890.487162009</v>
      </c>
      <c r="CC5" s="91">
        <f t="shared" si="6"/>
        <v>89964890.487162009</v>
      </c>
      <c r="CD5" s="91">
        <f t="shared" si="6"/>
        <v>89964890.487162009</v>
      </c>
      <c r="CE5" s="91">
        <f t="shared" si="6"/>
        <v>89964890.487162009</v>
      </c>
      <c r="CF5" s="91">
        <f t="shared" si="6"/>
        <v>89964890.487162009</v>
      </c>
      <c r="CG5" s="91">
        <f t="shared" si="6"/>
        <v>89964890.487162009</v>
      </c>
      <c r="CH5" s="91">
        <f t="shared" si="6"/>
        <v>89964890.487162009</v>
      </c>
      <c r="CI5" s="91">
        <f t="shared" si="6"/>
        <v>89964890.487162009</v>
      </c>
      <c r="CJ5" s="91">
        <f t="shared" si="6"/>
        <v>89964890.487162009</v>
      </c>
      <c r="CK5" s="91">
        <f t="shared" si="6"/>
        <v>89964890.487162009</v>
      </c>
      <c r="CL5" s="91">
        <f t="shared" si="6"/>
        <v>89964890.487162009</v>
      </c>
      <c r="CM5" s="91">
        <f t="shared" si="6"/>
        <v>89964890.487162009</v>
      </c>
      <c r="CN5" s="91">
        <f t="shared" si="6"/>
        <v>89964890.487162009</v>
      </c>
      <c r="CO5" s="91">
        <f t="shared" si="6"/>
        <v>89964890.487162009</v>
      </c>
      <c r="CP5" s="91">
        <f t="shared" si="6"/>
        <v>89964890.487162009</v>
      </c>
      <c r="CQ5" s="91">
        <f t="shared" si="6"/>
        <v>89964890.487162009</v>
      </c>
      <c r="CR5" s="91">
        <f t="shared" si="6"/>
        <v>89964890.487162009</v>
      </c>
      <c r="CS5" s="91">
        <f t="shared" si="6"/>
        <v>89964890.487162009</v>
      </c>
      <c r="CT5" s="91">
        <f t="shared" si="6"/>
        <v>89964890.487162009</v>
      </c>
      <c r="CU5" s="91">
        <f t="shared" si="6"/>
        <v>89964890.487162009</v>
      </c>
      <c r="CV5" s="91">
        <f t="shared" si="6"/>
        <v>89964890.487162009</v>
      </c>
      <c r="CW5" s="91">
        <f t="shared" si="6"/>
        <v>89964890.487162009</v>
      </c>
      <c r="CX5" s="91">
        <f t="shared" si="6"/>
        <v>89964890.487162009</v>
      </c>
      <c r="CY5" s="91">
        <f t="shared" si="6"/>
        <v>89964890.487162009</v>
      </c>
      <c r="CZ5" s="91">
        <f t="shared" si="6"/>
        <v>89964890.487162009</v>
      </c>
      <c r="DA5" s="91">
        <f t="shared" si="6"/>
        <v>89964890.487162009</v>
      </c>
      <c r="DB5" s="91">
        <f t="shared" si="6"/>
        <v>89964890.487162009</v>
      </c>
      <c r="DC5" s="91">
        <f t="shared" si="6"/>
        <v>89964890.487162009</v>
      </c>
      <c r="DD5" s="91">
        <f t="shared" si="6"/>
        <v>89964890.487162009</v>
      </c>
      <c r="DE5" s="91">
        <f t="shared" si="6"/>
        <v>89964890.487162009</v>
      </c>
      <c r="DF5" s="91">
        <f t="shared" si="6"/>
        <v>89964890.487162009</v>
      </c>
      <c r="DG5" s="91">
        <f t="shared" si="6"/>
        <v>89964890.487162009</v>
      </c>
      <c r="DH5" s="91">
        <f t="shared" si="6"/>
        <v>89964890.487162009</v>
      </c>
      <c r="DI5" s="91">
        <f t="shared" si="6"/>
        <v>89964890.487162009</v>
      </c>
      <c r="DJ5" s="91">
        <f t="shared" si="6"/>
        <v>89964890.487162009</v>
      </c>
      <c r="DK5" s="91">
        <f t="shared" si="6"/>
        <v>89964890.487162009</v>
      </c>
      <c r="DL5" s="91">
        <f t="shared" si="6"/>
        <v>89964890.487162009</v>
      </c>
      <c r="DM5" s="91">
        <f t="shared" si="6"/>
        <v>89964890.487162009</v>
      </c>
      <c r="DN5" s="91">
        <f t="shared" si="6"/>
        <v>89964890.487162009</v>
      </c>
      <c r="DO5" s="91">
        <f t="shared" si="6"/>
        <v>89964890.487162009</v>
      </c>
      <c r="DP5" s="91">
        <f t="shared" si="6"/>
        <v>89964890.487162009</v>
      </c>
      <c r="DQ5" s="91">
        <f t="shared" si="6"/>
        <v>89964890.487162009</v>
      </c>
      <c r="DR5" s="91">
        <f t="shared" si="6"/>
        <v>89964890.487162009</v>
      </c>
      <c r="DS5" s="91">
        <f t="shared" si="6"/>
        <v>89964890.487162009</v>
      </c>
      <c r="DT5" s="91">
        <f t="shared" si="6"/>
        <v>89964890.487162009</v>
      </c>
      <c r="DU5" s="91">
        <f t="shared" si="6"/>
        <v>89964890.487162009</v>
      </c>
      <c r="DV5" s="91">
        <f t="shared" si="6"/>
        <v>89964890.487162009</v>
      </c>
    </row>
    <row r="6" spans="1:126" x14ac:dyDescent="0.25">
      <c r="A6" t="s">
        <v>58</v>
      </c>
      <c r="B6" s="3">
        <f>VLOOKUP(A6,'Flujo de Caja'!A1:B41,2,0)</f>
        <v>35100000</v>
      </c>
      <c r="E6" s="92" t="s">
        <v>105</v>
      </c>
      <c r="F6" s="93"/>
      <c r="G6" s="93"/>
      <c r="H6" s="93"/>
      <c r="I6" s="93"/>
      <c r="J6" s="93"/>
      <c r="K6" s="93"/>
      <c r="L6" s="93"/>
      <c r="M6" s="93"/>
      <c r="N6" s="93"/>
      <c r="O6" s="93"/>
      <c r="P6" s="93">
        <f t="shared" ref="P6:AU6" si="7">$B$6</f>
        <v>35100000</v>
      </c>
      <c r="Q6" s="93">
        <f t="shared" si="7"/>
        <v>35100000</v>
      </c>
      <c r="R6" s="93">
        <f t="shared" si="7"/>
        <v>35100000</v>
      </c>
      <c r="S6" s="93">
        <f t="shared" si="7"/>
        <v>35100000</v>
      </c>
      <c r="T6" s="93">
        <f t="shared" si="7"/>
        <v>35100000</v>
      </c>
      <c r="U6" s="93">
        <f t="shared" si="7"/>
        <v>35100000</v>
      </c>
      <c r="V6" s="93">
        <f t="shared" si="7"/>
        <v>35100000</v>
      </c>
      <c r="W6" s="93">
        <f t="shared" si="7"/>
        <v>35100000</v>
      </c>
      <c r="X6" s="93">
        <f t="shared" si="7"/>
        <v>35100000</v>
      </c>
      <c r="Y6" s="93">
        <f t="shared" si="7"/>
        <v>35100000</v>
      </c>
      <c r="Z6" s="93">
        <f t="shared" si="7"/>
        <v>35100000</v>
      </c>
      <c r="AA6" s="93">
        <f t="shared" si="7"/>
        <v>35100000</v>
      </c>
      <c r="AB6" s="93">
        <f t="shared" si="7"/>
        <v>35100000</v>
      </c>
      <c r="AC6" s="93">
        <f t="shared" si="7"/>
        <v>35100000</v>
      </c>
      <c r="AD6" s="93">
        <f t="shared" si="7"/>
        <v>35100000</v>
      </c>
      <c r="AE6" s="93">
        <f t="shared" si="7"/>
        <v>35100000</v>
      </c>
      <c r="AF6" s="93">
        <f t="shared" si="7"/>
        <v>35100000</v>
      </c>
      <c r="AG6" s="93">
        <f t="shared" si="7"/>
        <v>35100000</v>
      </c>
      <c r="AH6" s="93">
        <f t="shared" si="7"/>
        <v>35100000</v>
      </c>
      <c r="AI6" s="93">
        <f t="shared" si="7"/>
        <v>35100000</v>
      </c>
      <c r="AJ6" s="93">
        <f t="shared" si="7"/>
        <v>35100000</v>
      </c>
      <c r="AK6" s="93">
        <f t="shared" si="7"/>
        <v>35100000</v>
      </c>
      <c r="AL6" s="93">
        <f t="shared" si="7"/>
        <v>35100000</v>
      </c>
      <c r="AM6" s="93">
        <f t="shared" si="7"/>
        <v>35100000</v>
      </c>
      <c r="AN6" s="93">
        <f t="shared" si="7"/>
        <v>35100000</v>
      </c>
      <c r="AO6" s="93">
        <f t="shared" si="7"/>
        <v>35100000</v>
      </c>
      <c r="AP6" s="93">
        <f t="shared" si="7"/>
        <v>35100000</v>
      </c>
      <c r="AQ6" s="93">
        <f t="shared" si="7"/>
        <v>35100000</v>
      </c>
      <c r="AR6" s="93">
        <f t="shared" si="7"/>
        <v>35100000</v>
      </c>
      <c r="AS6" s="93">
        <f t="shared" si="7"/>
        <v>35100000</v>
      </c>
      <c r="AT6" s="93">
        <f t="shared" si="7"/>
        <v>35100000</v>
      </c>
      <c r="AU6" s="93">
        <f t="shared" si="7"/>
        <v>35100000</v>
      </c>
      <c r="AV6" s="93">
        <f t="shared" ref="AV6:CA6" si="8">$B$6</f>
        <v>35100000</v>
      </c>
      <c r="AW6" s="93">
        <f t="shared" si="8"/>
        <v>35100000</v>
      </c>
      <c r="AX6" s="93">
        <f t="shared" si="8"/>
        <v>35100000</v>
      </c>
      <c r="AY6" s="93">
        <f t="shared" si="8"/>
        <v>35100000</v>
      </c>
      <c r="AZ6" s="93">
        <f t="shared" si="8"/>
        <v>35100000</v>
      </c>
      <c r="BA6" s="93">
        <f t="shared" si="8"/>
        <v>35100000</v>
      </c>
      <c r="BB6" s="93">
        <f t="shared" si="8"/>
        <v>35100000</v>
      </c>
      <c r="BC6" s="93">
        <f t="shared" si="8"/>
        <v>35100000</v>
      </c>
      <c r="BD6" s="93">
        <f t="shared" si="8"/>
        <v>35100000</v>
      </c>
      <c r="BE6" s="93">
        <f t="shared" si="8"/>
        <v>35100000</v>
      </c>
      <c r="BF6" s="93">
        <f t="shared" si="8"/>
        <v>35100000</v>
      </c>
      <c r="BG6" s="93">
        <f t="shared" si="8"/>
        <v>35100000</v>
      </c>
      <c r="BH6" s="93">
        <f t="shared" si="8"/>
        <v>35100000</v>
      </c>
      <c r="BI6" s="93">
        <f t="shared" si="8"/>
        <v>35100000</v>
      </c>
      <c r="BJ6" s="93">
        <f t="shared" si="8"/>
        <v>35100000</v>
      </c>
      <c r="BK6" s="93">
        <f t="shared" si="8"/>
        <v>35100000</v>
      </c>
      <c r="BL6" s="93">
        <f t="shared" si="8"/>
        <v>35100000</v>
      </c>
      <c r="BM6" s="93">
        <f t="shared" si="8"/>
        <v>35100000</v>
      </c>
      <c r="BN6" s="93">
        <f t="shared" si="8"/>
        <v>35100000</v>
      </c>
      <c r="BO6" s="93">
        <f t="shared" si="8"/>
        <v>35100000</v>
      </c>
      <c r="BP6" s="93">
        <f t="shared" si="8"/>
        <v>35100000</v>
      </c>
      <c r="BQ6" s="93">
        <f t="shared" si="8"/>
        <v>35100000</v>
      </c>
      <c r="BR6" s="93">
        <f t="shared" si="8"/>
        <v>35100000</v>
      </c>
      <c r="BS6" s="93">
        <f t="shared" si="8"/>
        <v>35100000</v>
      </c>
      <c r="BT6" s="93">
        <f t="shared" si="8"/>
        <v>35100000</v>
      </c>
      <c r="BU6" s="93">
        <f t="shared" si="8"/>
        <v>35100000</v>
      </c>
      <c r="BV6" s="93">
        <f t="shared" si="8"/>
        <v>35100000</v>
      </c>
      <c r="BW6" s="93">
        <f t="shared" si="8"/>
        <v>35100000</v>
      </c>
      <c r="BX6" s="93">
        <f t="shared" si="8"/>
        <v>35100000</v>
      </c>
      <c r="BY6" s="93">
        <f t="shared" si="8"/>
        <v>35100000</v>
      </c>
      <c r="BZ6" s="93">
        <f t="shared" si="8"/>
        <v>35100000</v>
      </c>
      <c r="CA6" s="93">
        <f t="shared" si="8"/>
        <v>35100000</v>
      </c>
      <c r="CB6" s="93">
        <f t="shared" ref="CB6:DG6" si="9">$B$6</f>
        <v>35100000</v>
      </c>
      <c r="CC6" s="93">
        <f t="shared" si="9"/>
        <v>35100000</v>
      </c>
      <c r="CD6" s="93">
        <f t="shared" si="9"/>
        <v>35100000</v>
      </c>
      <c r="CE6" s="93">
        <f t="shared" si="9"/>
        <v>35100000</v>
      </c>
      <c r="CF6" s="93">
        <f t="shared" si="9"/>
        <v>35100000</v>
      </c>
      <c r="CG6" s="93">
        <f t="shared" si="9"/>
        <v>35100000</v>
      </c>
      <c r="CH6" s="93">
        <f t="shared" si="9"/>
        <v>35100000</v>
      </c>
      <c r="CI6" s="93">
        <f t="shared" si="9"/>
        <v>35100000</v>
      </c>
      <c r="CJ6" s="93">
        <f t="shared" si="9"/>
        <v>35100000</v>
      </c>
      <c r="CK6" s="93">
        <f t="shared" si="9"/>
        <v>35100000</v>
      </c>
      <c r="CL6" s="93">
        <f t="shared" si="9"/>
        <v>35100000</v>
      </c>
      <c r="CM6" s="93">
        <f t="shared" si="9"/>
        <v>35100000</v>
      </c>
      <c r="CN6" s="93">
        <f t="shared" si="9"/>
        <v>35100000</v>
      </c>
      <c r="CO6" s="93">
        <f t="shared" si="9"/>
        <v>35100000</v>
      </c>
      <c r="CP6" s="93">
        <f t="shared" si="9"/>
        <v>35100000</v>
      </c>
      <c r="CQ6" s="93">
        <f t="shared" si="9"/>
        <v>35100000</v>
      </c>
      <c r="CR6" s="93">
        <f t="shared" si="9"/>
        <v>35100000</v>
      </c>
      <c r="CS6" s="93">
        <f t="shared" si="9"/>
        <v>35100000</v>
      </c>
      <c r="CT6" s="93">
        <f t="shared" si="9"/>
        <v>35100000</v>
      </c>
      <c r="CU6" s="93">
        <f t="shared" si="9"/>
        <v>35100000</v>
      </c>
      <c r="CV6" s="93">
        <f t="shared" si="9"/>
        <v>35100000</v>
      </c>
      <c r="CW6" s="93">
        <f t="shared" si="9"/>
        <v>35100000</v>
      </c>
      <c r="CX6" s="93">
        <f t="shared" si="9"/>
        <v>35100000</v>
      </c>
      <c r="CY6" s="93">
        <f t="shared" si="9"/>
        <v>35100000</v>
      </c>
      <c r="CZ6" s="93">
        <f t="shared" si="9"/>
        <v>35100000</v>
      </c>
      <c r="DA6" s="93">
        <f t="shared" si="9"/>
        <v>35100000</v>
      </c>
      <c r="DB6" s="93">
        <f t="shared" si="9"/>
        <v>35100000</v>
      </c>
      <c r="DC6" s="93">
        <f t="shared" si="9"/>
        <v>35100000</v>
      </c>
      <c r="DD6" s="93">
        <f t="shared" si="9"/>
        <v>35100000</v>
      </c>
      <c r="DE6" s="93">
        <f t="shared" si="9"/>
        <v>35100000</v>
      </c>
      <c r="DF6" s="93">
        <f t="shared" si="9"/>
        <v>35100000</v>
      </c>
      <c r="DG6" s="93">
        <f t="shared" si="9"/>
        <v>35100000</v>
      </c>
      <c r="DH6" s="93">
        <f t="shared" ref="DH6:DV6" si="10">$B$6</f>
        <v>35100000</v>
      </c>
      <c r="DI6" s="93">
        <f t="shared" si="10"/>
        <v>35100000</v>
      </c>
      <c r="DJ6" s="93">
        <f t="shared" si="10"/>
        <v>35100000</v>
      </c>
      <c r="DK6" s="93">
        <f t="shared" si="10"/>
        <v>35100000</v>
      </c>
      <c r="DL6" s="93">
        <f t="shared" si="10"/>
        <v>35100000</v>
      </c>
      <c r="DM6" s="93">
        <f t="shared" si="10"/>
        <v>35100000</v>
      </c>
      <c r="DN6" s="93">
        <f t="shared" si="10"/>
        <v>35100000</v>
      </c>
      <c r="DO6" s="93">
        <f t="shared" si="10"/>
        <v>35100000</v>
      </c>
      <c r="DP6" s="93">
        <f t="shared" si="10"/>
        <v>35100000</v>
      </c>
      <c r="DQ6" s="93">
        <f t="shared" si="10"/>
        <v>35100000</v>
      </c>
      <c r="DR6" s="93">
        <f t="shared" si="10"/>
        <v>35100000</v>
      </c>
      <c r="DS6" s="93">
        <f t="shared" si="10"/>
        <v>35100000</v>
      </c>
      <c r="DT6" s="93">
        <f t="shared" si="10"/>
        <v>35100000</v>
      </c>
      <c r="DU6" s="93">
        <f t="shared" si="10"/>
        <v>35100000</v>
      </c>
      <c r="DV6" s="93">
        <f t="shared" si="10"/>
        <v>35100000</v>
      </c>
    </row>
    <row r="7" spans="1:126" x14ac:dyDescent="0.25">
      <c r="A7" t="s">
        <v>154</v>
      </c>
      <c r="B7" s="3">
        <v>51471072.810000002</v>
      </c>
      <c r="E7" s="92" t="s">
        <v>155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>
        <f>$B$12*'Flujo de Caja'!$I$3</f>
        <v>34864890.487162009</v>
      </c>
      <c r="Q7" s="93">
        <f>$B$12*'Flujo de Caja'!$I$3</f>
        <v>34864890.487162009</v>
      </c>
      <c r="R7" s="93">
        <f>$B$12*'Flujo de Caja'!$I$3</f>
        <v>34864890.487162009</v>
      </c>
      <c r="S7" s="93">
        <f>$B$12*'Flujo de Caja'!$I$3</f>
        <v>34864890.487162009</v>
      </c>
      <c r="T7" s="93">
        <f>$B$12*'Flujo de Caja'!$I$3</f>
        <v>34864890.487162009</v>
      </c>
      <c r="U7" s="93">
        <f>$B$12*'Flujo de Caja'!$I$3</f>
        <v>34864890.487162009</v>
      </c>
      <c r="V7" s="93">
        <f>$B$12*'Flujo de Caja'!$I$3</f>
        <v>34864890.487162009</v>
      </c>
      <c r="W7" s="93">
        <f>$B$12*'Flujo de Caja'!$I$3</f>
        <v>34864890.487162009</v>
      </c>
      <c r="X7" s="93">
        <f>$B$12*'Flujo de Caja'!$I$3</f>
        <v>34864890.487162009</v>
      </c>
      <c r="Y7" s="93">
        <f>$B$12*'Flujo de Caja'!$I$3</f>
        <v>34864890.487162009</v>
      </c>
      <c r="Z7" s="93">
        <f>$B$12*'Flujo de Caja'!$I$3</f>
        <v>34864890.487162009</v>
      </c>
      <c r="AA7" s="93">
        <f>$B$12*'Flujo de Caja'!$I$3</f>
        <v>34864890.487162009</v>
      </c>
      <c r="AB7" s="93">
        <f>$B$12*'Flujo de Caja'!$I$3</f>
        <v>34864890.487162009</v>
      </c>
      <c r="AC7" s="93">
        <f>$B$12*'Flujo de Caja'!$I$3</f>
        <v>34864890.487162009</v>
      </c>
      <c r="AD7" s="93">
        <f>$B$12*'Flujo de Caja'!$I$3</f>
        <v>34864890.487162009</v>
      </c>
      <c r="AE7" s="93">
        <f>$B$12*'Flujo de Caja'!$I$3</f>
        <v>34864890.487162009</v>
      </c>
      <c r="AF7" s="93">
        <f>$B$12*'Flujo de Caja'!$I$3</f>
        <v>34864890.487162009</v>
      </c>
      <c r="AG7" s="93">
        <f>$B$12*'Flujo de Caja'!$I$3</f>
        <v>34864890.487162009</v>
      </c>
      <c r="AH7" s="93">
        <f>$B$12*'Flujo de Caja'!$I$3</f>
        <v>34864890.487162009</v>
      </c>
      <c r="AI7" s="93">
        <f>$B$12*'Flujo de Caja'!$I$3</f>
        <v>34864890.487162009</v>
      </c>
      <c r="AJ7" s="93">
        <f>$B$12*'Flujo de Caja'!$I$3</f>
        <v>34864890.487162009</v>
      </c>
      <c r="AK7" s="93">
        <f>$B$12*'Flujo de Caja'!$I$3</f>
        <v>34864890.487162009</v>
      </c>
      <c r="AL7" s="93">
        <f>$B$12*'Flujo de Caja'!$I$3</f>
        <v>34864890.487162009</v>
      </c>
      <c r="AM7" s="93">
        <f>$B$12*'Flujo de Caja'!$I$3</f>
        <v>34864890.487162009</v>
      </c>
      <c r="AN7" s="93">
        <f>$B$12*'Flujo de Caja'!$I$3</f>
        <v>34864890.487162009</v>
      </c>
      <c r="AO7" s="93">
        <f>$B$12*'Flujo de Caja'!$I$3</f>
        <v>34864890.487162009</v>
      </c>
      <c r="AP7" s="93">
        <f>$B$12*'Flujo de Caja'!$I$3</f>
        <v>34864890.487162009</v>
      </c>
      <c r="AQ7" s="93">
        <f>$B$12*'Flujo de Caja'!$I$3</f>
        <v>34864890.487162009</v>
      </c>
      <c r="AR7" s="93">
        <f>$B$12*'Flujo de Caja'!$I$3</f>
        <v>34864890.487162009</v>
      </c>
      <c r="AS7" s="93">
        <f>$B$12*'Flujo de Caja'!$I$3</f>
        <v>34864890.487162009</v>
      </c>
      <c r="AT7" s="93">
        <f>$B$12*'Flujo de Caja'!$I$3</f>
        <v>34864890.487162009</v>
      </c>
      <c r="AU7" s="93">
        <f>$B$12*'Flujo de Caja'!$I$3</f>
        <v>34864890.487162009</v>
      </c>
      <c r="AV7" s="93">
        <f>$B$12*'Flujo de Caja'!$I$3</f>
        <v>34864890.487162009</v>
      </c>
      <c r="AW7" s="93">
        <f>$B$12*'Flujo de Caja'!$I$3</f>
        <v>34864890.487162009</v>
      </c>
      <c r="AX7" s="93">
        <f>$B$12*'Flujo de Caja'!$I$3</f>
        <v>34864890.487162009</v>
      </c>
      <c r="AY7" s="93">
        <f>$B$12*'Flujo de Caja'!$I$3</f>
        <v>34864890.487162009</v>
      </c>
      <c r="AZ7" s="93">
        <f>$B$12*'Flujo de Caja'!$I$3</f>
        <v>34864890.487162009</v>
      </c>
      <c r="BA7" s="93">
        <f>$B$12*'Flujo de Caja'!$I$3</f>
        <v>34864890.487162009</v>
      </c>
      <c r="BB7" s="93">
        <f>$B$12*'Flujo de Caja'!$I$3</f>
        <v>34864890.487162009</v>
      </c>
      <c r="BC7" s="93">
        <f>$B$12*'Flujo de Caja'!$I$3</f>
        <v>34864890.487162009</v>
      </c>
      <c r="BD7" s="93">
        <f>$B$12*'Flujo de Caja'!$I$3</f>
        <v>34864890.487162009</v>
      </c>
      <c r="BE7" s="93">
        <f>$B$12*'Flujo de Caja'!$I$3</f>
        <v>34864890.487162009</v>
      </c>
      <c r="BF7" s="93">
        <f>$B$12*'Flujo de Caja'!$I$3</f>
        <v>34864890.487162009</v>
      </c>
      <c r="BG7" s="93">
        <f>$B$12*'Flujo de Caja'!$I$3</f>
        <v>34864890.487162009</v>
      </c>
      <c r="BH7" s="93">
        <f>$B$12*'Flujo de Caja'!$I$3</f>
        <v>34864890.487162009</v>
      </c>
      <c r="BI7" s="93">
        <f>$B$12*'Flujo de Caja'!$I$3</f>
        <v>34864890.487162009</v>
      </c>
      <c r="BJ7" s="93">
        <f>$B$12*'Flujo de Caja'!$I$3</f>
        <v>34864890.487162009</v>
      </c>
      <c r="BK7" s="93">
        <f>$B$12*'Flujo de Caja'!$I$3</f>
        <v>34864890.487162009</v>
      </c>
      <c r="BL7" s="93">
        <f>$B$12*'Flujo de Caja'!$I$3</f>
        <v>34864890.487162009</v>
      </c>
      <c r="BM7" s="93">
        <f>$B$12*'Flujo de Caja'!$I$3</f>
        <v>34864890.487162009</v>
      </c>
      <c r="BN7" s="93">
        <f>$B$12*'Flujo de Caja'!$I$3</f>
        <v>34864890.487162009</v>
      </c>
      <c r="BO7" s="93">
        <f>$B$12*'Flujo de Caja'!$I$3</f>
        <v>34864890.487162009</v>
      </c>
      <c r="BP7" s="93">
        <f>$B$12*'Flujo de Caja'!$I$3</f>
        <v>34864890.487162009</v>
      </c>
      <c r="BQ7" s="93">
        <f>$B$12*'Flujo de Caja'!$I$3</f>
        <v>34864890.487162009</v>
      </c>
      <c r="BR7" s="93">
        <f>$B$12*'Flujo de Caja'!$I$3</f>
        <v>34864890.487162009</v>
      </c>
      <c r="BS7" s="93">
        <f>$B$12*'Flujo de Caja'!$I$3</f>
        <v>34864890.487162009</v>
      </c>
      <c r="BT7" s="93">
        <f>$B$12*'Flujo de Caja'!$I$3</f>
        <v>34864890.487162009</v>
      </c>
      <c r="BU7" s="93">
        <f>$B$12*'Flujo de Caja'!$I$3</f>
        <v>34864890.487162009</v>
      </c>
      <c r="BV7" s="93">
        <f>$B$12*'Flujo de Caja'!$I$3</f>
        <v>34864890.487162009</v>
      </c>
      <c r="BW7" s="93">
        <f>$B$12*'Flujo de Caja'!$I$3</f>
        <v>34864890.487162009</v>
      </c>
      <c r="BX7" s="93">
        <f>$B$12*'Flujo de Caja'!$I$3</f>
        <v>34864890.487162009</v>
      </c>
      <c r="BY7" s="93">
        <f>$B$12*'Flujo de Caja'!$I$3</f>
        <v>34864890.487162009</v>
      </c>
      <c r="BZ7" s="93">
        <f>$B$12*'Flujo de Caja'!$I$3</f>
        <v>34864890.487162009</v>
      </c>
      <c r="CA7" s="93">
        <f>$B$12*'Flujo de Caja'!$I$3</f>
        <v>34864890.487162009</v>
      </c>
      <c r="CB7" s="93">
        <f>$B$12*'Flujo de Caja'!$I$3</f>
        <v>34864890.487162009</v>
      </c>
      <c r="CC7" s="93">
        <f>$B$12*'Flujo de Caja'!$I$3</f>
        <v>34864890.487162009</v>
      </c>
      <c r="CD7" s="93">
        <f>$B$12*'Flujo de Caja'!$I$3</f>
        <v>34864890.487162009</v>
      </c>
      <c r="CE7" s="93">
        <f>$B$12*'Flujo de Caja'!$I$3</f>
        <v>34864890.487162009</v>
      </c>
      <c r="CF7" s="93">
        <f>$B$12*'Flujo de Caja'!$I$3</f>
        <v>34864890.487162009</v>
      </c>
      <c r="CG7" s="93">
        <f>$B$12*'Flujo de Caja'!$I$3</f>
        <v>34864890.487162009</v>
      </c>
      <c r="CH7" s="93">
        <f>$B$12*'Flujo de Caja'!$I$3</f>
        <v>34864890.487162009</v>
      </c>
      <c r="CI7" s="93">
        <f>$B$12*'Flujo de Caja'!$I$3</f>
        <v>34864890.487162009</v>
      </c>
      <c r="CJ7" s="93">
        <f>$B$12*'Flujo de Caja'!$I$3</f>
        <v>34864890.487162009</v>
      </c>
      <c r="CK7" s="93">
        <f>$B$12*'Flujo de Caja'!$I$3</f>
        <v>34864890.487162009</v>
      </c>
      <c r="CL7" s="93">
        <f>$B$12*'Flujo de Caja'!$I$3</f>
        <v>34864890.487162009</v>
      </c>
      <c r="CM7" s="93">
        <f>$B$12*'Flujo de Caja'!$I$3</f>
        <v>34864890.487162009</v>
      </c>
      <c r="CN7" s="93">
        <f>$B$12*'Flujo de Caja'!$I$3</f>
        <v>34864890.487162009</v>
      </c>
      <c r="CO7" s="93">
        <f>$B$12*'Flujo de Caja'!$I$3</f>
        <v>34864890.487162009</v>
      </c>
      <c r="CP7" s="93">
        <f>$B$12*'Flujo de Caja'!$I$3</f>
        <v>34864890.487162009</v>
      </c>
      <c r="CQ7" s="93">
        <f>$B$12*'Flujo de Caja'!$I$3</f>
        <v>34864890.487162009</v>
      </c>
      <c r="CR7" s="93">
        <f>$B$12*'Flujo de Caja'!$I$3</f>
        <v>34864890.487162009</v>
      </c>
      <c r="CS7" s="93">
        <f>$B$12*'Flujo de Caja'!$I$3</f>
        <v>34864890.487162009</v>
      </c>
      <c r="CT7" s="93">
        <f>$B$12*'Flujo de Caja'!$I$3</f>
        <v>34864890.487162009</v>
      </c>
      <c r="CU7" s="93">
        <f>$B$12*'Flujo de Caja'!$I$3</f>
        <v>34864890.487162009</v>
      </c>
      <c r="CV7" s="93">
        <f>$B$12*'Flujo de Caja'!$I$3</f>
        <v>34864890.487162009</v>
      </c>
      <c r="CW7" s="93">
        <f>$B$12*'Flujo de Caja'!$I$3</f>
        <v>34864890.487162009</v>
      </c>
      <c r="CX7" s="93">
        <f>$B$12*'Flujo de Caja'!$I$3</f>
        <v>34864890.487162009</v>
      </c>
      <c r="CY7" s="93">
        <f>$B$12*'Flujo de Caja'!$I$3</f>
        <v>34864890.487162009</v>
      </c>
      <c r="CZ7" s="93">
        <f>$B$12*'Flujo de Caja'!$I$3</f>
        <v>34864890.487162009</v>
      </c>
      <c r="DA7" s="93">
        <f>$B$12*'Flujo de Caja'!$I$3</f>
        <v>34864890.487162009</v>
      </c>
      <c r="DB7" s="93">
        <f>$B$12*'Flujo de Caja'!$I$3</f>
        <v>34864890.487162009</v>
      </c>
      <c r="DC7" s="93">
        <f>$B$12*'Flujo de Caja'!$I$3</f>
        <v>34864890.487162009</v>
      </c>
      <c r="DD7" s="93">
        <f>$B$12*'Flujo de Caja'!$I$3</f>
        <v>34864890.487162009</v>
      </c>
      <c r="DE7" s="93">
        <f>$B$12*'Flujo de Caja'!$I$3</f>
        <v>34864890.487162009</v>
      </c>
      <c r="DF7" s="93">
        <f>$B$12*'Flujo de Caja'!$I$3</f>
        <v>34864890.487162009</v>
      </c>
      <c r="DG7" s="93">
        <f>$B$12*'Flujo de Caja'!$I$3</f>
        <v>34864890.487162009</v>
      </c>
      <c r="DH7" s="93">
        <f>$B$12*'Flujo de Caja'!$I$3</f>
        <v>34864890.487162009</v>
      </c>
      <c r="DI7" s="93">
        <f>$B$12*'Flujo de Caja'!$I$3</f>
        <v>34864890.487162009</v>
      </c>
      <c r="DJ7" s="93">
        <f>$B$12*'Flujo de Caja'!$I$3</f>
        <v>34864890.487162009</v>
      </c>
      <c r="DK7" s="93">
        <f>$B$12*'Flujo de Caja'!$I$3</f>
        <v>34864890.487162009</v>
      </c>
      <c r="DL7" s="93">
        <f>$B$12*'Flujo de Caja'!$I$3</f>
        <v>34864890.487162009</v>
      </c>
      <c r="DM7" s="93">
        <f>$B$12*'Flujo de Caja'!$I$3</f>
        <v>34864890.487162009</v>
      </c>
      <c r="DN7" s="93">
        <f>$B$12*'Flujo de Caja'!$I$3</f>
        <v>34864890.487162009</v>
      </c>
      <c r="DO7" s="93">
        <f>$B$12*'Flujo de Caja'!$I$3</f>
        <v>34864890.487162009</v>
      </c>
      <c r="DP7" s="93">
        <f>$B$12*'Flujo de Caja'!$I$3</f>
        <v>34864890.487162009</v>
      </c>
      <c r="DQ7" s="93">
        <f>$B$12*'Flujo de Caja'!$I$3</f>
        <v>34864890.487162009</v>
      </c>
      <c r="DR7" s="93">
        <f>$B$12*'Flujo de Caja'!$I$3</f>
        <v>34864890.487162009</v>
      </c>
      <c r="DS7" s="93">
        <f>$B$12*'Flujo de Caja'!$I$3</f>
        <v>34864890.487162009</v>
      </c>
      <c r="DT7" s="93">
        <f>$B$12*'Flujo de Caja'!$I$3</f>
        <v>34864890.487162009</v>
      </c>
      <c r="DU7" s="93">
        <f>$B$12*'Flujo de Caja'!$I$3</f>
        <v>34864890.487162009</v>
      </c>
      <c r="DV7" s="93">
        <f>$B$12*'Flujo de Caja'!$I$3</f>
        <v>34864890.487162009</v>
      </c>
    </row>
    <row r="8" spans="1:126" x14ac:dyDescent="0.25">
      <c r="A8" t="s">
        <v>158</v>
      </c>
      <c r="B8" s="38">
        <v>350000000</v>
      </c>
      <c r="E8" s="92" t="s">
        <v>156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>
        <v>20000000</v>
      </c>
      <c r="Q8" s="93">
        <v>20000000</v>
      </c>
      <c r="R8" s="93">
        <v>20000000</v>
      </c>
      <c r="S8" s="93">
        <v>20000000</v>
      </c>
      <c r="T8" s="93">
        <v>20000000</v>
      </c>
      <c r="U8" s="93">
        <v>20000000</v>
      </c>
      <c r="V8" s="93">
        <v>20000000</v>
      </c>
      <c r="W8" s="93">
        <v>20000000</v>
      </c>
      <c r="X8" s="93">
        <v>20000000</v>
      </c>
      <c r="Y8" s="93">
        <v>20000000</v>
      </c>
      <c r="Z8" s="93">
        <v>20000000</v>
      </c>
      <c r="AA8" s="93">
        <v>20000000</v>
      </c>
      <c r="AB8" s="93">
        <v>20000000</v>
      </c>
      <c r="AC8" s="93">
        <v>20000000</v>
      </c>
      <c r="AD8" s="93">
        <v>20000000</v>
      </c>
      <c r="AE8" s="93">
        <v>20000000</v>
      </c>
      <c r="AF8" s="93">
        <v>20000000</v>
      </c>
      <c r="AG8" s="93">
        <v>20000000</v>
      </c>
      <c r="AH8" s="93">
        <v>20000000</v>
      </c>
      <c r="AI8" s="93">
        <v>20000000</v>
      </c>
      <c r="AJ8" s="93">
        <v>20000000</v>
      </c>
      <c r="AK8" s="93">
        <v>20000000</v>
      </c>
      <c r="AL8" s="93">
        <v>20000000</v>
      </c>
      <c r="AM8" s="93">
        <v>20000000</v>
      </c>
      <c r="AN8" s="93">
        <v>20000000</v>
      </c>
      <c r="AO8" s="93">
        <v>20000000</v>
      </c>
      <c r="AP8" s="93">
        <v>20000000</v>
      </c>
      <c r="AQ8" s="93">
        <v>20000000</v>
      </c>
      <c r="AR8" s="93">
        <v>20000000</v>
      </c>
      <c r="AS8" s="93">
        <v>20000000</v>
      </c>
      <c r="AT8" s="93">
        <v>20000000</v>
      </c>
      <c r="AU8" s="93">
        <v>20000000</v>
      </c>
      <c r="AV8" s="93">
        <v>20000000</v>
      </c>
      <c r="AW8" s="93">
        <v>20000000</v>
      </c>
      <c r="AX8" s="93">
        <v>20000000</v>
      </c>
      <c r="AY8" s="93">
        <v>20000000</v>
      </c>
      <c r="AZ8" s="93">
        <v>20000000</v>
      </c>
      <c r="BA8" s="93">
        <v>20000000</v>
      </c>
      <c r="BB8" s="93">
        <v>20000000</v>
      </c>
      <c r="BC8" s="93">
        <v>20000000</v>
      </c>
      <c r="BD8" s="93">
        <v>20000000</v>
      </c>
      <c r="BE8" s="93">
        <v>20000000</v>
      </c>
      <c r="BF8" s="93">
        <v>20000000</v>
      </c>
      <c r="BG8" s="93">
        <v>20000000</v>
      </c>
      <c r="BH8" s="93">
        <v>20000000</v>
      </c>
      <c r="BI8" s="93">
        <v>20000000</v>
      </c>
      <c r="BJ8" s="93">
        <v>20000000</v>
      </c>
      <c r="BK8" s="93">
        <v>20000000</v>
      </c>
      <c r="BL8" s="93">
        <v>20000000</v>
      </c>
      <c r="BM8" s="93">
        <v>20000000</v>
      </c>
      <c r="BN8" s="93">
        <v>20000000</v>
      </c>
      <c r="BO8" s="93">
        <v>20000000</v>
      </c>
      <c r="BP8" s="93">
        <v>20000000</v>
      </c>
      <c r="BQ8" s="93">
        <v>20000000</v>
      </c>
      <c r="BR8" s="93">
        <v>20000000</v>
      </c>
      <c r="BS8" s="93">
        <v>20000000</v>
      </c>
      <c r="BT8" s="93">
        <v>20000000</v>
      </c>
      <c r="BU8" s="93">
        <v>20000000</v>
      </c>
      <c r="BV8" s="93">
        <v>20000000</v>
      </c>
      <c r="BW8" s="93">
        <v>20000000</v>
      </c>
      <c r="BX8" s="93">
        <v>20000000</v>
      </c>
      <c r="BY8" s="93">
        <v>20000000</v>
      </c>
      <c r="BZ8" s="93">
        <v>20000000</v>
      </c>
      <c r="CA8" s="93">
        <v>20000000</v>
      </c>
      <c r="CB8" s="93">
        <v>20000000</v>
      </c>
      <c r="CC8" s="93">
        <v>20000000</v>
      </c>
      <c r="CD8" s="93">
        <v>20000000</v>
      </c>
      <c r="CE8" s="93">
        <v>20000000</v>
      </c>
      <c r="CF8" s="93">
        <v>20000000</v>
      </c>
      <c r="CG8" s="93">
        <v>20000000</v>
      </c>
      <c r="CH8" s="93">
        <v>20000000</v>
      </c>
      <c r="CI8" s="93">
        <v>20000000</v>
      </c>
      <c r="CJ8" s="93">
        <v>20000000</v>
      </c>
      <c r="CK8" s="93">
        <v>20000000</v>
      </c>
      <c r="CL8" s="93">
        <v>20000000</v>
      </c>
      <c r="CM8" s="93">
        <v>20000000</v>
      </c>
      <c r="CN8" s="93">
        <v>20000000</v>
      </c>
      <c r="CO8" s="93">
        <v>20000000</v>
      </c>
      <c r="CP8" s="93">
        <v>20000000</v>
      </c>
      <c r="CQ8" s="93">
        <v>20000000</v>
      </c>
      <c r="CR8" s="93">
        <v>20000000</v>
      </c>
      <c r="CS8" s="93">
        <v>20000000</v>
      </c>
      <c r="CT8" s="93">
        <v>20000000</v>
      </c>
      <c r="CU8" s="93">
        <v>20000000</v>
      </c>
      <c r="CV8" s="93">
        <v>20000000</v>
      </c>
      <c r="CW8" s="93">
        <v>20000000</v>
      </c>
      <c r="CX8" s="93">
        <v>20000000</v>
      </c>
      <c r="CY8" s="93">
        <v>20000000</v>
      </c>
      <c r="CZ8" s="93">
        <v>20000000</v>
      </c>
      <c r="DA8" s="93">
        <v>20000000</v>
      </c>
      <c r="DB8" s="93">
        <v>20000000</v>
      </c>
      <c r="DC8" s="93">
        <v>20000000</v>
      </c>
      <c r="DD8" s="93">
        <v>20000000</v>
      </c>
      <c r="DE8" s="93">
        <v>20000000</v>
      </c>
      <c r="DF8" s="93">
        <v>20000000</v>
      </c>
      <c r="DG8" s="93">
        <v>20000000</v>
      </c>
      <c r="DH8" s="93">
        <v>20000000</v>
      </c>
      <c r="DI8" s="93">
        <v>20000000</v>
      </c>
      <c r="DJ8" s="93">
        <v>20000000</v>
      </c>
      <c r="DK8" s="93">
        <v>20000000</v>
      </c>
      <c r="DL8" s="93">
        <v>20000000</v>
      </c>
      <c r="DM8" s="93">
        <v>20000000</v>
      </c>
      <c r="DN8" s="93">
        <v>20000000</v>
      </c>
      <c r="DO8" s="93">
        <v>20000000</v>
      </c>
      <c r="DP8" s="93">
        <v>20000000</v>
      </c>
      <c r="DQ8" s="93">
        <v>20000000</v>
      </c>
      <c r="DR8" s="93">
        <v>20000000</v>
      </c>
      <c r="DS8" s="93">
        <v>20000000</v>
      </c>
      <c r="DT8" s="93">
        <v>20000000</v>
      </c>
      <c r="DU8" s="93">
        <v>20000000</v>
      </c>
      <c r="DV8" s="93">
        <v>20000000</v>
      </c>
    </row>
    <row r="9" spans="1:126" x14ac:dyDescent="0.25">
      <c r="A9" t="s">
        <v>128</v>
      </c>
      <c r="B9" s="73">
        <f>'Flujo de Caja'!B42</f>
        <v>9.1600000000000001E-2</v>
      </c>
      <c r="E9" s="92" t="s">
        <v>163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>
        <f>-$B$13*'Flujo de Caja'!F7</f>
        <v>7781692.9324682811</v>
      </c>
      <c r="Q9" s="93">
        <f>-$B$13*'Flujo de Caja'!G7</f>
        <v>19909006.593457811</v>
      </c>
      <c r="R9" s="93">
        <f>-$B$13*'Flujo de Caja'!H7</f>
        <v>32036320.254447341</v>
      </c>
      <c r="S9" s="93">
        <f>-$B$13*'Flujo de Caja'!$I$7</f>
        <v>39413769.398215972</v>
      </c>
      <c r="T9" s="93">
        <f>-$B$13*'Flujo de Caja'!$I$7</f>
        <v>39413769.398215972</v>
      </c>
      <c r="U9" s="93">
        <f>-$B$13*'Flujo de Caja'!$I$7</f>
        <v>39413769.398215972</v>
      </c>
      <c r="V9" s="93">
        <f>-$B$13*'Flujo de Caja'!$I$7</f>
        <v>39413769.398215972</v>
      </c>
      <c r="W9" s="93">
        <f>-$B$13*'Flujo de Caja'!$I$7</f>
        <v>39413769.398215972</v>
      </c>
      <c r="X9" s="93">
        <f>-$B$13*'Flujo de Caja'!$I$7</f>
        <v>39413769.398215972</v>
      </c>
      <c r="Y9" s="93">
        <f>-$B$13*'Flujo de Caja'!$I$7</f>
        <v>39413769.398215972</v>
      </c>
      <c r="Z9" s="93">
        <f>-$B$13*'Flujo de Caja'!$I$7</f>
        <v>39413769.398215972</v>
      </c>
      <c r="AA9" s="93">
        <f>-$B$13*'Flujo de Caja'!$I$7</f>
        <v>39413769.398215972</v>
      </c>
      <c r="AB9" s="93">
        <f>-$B$13*'Flujo de Caja'!$I$7</f>
        <v>39413769.398215972</v>
      </c>
      <c r="AC9" s="93">
        <f>-$B$13*'Flujo de Caja'!$I$7</f>
        <v>39413769.398215972</v>
      </c>
      <c r="AD9" s="93">
        <f>-$B$13*'Flujo de Caja'!$I$7</f>
        <v>39413769.398215972</v>
      </c>
      <c r="AE9" s="93">
        <f>-$B$13*'Flujo de Caja'!$I$7</f>
        <v>39413769.398215972</v>
      </c>
      <c r="AF9" s="93">
        <f>-$B$13*'Flujo de Caja'!$I$7</f>
        <v>39413769.398215972</v>
      </c>
      <c r="AG9" s="93">
        <f>-$B$13*'Flujo de Caja'!$I$7</f>
        <v>39413769.398215972</v>
      </c>
      <c r="AH9" s="93">
        <f>-$B$13*'Flujo de Caja'!$I$7</f>
        <v>39413769.398215972</v>
      </c>
      <c r="AI9" s="93">
        <f>-$B$13*'Flujo de Caja'!$I$7</f>
        <v>39413769.398215972</v>
      </c>
      <c r="AJ9" s="93">
        <f>-$B$13*'Flujo de Caja'!$I$7</f>
        <v>39413769.398215972</v>
      </c>
      <c r="AK9" s="93">
        <f>-$B$13*'Flujo de Caja'!$I$7</f>
        <v>39413769.398215972</v>
      </c>
      <c r="AL9" s="93">
        <f>-$B$13*'Flujo de Caja'!$I$7</f>
        <v>39413769.398215972</v>
      </c>
      <c r="AM9" s="93">
        <f>-$B$13*'Flujo de Caja'!$I$7</f>
        <v>39413769.398215972</v>
      </c>
      <c r="AN9" s="93">
        <f>-$B$13*'Flujo de Caja'!$I$7</f>
        <v>39413769.398215972</v>
      </c>
      <c r="AO9" s="93">
        <f>-$B$13*'Flujo de Caja'!$I$7</f>
        <v>39413769.398215972</v>
      </c>
      <c r="AP9" s="93">
        <f>-$B$13*'Flujo de Caja'!$I$7</f>
        <v>39413769.398215972</v>
      </c>
      <c r="AQ9" s="93">
        <f>-$B$13*'Flujo de Caja'!$I$7</f>
        <v>39413769.398215972</v>
      </c>
      <c r="AR9" s="93">
        <f>-$B$13*'Flujo de Caja'!$I$7</f>
        <v>39413769.398215972</v>
      </c>
      <c r="AS9" s="93">
        <f>-$B$13*'Flujo de Caja'!$I$7</f>
        <v>39413769.398215972</v>
      </c>
      <c r="AT9" s="93">
        <f>-$B$13*'Flujo de Caja'!$I$7</f>
        <v>39413769.398215972</v>
      </c>
      <c r="AU9" s="93">
        <f>-$B$13*'Flujo de Caja'!$I$7</f>
        <v>39413769.398215972</v>
      </c>
      <c r="AV9" s="93">
        <f>-$B$13*'Flujo de Caja'!$I$7</f>
        <v>39413769.398215972</v>
      </c>
      <c r="AW9" s="93">
        <f>-$B$13*'Flujo de Caja'!$I$7</f>
        <v>39413769.398215972</v>
      </c>
      <c r="AX9" s="93">
        <f>-$B$13*'Flujo de Caja'!$I$7</f>
        <v>39413769.398215972</v>
      </c>
      <c r="AY9" s="93">
        <f>-$B$13*'Flujo de Caja'!$I$7</f>
        <v>39413769.398215972</v>
      </c>
      <c r="AZ9" s="93">
        <f>-$B$13*'Flujo de Caja'!$I$7</f>
        <v>39413769.398215972</v>
      </c>
      <c r="BA9" s="93">
        <f>-$B$13*'Flujo de Caja'!$I$7</f>
        <v>39413769.398215972</v>
      </c>
      <c r="BB9" s="93">
        <f>-$B$13*'Flujo de Caja'!$I$7</f>
        <v>39413769.398215972</v>
      </c>
      <c r="BC9" s="93">
        <f>-$B$13*'Flujo de Caja'!$I$7</f>
        <v>39413769.398215972</v>
      </c>
      <c r="BD9" s="93">
        <f>-$B$13*'Flujo de Caja'!$I$7</f>
        <v>39413769.398215972</v>
      </c>
      <c r="BE9" s="93">
        <f>-$B$13*'Flujo de Caja'!$I$7</f>
        <v>39413769.398215972</v>
      </c>
      <c r="BF9" s="93">
        <f>-$B$13*'Flujo de Caja'!$I$7</f>
        <v>39413769.398215972</v>
      </c>
      <c r="BG9" s="93">
        <f>-$B$13*'Flujo de Caja'!$I$7</f>
        <v>39413769.398215972</v>
      </c>
      <c r="BH9" s="93">
        <f>-$B$13*'Flujo de Caja'!$I$7</f>
        <v>39413769.398215972</v>
      </c>
      <c r="BI9" s="93">
        <f>-$B$13*'Flujo de Caja'!$I$7</f>
        <v>39413769.398215972</v>
      </c>
      <c r="BJ9" s="93">
        <f>-$B$13*'Flujo de Caja'!$I$7</f>
        <v>39413769.398215972</v>
      </c>
      <c r="BK9" s="93">
        <f>-$B$13*'Flujo de Caja'!$I$7</f>
        <v>39413769.398215972</v>
      </c>
      <c r="BL9" s="93">
        <f>-$B$13*'Flujo de Caja'!$I$7</f>
        <v>39413769.398215972</v>
      </c>
      <c r="BM9" s="93">
        <f>-$B$13*'Flujo de Caja'!$I$7</f>
        <v>39413769.398215972</v>
      </c>
      <c r="BN9" s="93">
        <f>-$B$13*'Flujo de Caja'!$I$7</f>
        <v>39413769.398215972</v>
      </c>
      <c r="BO9" s="93">
        <f>-$B$13*'Flujo de Caja'!$I$7</f>
        <v>39413769.398215972</v>
      </c>
      <c r="BP9" s="93">
        <f>-$B$13*'Flujo de Caja'!$I$7</f>
        <v>39413769.398215972</v>
      </c>
      <c r="BQ9" s="93">
        <f>-$B$13*'Flujo de Caja'!$I$7</f>
        <v>39413769.398215972</v>
      </c>
      <c r="BR9" s="93">
        <f>-$B$13*'Flujo de Caja'!$I$7</f>
        <v>39413769.398215972</v>
      </c>
      <c r="BS9" s="93">
        <f>-$B$13*'Flujo de Caja'!$I$7</f>
        <v>39413769.398215972</v>
      </c>
      <c r="BT9" s="93">
        <f>-$B$13*'Flujo de Caja'!$I$7</f>
        <v>39413769.398215972</v>
      </c>
      <c r="BU9" s="93">
        <f>-$B$13*'Flujo de Caja'!$I$7</f>
        <v>39413769.398215972</v>
      </c>
      <c r="BV9" s="93">
        <f>-$B$13*'Flujo de Caja'!$I$7</f>
        <v>39413769.398215972</v>
      </c>
      <c r="BW9" s="93">
        <f>-$B$13*'Flujo de Caja'!$I$7</f>
        <v>39413769.398215972</v>
      </c>
      <c r="BX9" s="93">
        <f>-$B$13*'Flujo de Caja'!$I$7</f>
        <v>39413769.398215972</v>
      </c>
      <c r="BY9" s="93">
        <f>-$B$13*'Flujo de Caja'!$I$7</f>
        <v>39413769.398215972</v>
      </c>
      <c r="BZ9" s="93">
        <f>-$B$13*'Flujo de Caja'!$I$7</f>
        <v>39413769.398215972</v>
      </c>
      <c r="CA9" s="93">
        <f>-$B$13*'Flujo de Caja'!$I$7</f>
        <v>39413769.398215972</v>
      </c>
      <c r="CB9" s="93">
        <f>-$B$13*'Flujo de Caja'!$I$7</f>
        <v>39413769.398215972</v>
      </c>
      <c r="CC9" s="93">
        <f>-$B$13*'Flujo de Caja'!$I$7</f>
        <v>39413769.398215972</v>
      </c>
      <c r="CD9" s="93">
        <f>-$B$13*'Flujo de Caja'!$I$7</f>
        <v>39413769.398215972</v>
      </c>
      <c r="CE9" s="93">
        <f>-$B$13*'Flujo de Caja'!$I$7</f>
        <v>39413769.398215972</v>
      </c>
      <c r="CF9" s="93">
        <f>-$B$13*'Flujo de Caja'!$I$7</f>
        <v>39413769.398215972</v>
      </c>
      <c r="CG9" s="93">
        <f>-$B$13*'Flujo de Caja'!$I$7</f>
        <v>39413769.398215972</v>
      </c>
      <c r="CH9" s="93">
        <f>-$B$13*'Flujo de Caja'!$I$7</f>
        <v>39413769.398215972</v>
      </c>
      <c r="CI9" s="93">
        <f>-$B$13*'Flujo de Caja'!$I$7</f>
        <v>39413769.398215972</v>
      </c>
      <c r="CJ9" s="93">
        <f>-$B$13*'Flujo de Caja'!$I$7</f>
        <v>39413769.398215972</v>
      </c>
      <c r="CK9" s="93">
        <f>-$B$13*'Flujo de Caja'!$I$7</f>
        <v>39413769.398215972</v>
      </c>
      <c r="CL9" s="93">
        <f>-$B$13*'Flujo de Caja'!$I$7</f>
        <v>39413769.398215972</v>
      </c>
      <c r="CM9" s="93">
        <f>-$B$13*'Flujo de Caja'!$I$7</f>
        <v>39413769.398215972</v>
      </c>
      <c r="CN9" s="93">
        <f>-$B$13*'Flujo de Caja'!$I$7</f>
        <v>39413769.398215972</v>
      </c>
      <c r="CO9" s="93">
        <f>-$B$13*'Flujo de Caja'!$I$7</f>
        <v>39413769.398215972</v>
      </c>
      <c r="CP9" s="93">
        <f>-$B$13*'Flujo de Caja'!$I$7</f>
        <v>39413769.398215972</v>
      </c>
      <c r="CQ9" s="93">
        <f>-$B$13*'Flujo de Caja'!$I$7</f>
        <v>39413769.398215972</v>
      </c>
      <c r="CR9" s="93">
        <f>-$B$13*'Flujo de Caja'!$I$7</f>
        <v>39413769.398215972</v>
      </c>
      <c r="CS9" s="93">
        <f>-$B$13*'Flujo de Caja'!$I$7</f>
        <v>39413769.398215972</v>
      </c>
      <c r="CT9" s="93">
        <f>-$B$13*'Flujo de Caja'!$I$7</f>
        <v>39413769.398215972</v>
      </c>
      <c r="CU9" s="93">
        <f>-$B$13*'Flujo de Caja'!$I$7</f>
        <v>39413769.398215972</v>
      </c>
      <c r="CV9" s="93">
        <f>-$B$13*'Flujo de Caja'!$I$7</f>
        <v>39413769.398215972</v>
      </c>
      <c r="CW9" s="93">
        <f>-$B$13*'Flujo de Caja'!$I$7</f>
        <v>39413769.398215972</v>
      </c>
      <c r="CX9" s="93">
        <f>-$B$13*'Flujo de Caja'!$I$7</f>
        <v>39413769.398215972</v>
      </c>
      <c r="CY9" s="93">
        <f>-$B$13*'Flujo de Caja'!$I$7</f>
        <v>39413769.398215972</v>
      </c>
      <c r="CZ9" s="93">
        <f>-$B$13*'Flujo de Caja'!$I$7</f>
        <v>39413769.398215972</v>
      </c>
      <c r="DA9" s="93">
        <f>-$B$13*'Flujo de Caja'!$I$7</f>
        <v>39413769.398215972</v>
      </c>
      <c r="DB9" s="93">
        <f>-$B$13*'Flujo de Caja'!$I$7</f>
        <v>39413769.398215972</v>
      </c>
      <c r="DC9" s="93">
        <f>-$B$13*'Flujo de Caja'!$I$7</f>
        <v>39413769.398215972</v>
      </c>
      <c r="DD9" s="93">
        <f>-$B$13*'Flujo de Caja'!$I$7</f>
        <v>39413769.398215972</v>
      </c>
      <c r="DE9" s="93">
        <f>-$B$13*'Flujo de Caja'!$I$7</f>
        <v>39413769.398215972</v>
      </c>
      <c r="DF9" s="93">
        <f>-$B$13*'Flujo de Caja'!$I$7</f>
        <v>39413769.398215972</v>
      </c>
      <c r="DG9" s="93">
        <f>-$B$13*'Flujo de Caja'!$I$7</f>
        <v>39413769.398215972</v>
      </c>
      <c r="DH9" s="93">
        <f>-$B$13*'Flujo de Caja'!$I$7</f>
        <v>39413769.398215972</v>
      </c>
      <c r="DI9" s="93">
        <f>-$B$13*'Flujo de Caja'!$I$7</f>
        <v>39413769.398215972</v>
      </c>
      <c r="DJ9" s="93">
        <f>-$B$13*'Flujo de Caja'!$I$7</f>
        <v>39413769.398215972</v>
      </c>
      <c r="DK9" s="93">
        <f>-$B$13*'Flujo de Caja'!$I$7</f>
        <v>39413769.398215972</v>
      </c>
      <c r="DL9" s="93">
        <f>-$B$13*'Flujo de Caja'!$I$7</f>
        <v>39413769.398215972</v>
      </c>
      <c r="DM9" s="93">
        <f>-$B$13*'Flujo de Caja'!$I$7</f>
        <v>39413769.398215972</v>
      </c>
      <c r="DN9" s="93">
        <f>-$B$13*'Flujo de Caja'!$I$7</f>
        <v>39413769.398215972</v>
      </c>
      <c r="DO9" s="93">
        <f>-$B$13*'Flujo de Caja'!$I$7</f>
        <v>39413769.398215972</v>
      </c>
      <c r="DP9" s="93">
        <f>-$B$13*'Flujo de Caja'!$I$7</f>
        <v>39413769.398215972</v>
      </c>
      <c r="DQ9" s="93">
        <f>-$B$13*'Flujo de Caja'!$I$7</f>
        <v>39413769.398215972</v>
      </c>
      <c r="DR9" s="93">
        <f>-$B$13*'Flujo de Caja'!$I$7</f>
        <v>39413769.398215972</v>
      </c>
      <c r="DS9" s="93">
        <f>-$B$13*'Flujo de Caja'!$I$7</f>
        <v>39413769.398215972</v>
      </c>
      <c r="DT9" s="93">
        <f>-$B$13*'Flujo de Caja'!$I$7</f>
        <v>39413769.398215972</v>
      </c>
      <c r="DU9" s="93">
        <f>-$B$13*'Flujo de Caja'!$I$7</f>
        <v>39413769.398215972</v>
      </c>
      <c r="DV9" s="93">
        <f>-$B$13*'Flujo de Caja'!$I$7</f>
        <v>39413769.398215972</v>
      </c>
    </row>
    <row r="10" spans="1:126" x14ac:dyDescent="0.25">
      <c r="A10" t="s">
        <v>128</v>
      </c>
      <c r="B10" s="73">
        <f>'Flujo de Caja'!B43</f>
        <v>7.3304462918302171E-3</v>
      </c>
      <c r="C10" t="s">
        <v>129</v>
      </c>
      <c r="E10" s="90" t="s">
        <v>109</v>
      </c>
      <c r="F10" s="91"/>
      <c r="G10" s="91">
        <f>G12+G11</f>
        <v>0</v>
      </c>
      <c r="H10" s="91">
        <f t="shared" ref="H10:K10" si="11">H12+H11</f>
        <v>0</v>
      </c>
      <c r="I10" s="91">
        <f t="shared" si="11"/>
        <v>0</v>
      </c>
      <c r="J10" s="91">
        <f t="shared" si="11"/>
        <v>0</v>
      </c>
      <c r="K10" s="91">
        <f t="shared" si="11"/>
        <v>0</v>
      </c>
      <c r="L10" s="91">
        <f>L12+L11</f>
        <v>0</v>
      </c>
      <c r="M10" s="91">
        <f t="shared" ref="M10:BX10" si="12">M12+M11</f>
        <v>-129694882.20780469</v>
      </c>
      <c r="N10" s="91">
        <f t="shared" si="12"/>
        <v>-331816776.55763018</v>
      </c>
      <c r="O10" s="91">
        <f t="shared" si="12"/>
        <v>-533938670.90745568</v>
      </c>
      <c r="P10" s="91">
        <f t="shared" si="12"/>
        <v>-656896156.63693285</v>
      </c>
      <c r="Q10" s="91">
        <f t="shared" si="12"/>
        <v>0</v>
      </c>
      <c r="R10" s="91">
        <f t="shared" si="12"/>
        <v>0</v>
      </c>
      <c r="S10" s="91">
        <f t="shared" si="12"/>
        <v>0</v>
      </c>
      <c r="T10" s="91">
        <f t="shared" si="12"/>
        <v>0</v>
      </c>
      <c r="U10" s="91">
        <f t="shared" si="12"/>
        <v>0</v>
      </c>
      <c r="V10" s="91">
        <f t="shared" si="12"/>
        <v>0</v>
      </c>
      <c r="W10" s="91">
        <f t="shared" si="12"/>
        <v>0</v>
      </c>
      <c r="X10" s="91">
        <f t="shared" si="12"/>
        <v>0</v>
      </c>
      <c r="Y10" s="91">
        <f t="shared" si="12"/>
        <v>0</v>
      </c>
      <c r="Z10" s="91">
        <f t="shared" si="12"/>
        <v>0</v>
      </c>
      <c r="AA10" s="91">
        <f t="shared" si="12"/>
        <v>0</v>
      </c>
      <c r="AB10" s="91">
        <f t="shared" si="12"/>
        <v>0</v>
      </c>
      <c r="AC10" s="91">
        <f t="shared" si="12"/>
        <v>0</v>
      </c>
      <c r="AD10" s="91">
        <f t="shared" si="12"/>
        <v>0</v>
      </c>
      <c r="AE10" s="91">
        <f t="shared" si="12"/>
        <v>0</v>
      </c>
      <c r="AF10" s="91">
        <f t="shared" si="12"/>
        <v>0</v>
      </c>
      <c r="AG10" s="91">
        <f t="shared" si="12"/>
        <v>0</v>
      </c>
      <c r="AH10" s="91">
        <f t="shared" si="12"/>
        <v>0</v>
      </c>
      <c r="AI10" s="91">
        <f t="shared" si="12"/>
        <v>0</v>
      </c>
      <c r="AJ10" s="91">
        <f t="shared" si="12"/>
        <v>0</v>
      </c>
      <c r="AK10" s="91">
        <f t="shared" si="12"/>
        <v>0</v>
      </c>
      <c r="AL10" s="91">
        <f t="shared" si="12"/>
        <v>0</v>
      </c>
      <c r="AM10" s="91">
        <f t="shared" si="12"/>
        <v>0</v>
      </c>
      <c r="AN10" s="91">
        <f t="shared" si="12"/>
        <v>0</v>
      </c>
      <c r="AO10" s="91">
        <f t="shared" si="12"/>
        <v>0</v>
      </c>
      <c r="AP10" s="91">
        <f t="shared" si="12"/>
        <v>0</v>
      </c>
      <c r="AQ10" s="91">
        <f t="shared" si="12"/>
        <v>0</v>
      </c>
      <c r="AR10" s="91">
        <f t="shared" si="12"/>
        <v>0</v>
      </c>
      <c r="AS10" s="91">
        <f t="shared" si="12"/>
        <v>0</v>
      </c>
      <c r="AT10" s="91">
        <f t="shared" si="12"/>
        <v>0</v>
      </c>
      <c r="AU10" s="91">
        <f t="shared" si="12"/>
        <v>0</v>
      </c>
      <c r="AV10" s="91">
        <f t="shared" si="12"/>
        <v>0</v>
      </c>
      <c r="AW10" s="91">
        <f t="shared" si="12"/>
        <v>0</v>
      </c>
      <c r="AX10" s="91">
        <f t="shared" si="12"/>
        <v>0</v>
      </c>
      <c r="AY10" s="91">
        <f t="shared" si="12"/>
        <v>0</v>
      </c>
      <c r="AZ10" s="91">
        <f t="shared" si="12"/>
        <v>0</v>
      </c>
      <c r="BA10" s="91">
        <f t="shared" si="12"/>
        <v>0</v>
      </c>
      <c r="BB10" s="91">
        <f t="shared" si="12"/>
        <v>0</v>
      </c>
      <c r="BC10" s="91">
        <f t="shared" si="12"/>
        <v>0</v>
      </c>
      <c r="BD10" s="91">
        <f t="shared" si="12"/>
        <v>0</v>
      </c>
      <c r="BE10" s="91">
        <f t="shared" si="12"/>
        <v>0</v>
      </c>
      <c r="BF10" s="91">
        <f t="shared" si="12"/>
        <v>0</v>
      </c>
      <c r="BG10" s="91">
        <f t="shared" si="12"/>
        <v>0</v>
      </c>
      <c r="BH10" s="91">
        <f t="shared" si="12"/>
        <v>0</v>
      </c>
      <c r="BI10" s="91">
        <f t="shared" si="12"/>
        <v>0</v>
      </c>
      <c r="BJ10" s="91">
        <f t="shared" si="12"/>
        <v>0</v>
      </c>
      <c r="BK10" s="91">
        <f t="shared" si="12"/>
        <v>0</v>
      </c>
      <c r="BL10" s="91">
        <f t="shared" si="12"/>
        <v>0</v>
      </c>
      <c r="BM10" s="91">
        <f t="shared" si="12"/>
        <v>0</v>
      </c>
      <c r="BN10" s="91">
        <f t="shared" si="12"/>
        <v>0</v>
      </c>
      <c r="BO10" s="91">
        <f t="shared" si="12"/>
        <v>0</v>
      </c>
      <c r="BP10" s="91">
        <f t="shared" si="12"/>
        <v>0</v>
      </c>
      <c r="BQ10" s="91">
        <f t="shared" si="12"/>
        <v>0</v>
      </c>
      <c r="BR10" s="91">
        <f t="shared" si="12"/>
        <v>0</v>
      </c>
      <c r="BS10" s="91">
        <f t="shared" si="12"/>
        <v>0</v>
      </c>
      <c r="BT10" s="91">
        <f t="shared" si="12"/>
        <v>0</v>
      </c>
      <c r="BU10" s="91">
        <f t="shared" si="12"/>
        <v>0</v>
      </c>
      <c r="BV10" s="91">
        <f t="shared" si="12"/>
        <v>0</v>
      </c>
      <c r="BW10" s="91">
        <f t="shared" si="12"/>
        <v>0</v>
      </c>
      <c r="BX10" s="91">
        <f t="shared" si="12"/>
        <v>0</v>
      </c>
      <c r="BY10" s="91">
        <f t="shared" ref="BY10:DV10" si="13">BY12+BY11</f>
        <v>0</v>
      </c>
      <c r="BZ10" s="91">
        <f t="shared" si="13"/>
        <v>0</v>
      </c>
      <c r="CA10" s="91">
        <f t="shared" si="13"/>
        <v>0</v>
      </c>
      <c r="CB10" s="91">
        <f t="shared" si="13"/>
        <v>0</v>
      </c>
      <c r="CC10" s="91">
        <f t="shared" si="13"/>
        <v>0</v>
      </c>
      <c r="CD10" s="91">
        <f t="shared" si="13"/>
        <v>0</v>
      </c>
      <c r="CE10" s="91">
        <f t="shared" si="13"/>
        <v>0</v>
      </c>
      <c r="CF10" s="91">
        <f t="shared" si="13"/>
        <v>0</v>
      </c>
      <c r="CG10" s="91">
        <f t="shared" si="13"/>
        <v>0</v>
      </c>
      <c r="CH10" s="91">
        <f t="shared" si="13"/>
        <v>0</v>
      </c>
      <c r="CI10" s="91">
        <f t="shared" si="13"/>
        <v>0</v>
      </c>
      <c r="CJ10" s="91">
        <f t="shared" si="13"/>
        <v>0</v>
      </c>
      <c r="CK10" s="91">
        <f t="shared" si="13"/>
        <v>0</v>
      </c>
      <c r="CL10" s="91">
        <f t="shared" si="13"/>
        <v>0</v>
      </c>
      <c r="CM10" s="91">
        <f t="shared" si="13"/>
        <v>0</v>
      </c>
      <c r="CN10" s="91">
        <f t="shared" si="13"/>
        <v>0</v>
      </c>
      <c r="CO10" s="91">
        <f t="shared" si="13"/>
        <v>0</v>
      </c>
      <c r="CP10" s="91">
        <f t="shared" si="13"/>
        <v>0</v>
      </c>
      <c r="CQ10" s="91">
        <f t="shared" si="13"/>
        <v>0</v>
      </c>
      <c r="CR10" s="91">
        <f t="shared" si="13"/>
        <v>0</v>
      </c>
      <c r="CS10" s="91">
        <f t="shared" si="13"/>
        <v>0</v>
      </c>
      <c r="CT10" s="91">
        <f t="shared" si="13"/>
        <v>0</v>
      </c>
      <c r="CU10" s="91">
        <f t="shared" si="13"/>
        <v>0</v>
      </c>
      <c r="CV10" s="91">
        <f t="shared" si="13"/>
        <v>0</v>
      </c>
      <c r="CW10" s="91">
        <f t="shared" si="13"/>
        <v>0</v>
      </c>
      <c r="CX10" s="91">
        <f t="shared" si="13"/>
        <v>0</v>
      </c>
      <c r="CY10" s="91">
        <f t="shared" si="13"/>
        <v>0</v>
      </c>
      <c r="CZ10" s="91">
        <f t="shared" si="13"/>
        <v>0</v>
      </c>
      <c r="DA10" s="91">
        <f t="shared" si="13"/>
        <v>0</v>
      </c>
      <c r="DB10" s="91">
        <f t="shared" si="13"/>
        <v>0</v>
      </c>
      <c r="DC10" s="91">
        <f t="shared" si="13"/>
        <v>0</v>
      </c>
      <c r="DD10" s="91">
        <f t="shared" si="13"/>
        <v>0</v>
      </c>
      <c r="DE10" s="91">
        <f t="shared" si="13"/>
        <v>0</v>
      </c>
      <c r="DF10" s="91">
        <f t="shared" si="13"/>
        <v>0</v>
      </c>
      <c r="DG10" s="91">
        <f t="shared" si="13"/>
        <v>0</v>
      </c>
      <c r="DH10" s="91">
        <f t="shared" si="13"/>
        <v>0</v>
      </c>
      <c r="DI10" s="91">
        <f t="shared" si="13"/>
        <v>0</v>
      </c>
      <c r="DJ10" s="91">
        <f t="shared" si="13"/>
        <v>0</v>
      </c>
      <c r="DK10" s="91">
        <f t="shared" si="13"/>
        <v>0</v>
      </c>
      <c r="DL10" s="91">
        <f t="shared" si="13"/>
        <v>0</v>
      </c>
      <c r="DM10" s="91">
        <f t="shared" si="13"/>
        <v>0</v>
      </c>
      <c r="DN10" s="91">
        <f t="shared" si="13"/>
        <v>0</v>
      </c>
      <c r="DO10" s="91">
        <f t="shared" si="13"/>
        <v>0</v>
      </c>
      <c r="DP10" s="91">
        <f t="shared" si="13"/>
        <v>0</v>
      </c>
      <c r="DQ10" s="91">
        <f t="shared" si="13"/>
        <v>0</v>
      </c>
      <c r="DR10" s="91">
        <f t="shared" si="13"/>
        <v>0</v>
      </c>
      <c r="DS10" s="91">
        <f t="shared" si="13"/>
        <v>0</v>
      </c>
      <c r="DT10" s="91">
        <f t="shared" si="13"/>
        <v>0</v>
      </c>
      <c r="DU10" s="91">
        <f t="shared" si="13"/>
        <v>0</v>
      </c>
      <c r="DV10" s="91">
        <f t="shared" si="13"/>
        <v>0</v>
      </c>
    </row>
    <row r="11" spans="1:126" x14ac:dyDescent="0.25">
      <c r="A11" t="s">
        <v>161</v>
      </c>
      <c r="B11">
        <v>3600000000</v>
      </c>
      <c r="E11" s="92" t="s">
        <v>165</v>
      </c>
      <c r="F11" s="93"/>
      <c r="G11" s="93"/>
      <c r="H11" s="93"/>
      <c r="I11" s="93"/>
      <c r="J11" s="93"/>
      <c r="K11" s="93"/>
      <c r="L11" s="93"/>
      <c r="M11" s="93">
        <f>'Flujo de Caja'!F7</f>
        <v>-129694882.20780469</v>
      </c>
      <c r="N11" s="93">
        <f>'Flujo de Caja'!G7</f>
        <v>-331816776.55763018</v>
      </c>
      <c r="O11" s="93">
        <f>'Flujo de Caja'!H7</f>
        <v>-533938670.90745568</v>
      </c>
      <c r="P11" s="93">
        <f>'Flujo de Caja'!I7</f>
        <v>-656896156.63693285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3"/>
      <c r="DR11" s="93"/>
      <c r="DS11" s="93"/>
      <c r="DT11" s="93"/>
      <c r="DU11" s="93"/>
      <c r="DV11" s="93"/>
    </row>
    <row r="12" spans="1:126" x14ac:dyDescent="0.25">
      <c r="A12" t="s">
        <v>162</v>
      </c>
      <c r="B12" s="73">
        <v>0.33329999999999999</v>
      </c>
      <c r="C12" t="s">
        <v>130</v>
      </c>
      <c r="E12" s="92" t="s">
        <v>157</v>
      </c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  <c r="DI12" s="93"/>
      <c r="DJ12" s="93"/>
      <c r="DK12" s="93"/>
      <c r="DL12" s="93"/>
      <c r="DM12" s="93"/>
      <c r="DN12" s="93"/>
      <c r="DO12" s="93"/>
      <c r="DP12" s="93"/>
      <c r="DQ12" s="93"/>
      <c r="DR12" s="93"/>
      <c r="DS12" s="93"/>
      <c r="DT12" s="93"/>
      <c r="DU12" s="93"/>
      <c r="DV12" s="93"/>
    </row>
    <row r="13" spans="1:126" x14ac:dyDescent="0.25">
      <c r="A13" t="s">
        <v>164</v>
      </c>
      <c r="B13" s="37">
        <v>0.06</v>
      </c>
      <c r="E13" s="88" t="s">
        <v>159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8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>
        <f>B8+(-SUM(M11:P11))</f>
        <v>2002346486.3098235</v>
      </c>
    </row>
    <row r="14" spans="1:126" x14ac:dyDescent="0.25"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</row>
    <row r="15" spans="1:126" x14ac:dyDescent="0.25">
      <c r="E15" t="s">
        <v>160</v>
      </c>
      <c r="F15" s="72">
        <f t="shared" ref="F15:AK15" si="14">F3+F4+F13</f>
        <v>0</v>
      </c>
      <c r="G15" s="72">
        <f t="shared" si="14"/>
        <v>-600000000</v>
      </c>
      <c r="H15" s="72">
        <f t="shared" si="14"/>
        <v>-600000000</v>
      </c>
      <c r="I15" s="72">
        <f t="shared" si="14"/>
        <v>-600000000</v>
      </c>
      <c r="J15" s="72">
        <f t="shared" si="14"/>
        <v>-600000000</v>
      </c>
      <c r="K15" s="72">
        <f t="shared" si="14"/>
        <v>-600000000</v>
      </c>
      <c r="L15" s="72">
        <f t="shared" si="14"/>
        <v>-600000000</v>
      </c>
      <c r="M15" s="72">
        <f t="shared" si="14"/>
        <v>-129694882.20780469</v>
      </c>
      <c r="N15" s="72">
        <f t="shared" si="14"/>
        <v>-331816776.55763018</v>
      </c>
      <c r="O15" s="72">
        <f t="shared" si="14"/>
        <v>-533938670.90745568</v>
      </c>
      <c r="P15" s="72">
        <f t="shared" si="14"/>
        <v>-566931266.14977086</v>
      </c>
      <c r="Q15" s="72">
        <f t="shared" si="14"/>
        <v>89964890.487162009</v>
      </c>
      <c r="R15" s="72">
        <f t="shared" si="14"/>
        <v>89964890.487162009</v>
      </c>
      <c r="S15" s="72">
        <f t="shared" si="14"/>
        <v>89964890.487162009</v>
      </c>
      <c r="T15" s="72">
        <f t="shared" si="14"/>
        <v>89964890.487162009</v>
      </c>
      <c r="U15" s="72">
        <f t="shared" si="14"/>
        <v>89964890.487162009</v>
      </c>
      <c r="V15" s="72">
        <f t="shared" si="14"/>
        <v>89964890.487162009</v>
      </c>
      <c r="W15" s="72">
        <f t="shared" si="14"/>
        <v>89964890.487162009</v>
      </c>
      <c r="X15" s="72">
        <f t="shared" si="14"/>
        <v>89964890.487162009</v>
      </c>
      <c r="Y15" s="72">
        <f t="shared" si="14"/>
        <v>89964890.487162009</v>
      </c>
      <c r="Z15" s="72">
        <f t="shared" si="14"/>
        <v>89964890.487162009</v>
      </c>
      <c r="AA15" s="72">
        <f t="shared" si="14"/>
        <v>89964890.487162009</v>
      </c>
      <c r="AB15" s="72">
        <f t="shared" si="14"/>
        <v>89964890.487162009</v>
      </c>
      <c r="AC15" s="72">
        <f t="shared" si="14"/>
        <v>89964890.487162009</v>
      </c>
      <c r="AD15" s="72">
        <f t="shared" si="14"/>
        <v>89964890.487162009</v>
      </c>
      <c r="AE15" s="72">
        <f t="shared" si="14"/>
        <v>89964890.487162009</v>
      </c>
      <c r="AF15" s="72">
        <f t="shared" si="14"/>
        <v>89964890.487162009</v>
      </c>
      <c r="AG15" s="72">
        <f t="shared" si="14"/>
        <v>89964890.487162009</v>
      </c>
      <c r="AH15" s="72">
        <f t="shared" si="14"/>
        <v>89964890.487162009</v>
      </c>
      <c r="AI15" s="72">
        <f t="shared" si="14"/>
        <v>89964890.487162009</v>
      </c>
      <c r="AJ15" s="72">
        <f t="shared" si="14"/>
        <v>89964890.487162009</v>
      </c>
      <c r="AK15" s="72">
        <f t="shared" si="14"/>
        <v>89964890.487162009</v>
      </c>
      <c r="AL15" s="72">
        <f t="shared" ref="AL15:BQ15" si="15">AL3+AL4+AL13</f>
        <v>89964890.487162009</v>
      </c>
      <c r="AM15" s="72">
        <f t="shared" si="15"/>
        <v>89964890.487162009</v>
      </c>
      <c r="AN15" s="72">
        <f t="shared" si="15"/>
        <v>89964890.487162009</v>
      </c>
      <c r="AO15" s="72">
        <f t="shared" si="15"/>
        <v>89964890.487162009</v>
      </c>
      <c r="AP15" s="72">
        <f t="shared" si="15"/>
        <v>89964890.487162009</v>
      </c>
      <c r="AQ15" s="72">
        <f t="shared" si="15"/>
        <v>89964890.487162009</v>
      </c>
      <c r="AR15" s="72">
        <f t="shared" si="15"/>
        <v>89964890.487162009</v>
      </c>
      <c r="AS15" s="72">
        <f t="shared" si="15"/>
        <v>89964890.487162009</v>
      </c>
      <c r="AT15" s="72">
        <f t="shared" si="15"/>
        <v>89964890.487162009</v>
      </c>
      <c r="AU15" s="72">
        <f t="shared" si="15"/>
        <v>89964890.487162009</v>
      </c>
      <c r="AV15" s="72">
        <f t="shared" si="15"/>
        <v>89964890.487162009</v>
      </c>
      <c r="AW15" s="72">
        <f t="shared" si="15"/>
        <v>89964890.487162009</v>
      </c>
      <c r="AX15" s="72">
        <f t="shared" si="15"/>
        <v>89964890.487162009</v>
      </c>
      <c r="AY15" s="72">
        <f t="shared" si="15"/>
        <v>89964890.487162009</v>
      </c>
      <c r="AZ15" s="72">
        <f t="shared" si="15"/>
        <v>89964890.487162009</v>
      </c>
      <c r="BA15" s="72">
        <f t="shared" si="15"/>
        <v>89964890.487162009</v>
      </c>
      <c r="BB15" s="72">
        <f t="shared" si="15"/>
        <v>89964890.487162009</v>
      </c>
      <c r="BC15" s="72">
        <f t="shared" si="15"/>
        <v>89964890.487162009</v>
      </c>
      <c r="BD15" s="72">
        <f t="shared" si="15"/>
        <v>89964890.487162009</v>
      </c>
      <c r="BE15" s="72">
        <f t="shared" si="15"/>
        <v>89964890.487162009</v>
      </c>
      <c r="BF15" s="72">
        <f t="shared" si="15"/>
        <v>89964890.487162009</v>
      </c>
      <c r="BG15" s="72">
        <f t="shared" si="15"/>
        <v>89964890.487162009</v>
      </c>
      <c r="BH15" s="72">
        <f t="shared" si="15"/>
        <v>89964890.487162009</v>
      </c>
      <c r="BI15" s="72">
        <f t="shared" si="15"/>
        <v>89964890.487162009</v>
      </c>
      <c r="BJ15" s="72">
        <f t="shared" si="15"/>
        <v>89964890.487162009</v>
      </c>
      <c r="BK15" s="72">
        <f t="shared" si="15"/>
        <v>89964890.487162009</v>
      </c>
      <c r="BL15" s="72">
        <f t="shared" si="15"/>
        <v>89964890.487162009</v>
      </c>
      <c r="BM15" s="72">
        <f t="shared" si="15"/>
        <v>89964890.487162009</v>
      </c>
      <c r="BN15" s="72">
        <f t="shared" si="15"/>
        <v>89964890.487162009</v>
      </c>
      <c r="BO15" s="72">
        <f t="shared" si="15"/>
        <v>89964890.487162009</v>
      </c>
      <c r="BP15" s="72">
        <f t="shared" si="15"/>
        <v>89964890.487162009</v>
      </c>
      <c r="BQ15" s="72">
        <f t="shared" si="15"/>
        <v>89964890.487162009</v>
      </c>
      <c r="BR15" s="72">
        <f t="shared" ref="BR15:CW15" si="16">BR3+BR4+BR13</f>
        <v>89964890.487162009</v>
      </c>
      <c r="BS15" s="72">
        <f t="shared" si="16"/>
        <v>89964890.487162009</v>
      </c>
      <c r="BT15" s="72">
        <f t="shared" si="16"/>
        <v>89964890.487162009</v>
      </c>
      <c r="BU15" s="72">
        <f t="shared" si="16"/>
        <v>89964890.487162009</v>
      </c>
      <c r="BV15" s="72">
        <f t="shared" si="16"/>
        <v>89964890.487162009</v>
      </c>
      <c r="BW15" s="72">
        <f t="shared" si="16"/>
        <v>89964890.487162009</v>
      </c>
      <c r="BX15" s="72">
        <f t="shared" si="16"/>
        <v>89964890.487162009</v>
      </c>
      <c r="BY15" s="72">
        <f t="shared" si="16"/>
        <v>89964890.487162009</v>
      </c>
      <c r="BZ15" s="72">
        <f t="shared" si="16"/>
        <v>89964890.487162009</v>
      </c>
      <c r="CA15" s="72">
        <f t="shared" si="16"/>
        <v>89964890.487162009</v>
      </c>
      <c r="CB15" s="72">
        <f t="shared" si="16"/>
        <v>89964890.487162009</v>
      </c>
      <c r="CC15" s="72">
        <f t="shared" si="16"/>
        <v>89964890.487162009</v>
      </c>
      <c r="CD15" s="72">
        <f t="shared" si="16"/>
        <v>89964890.487162009</v>
      </c>
      <c r="CE15" s="72">
        <f t="shared" si="16"/>
        <v>89964890.487162009</v>
      </c>
      <c r="CF15" s="72">
        <f t="shared" si="16"/>
        <v>89964890.487162009</v>
      </c>
      <c r="CG15" s="72">
        <f t="shared" si="16"/>
        <v>89964890.487162009</v>
      </c>
      <c r="CH15" s="72">
        <f t="shared" si="16"/>
        <v>89964890.487162009</v>
      </c>
      <c r="CI15" s="72">
        <f t="shared" si="16"/>
        <v>89964890.487162009</v>
      </c>
      <c r="CJ15" s="72">
        <f t="shared" si="16"/>
        <v>89964890.487162009</v>
      </c>
      <c r="CK15" s="72">
        <f t="shared" si="16"/>
        <v>89964890.487162009</v>
      </c>
      <c r="CL15" s="72">
        <f t="shared" si="16"/>
        <v>89964890.487162009</v>
      </c>
      <c r="CM15" s="72">
        <f t="shared" si="16"/>
        <v>89964890.487162009</v>
      </c>
      <c r="CN15" s="72">
        <f t="shared" si="16"/>
        <v>89964890.487162009</v>
      </c>
      <c r="CO15" s="72">
        <f t="shared" si="16"/>
        <v>89964890.487162009</v>
      </c>
      <c r="CP15" s="72">
        <f t="shared" si="16"/>
        <v>89964890.487162009</v>
      </c>
      <c r="CQ15" s="72">
        <f t="shared" si="16"/>
        <v>89964890.487162009</v>
      </c>
      <c r="CR15" s="72">
        <f t="shared" si="16"/>
        <v>89964890.487162009</v>
      </c>
      <c r="CS15" s="72">
        <f t="shared" si="16"/>
        <v>89964890.487162009</v>
      </c>
      <c r="CT15" s="72">
        <f t="shared" si="16"/>
        <v>89964890.487162009</v>
      </c>
      <c r="CU15" s="72">
        <f t="shared" si="16"/>
        <v>89964890.487162009</v>
      </c>
      <c r="CV15" s="72">
        <f t="shared" si="16"/>
        <v>89964890.487162009</v>
      </c>
      <c r="CW15" s="72">
        <f t="shared" si="16"/>
        <v>89964890.487162009</v>
      </c>
      <c r="CX15" s="72">
        <f t="shared" ref="CX15:DV15" si="17">CX3+CX4+CX13</f>
        <v>89964890.487162009</v>
      </c>
      <c r="CY15" s="72">
        <f t="shared" si="17"/>
        <v>89964890.487162009</v>
      </c>
      <c r="CZ15" s="72">
        <f t="shared" si="17"/>
        <v>89964890.487162009</v>
      </c>
      <c r="DA15" s="72">
        <f t="shared" si="17"/>
        <v>89964890.487162009</v>
      </c>
      <c r="DB15" s="72">
        <f t="shared" si="17"/>
        <v>89964890.487162009</v>
      </c>
      <c r="DC15" s="72">
        <f t="shared" si="17"/>
        <v>89964890.487162009</v>
      </c>
      <c r="DD15" s="72">
        <f t="shared" si="17"/>
        <v>89964890.487162009</v>
      </c>
      <c r="DE15" s="72">
        <f t="shared" si="17"/>
        <v>89964890.487162009</v>
      </c>
      <c r="DF15" s="72">
        <f t="shared" si="17"/>
        <v>89964890.487162009</v>
      </c>
      <c r="DG15" s="72">
        <f t="shared" si="17"/>
        <v>89964890.487162009</v>
      </c>
      <c r="DH15" s="72">
        <f t="shared" si="17"/>
        <v>89964890.487162009</v>
      </c>
      <c r="DI15" s="72">
        <f t="shared" si="17"/>
        <v>89964890.487162009</v>
      </c>
      <c r="DJ15" s="72">
        <f t="shared" si="17"/>
        <v>89964890.487162009</v>
      </c>
      <c r="DK15" s="72">
        <f t="shared" si="17"/>
        <v>89964890.487162009</v>
      </c>
      <c r="DL15" s="72">
        <f t="shared" si="17"/>
        <v>89964890.487162009</v>
      </c>
      <c r="DM15" s="72">
        <f t="shared" si="17"/>
        <v>89964890.487162009</v>
      </c>
      <c r="DN15" s="72">
        <f t="shared" si="17"/>
        <v>89964890.487162009</v>
      </c>
      <c r="DO15" s="72">
        <f t="shared" si="17"/>
        <v>89964890.487162009</v>
      </c>
      <c r="DP15" s="72">
        <f t="shared" si="17"/>
        <v>89964890.487162009</v>
      </c>
      <c r="DQ15" s="72">
        <f t="shared" si="17"/>
        <v>89964890.487162009</v>
      </c>
      <c r="DR15" s="72">
        <f t="shared" si="17"/>
        <v>89964890.487162009</v>
      </c>
      <c r="DS15" s="72">
        <f t="shared" si="17"/>
        <v>89964890.487162009</v>
      </c>
      <c r="DT15" s="72">
        <f t="shared" si="17"/>
        <v>89964890.487162009</v>
      </c>
      <c r="DU15" s="72">
        <f t="shared" si="17"/>
        <v>89964890.487162009</v>
      </c>
      <c r="DV15" s="72">
        <f t="shared" si="17"/>
        <v>2092311376.7969856</v>
      </c>
    </row>
    <row r="16" spans="1:126" x14ac:dyDescent="0.25">
      <c r="E16" t="s">
        <v>131</v>
      </c>
      <c r="F16" s="72">
        <f>NPV($B$10,G15:DV15)+F15</f>
        <v>2160590022.7670617</v>
      </c>
      <c r="G16" s="72"/>
      <c r="H16" s="72"/>
      <c r="I16" s="72"/>
      <c r="J16" s="72"/>
      <c r="K16" s="72"/>
      <c r="L16" s="72"/>
      <c r="M16" s="72"/>
      <c r="N16" s="72"/>
      <c r="O16" s="87"/>
      <c r="P16" s="87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</row>
    <row r="17" spans="5:126" x14ac:dyDescent="0.25">
      <c r="E17" t="s">
        <v>132</v>
      </c>
      <c r="F17" s="4">
        <f>IRR(G15:DV15)</f>
        <v>1.3793283405926671E-2</v>
      </c>
      <c r="G17" s="72"/>
      <c r="H17" s="72"/>
      <c r="I17" s="72"/>
      <c r="J17" s="72"/>
      <c r="K17" s="72"/>
      <c r="L17" s="72"/>
      <c r="M17" s="72"/>
      <c r="N17" s="72"/>
      <c r="O17" s="72"/>
      <c r="P17" s="87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</row>
    <row r="18" spans="5:126" x14ac:dyDescent="0.25">
      <c r="E18" t="s">
        <v>133</v>
      </c>
      <c r="F18" s="72"/>
      <c r="G18" s="72"/>
      <c r="H18" s="72"/>
      <c r="I18" s="86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</row>
    <row r="19" spans="5:126" x14ac:dyDescent="0.25">
      <c r="F19" s="72"/>
      <c r="G19" s="72"/>
      <c r="H19" s="72"/>
      <c r="I19" s="86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</row>
    <row r="20" spans="5:126" x14ac:dyDescent="0.25"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</row>
    <row r="21" spans="5:126" x14ac:dyDescent="0.25"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</row>
    <row r="22" spans="5:126" x14ac:dyDescent="0.25"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</row>
    <row r="23" spans="5:126" x14ac:dyDescent="0.25"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</row>
    <row r="24" spans="5:126" x14ac:dyDescent="0.25"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</row>
    <row r="25" spans="5:126" x14ac:dyDescent="0.25"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72"/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</row>
    <row r="26" spans="5:126" x14ac:dyDescent="0.25">
      <c r="F26" s="72"/>
      <c r="G26" s="72"/>
      <c r="H26" s="72">
        <f>320000*14000</f>
        <v>4480000000</v>
      </c>
      <c r="I26" s="72">
        <f>H26*1.2%</f>
        <v>53760000</v>
      </c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2"/>
      <c r="CS26" s="72"/>
      <c r="CT26" s="72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</row>
    <row r="27" spans="5:126" x14ac:dyDescent="0.25">
      <c r="H27" s="2">
        <f>14000*2800</f>
        <v>39200000</v>
      </c>
    </row>
  </sheetData>
  <mergeCells count="1">
    <mergeCell ref="F1:D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7"/>
  <sheetViews>
    <sheetView workbookViewId="0">
      <selection activeCell="G23" sqref="G23"/>
    </sheetView>
  </sheetViews>
  <sheetFormatPr baseColWidth="10" defaultColWidth="10.875" defaultRowHeight="15.75" x14ac:dyDescent="0.25"/>
  <cols>
    <col min="2" max="2" width="15.5" bestFit="1" customWidth="1"/>
    <col min="6" max="6" width="48.75" bestFit="1" customWidth="1"/>
    <col min="7" max="7" width="19" bestFit="1" customWidth="1"/>
    <col min="8" max="8" width="20.375" bestFit="1" customWidth="1"/>
  </cols>
  <sheetData>
    <row r="3" spans="2:8" x14ac:dyDescent="0.25">
      <c r="B3" t="s">
        <v>15</v>
      </c>
      <c r="C3" s="7">
        <v>27</v>
      </c>
    </row>
    <row r="4" spans="2:8" x14ac:dyDescent="0.25">
      <c r="B4" t="s">
        <v>16</v>
      </c>
      <c r="C4" s="7">
        <f>Lechon!I21</f>
        <v>115.1</v>
      </c>
    </row>
    <row r="5" spans="2:8" x14ac:dyDescent="0.25">
      <c r="B5" t="s">
        <v>17</v>
      </c>
      <c r="C5" s="7">
        <f>13*7</f>
        <v>91</v>
      </c>
    </row>
    <row r="6" spans="2:8" x14ac:dyDescent="0.25">
      <c r="B6" t="s">
        <v>18</v>
      </c>
      <c r="C6" s="7">
        <f>C4-C3</f>
        <v>88.1</v>
      </c>
    </row>
    <row r="7" spans="2:8" x14ac:dyDescent="0.25">
      <c r="B7" t="s">
        <v>19</v>
      </c>
      <c r="C7" s="11">
        <f>C6/C5</f>
        <v>0.96813186813186802</v>
      </c>
    </row>
    <row r="8" spans="2:8" x14ac:dyDescent="0.25">
      <c r="B8" t="s">
        <v>14</v>
      </c>
      <c r="C8" s="8">
        <v>2.35</v>
      </c>
    </row>
    <row r="9" spans="2:8" x14ac:dyDescent="0.25">
      <c r="B9" t="s">
        <v>20</v>
      </c>
      <c r="C9" s="12">
        <f>C6*C8</f>
        <v>207.035</v>
      </c>
    </row>
    <row r="10" spans="2:8" ht="16.5" thickBot="1" x14ac:dyDescent="0.3">
      <c r="B10" t="s">
        <v>21</v>
      </c>
      <c r="C10" s="11">
        <f>C9/C5</f>
        <v>2.2751098901098903</v>
      </c>
    </row>
    <row r="11" spans="2:8" x14ac:dyDescent="0.25">
      <c r="F11" s="111" t="s">
        <v>22</v>
      </c>
      <c r="G11" s="13" t="s">
        <v>23</v>
      </c>
      <c r="H11" s="13" t="s">
        <v>23</v>
      </c>
    </row>
    <row r="12" spans="2:8" ht="16.5" thickBot="1" x14ac:dyDescent="0.3">
      <c r="F12" s="112"/>
      <c r="G12" s="14" t="s">
        <v>24</v>
      </c>
      <c r="H12" s="14" t="s">
        <v>25</v>
      </c>
    </row>
    <row r="13" spans="2:8" x14ac:dyDescent="0.25">
      <c r="F13" s="15" t="str">
        <f>[1]Hoja1!$A$3</f>
        <v>NP CERDOS LEVANTE STA LAURA MEDICADO PDO GRANEL</v>
      </c>
      <c r="G13" s="16">
        <v>50051</v>
      </c>
      <c r="H13" s="16">
        <v>50467.051053333329</v>
      </c>
    </row>
    <row r="14" spans="2:8" x14ac:dyDescent="0.25">
      <c r="F14" s="17" t="str">
        <f>[1]Hoja1!$A$4</f>
        <v>NP CERDOS LEVANTE STA LAURA PDO GRANEL</v>
      </c>
      <c r="G14" s="18">
        <v>49168</v>
      </c>
      <c r="H14" s="18">
        <v>49413.139853333319</v>
      </c>
    </row>
    <row r="15" spans="2:8" x14ac:dyDescent="0.25">
      <c r="F15" s="17" t="str">
        <f>[1]Hoja1!$A$5</f>
        <v>NP CERDOS ENGORDE STA LAURA PDO GRANEL</v>
      </c>
      <c r="G15" s="18">
        <v>47861</v>
      </c>
      <c r="H15" s="18">
        <v>48282.226053333332</v>
      </c>
    </row>
    <row r="16" spans="2:8" ht="16.5" thickBot="1" x14ac:dyDescent="0.3">
      <c r="F16" s="19" t="str">
        <f>[1]Hoja1!$A$6</f>
        <v>NP CERDOS FINALIZADOR STA LAURA PDO GRANEL</v>
      </c>
      <c r="G16" s="20">
        <v>48878</v>
      </c>
      <c r="H16" s="20">
        <v>49260.910666666663</v>
      </c>
    </row>
    <row r="17" spans="6:8" x14ac:dyDescent="0.25">
      <c r="F17" t="s">
        <v>34</v>
      </c>
      <c r="G17" s="7">
        <f>(G13+G14+G15+G16)/4</f>
        <v>48989.5</v>
      </c>
      <c r="H17" s="7">
        <f>(H13+H14+H15+H16)/4</f>
        <v>49355.831906666666</v>
      </c>
    </row>
    <row r="18" spans="6:8" x14ac:dyDescent="0.25">
      <c r="F18" t="s">
        <v>35</v>
      </c>
      <c r="G18" s="7">
        <f>G17/40</f>
        <v>1224.7375</v>
      </c>
      <c r="H18" s="7">
        <f>H17/40</f>
        <v>1233.8957976666666</v>
      </c>
    </row>
    <row r="19" spans="6:8" x14ac:dyDescent="0.25">
      <c r="G19" s="7"/>
      <c r="H19" s="7"/>
    </row>
    <row r="20" spans="6:8" x14ac:dyDescent="0.25">
      <c r="F20" s="21" t="s">
        <v>26</v>
      </c>
    </row>
    <row r="21" spans="6:8" x14ac:dyDescent="0.25">
      <c r="F21" t="s">
        <v>27</v>
      </c>
      <c r="G21" s="7">
        <v>27</v>
      </c>
    </row>
    <row r="22" spans="6:8" x14ac:dyDescent="0.25">
      <c r="F22" t="s">
        <v>28</v>
      </c>
      <c r="G22" s="7">
        <v>115</v>
      </c>
    </row>
    <row r="23" spans="6:8" x14ac:dyDescent="0.25">
      <c r="F23" t="s">
        <v>29</v>
      </c>
      <c r="G23" s="7">
        <f>13*7</f>
        <v>91</v>
      </c>
      <c r="H23" s="12">
        <f>G23/7</f>
        <v>13</v>
      </c>
    </row>
    <row r="24" spans="6:8" x14ac:dyDescent="0.25">
      <c r="F24" t="s">
        <v>30</v>
      </c>
      <c r="G24" s="7">
        <f>(G22-G21)/G23*1000</f>
        <v>967.03296703296701</v>
      </c>
    </row>
    <row r="25" spans="6:8" x14ac:dyDescent="0.25">
      <c r="F25" t="s">
        <v>31</v>
      </c>
      <c r="G25" s="7">
        <v>207</v>
      </c>
    </row>
    <row r="26" spans="6:8" x14ac:dyDescent="0.25">
      <c r="F26" t="s">
        <v>32</v>
      </c>
      <c r="G26" s="11">
        <f>G25/(G22-G21)</f>
        <v>2.3522727272727271</v>
      </c>
    </row>
    <row r="27" spans="6:8" x14ac:dyDescent="0.25">
      <c r="F27" t="s">
        <v>33</v>
      </c>
      <c r="G27" s="11">
        <f>G25/G23</f>
        <v>2.2747252747252746</v>
      </c>
    </row>
  </sheetData>
  <mergeCells count="1">
    <mergeCell ref="F11:F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7"/>
  <sheetViews>
    <sheetView topLeftCell="A2" workbookViewId="0">
      <selection activeCell="F29" sqref="F29"/>
    </sheetView>
  </sheetViews>
  <sheetFormatPr baseColWidth="10" defaultColWidth="10.875" defaultRowHeight="15.75" x14ac:dyDescent="0.25"/>
  <cols>
    <col min="1" max="1" width="5" customWidth="1"/>
    <col min="2" max="2" width="8.5" customWidth="1"/>
    <col min="4" max="4" width="6.125" customWidth="1"/>
    <col min="5" max="5" width="9" customWidth="1"/>
    <col min="6" max="6" width="8.5" customWidth="1"/>
    <col min="7" max="7" width="7.125" bestFit="1" customWidth="1"/>
    <col min="8" max="8" width="6.75" customWidth="1"/>
    <col min="9" max="9" width="6.625" customWidth="1"/>
    <col min="10" max="10" width="5.625" customWidth="1"/>
    <col min="11" max="11" width="7.75" customWidth="1"/>
    <col min="12" max="13" width="7" bestFit="1" customWidth="1"/>
    <col min="14" max="15" width="8.625" customWidth="1"/>
    <col min="16" max="17" width="9" bestFit="1" customWidth="1"/>
    <col min="18" max="18" width="9" customWidth="1"/>
    <col min="19" max="19" width="8.625" customWidth="1"/>
    <col min="20" max="20" width="9.375" customWidth="1"/>
    <col min="21" max="21" width="8.375" customWidth="1"/>
  </cols>
  <sheetData>
    <row r="2" spans="1:21" x14ac:dyDescent="0.25">
      <c r="C2" t="s">
        <v>8</v>
      </c>
    </row>
    <row r="3" spans="1:21" ht="16.5" thickBot="1" x14ac:dyDescent="0.3">
      <c r="N3" s="10" t="s">
        <v>54</v>
      </c>
      <c r="O3" s="10"/>
      <c r="P3" s="2">
        <v>6000</v>
      </c>
    </row>
    <row r="4" spans="1:21" ht="16.5" thickBot="1" x14ac:dyDescent="0.3">
      <c r="A4" t="s">
        <v>9</v>
      </c>
      <c r="B4" s="1" t="s">
        <v>10</v>
      </c>
      <c r="C4" s="1" t="s">
        <v>11</v>
      </c>
      <c r="E4" s="22" t="s">
        <v>12</v>
      </c>
      <c r="F4" s="23"/>
      <c r="G4" s="23"/>
      <c r="H4" s="23"/>
      <c r="I4" s="24">
        <v>20</v>
      </c>
      <c r="S4" s="113" t="s">
        <v>55</v>
      </c>
      <c r="T4" s="113" t="s">
        <v>56</v>
      </c>
      <c r="U4" s="114" t="s">
        <v>57</v>
      </c>
    </row>
    <row r="5" spans="1:21" ht="15" customHeight="1" x14ac:dyDescent="0.25">
      <c r="B5" s="1"/>
      <c r="C5" s="1"/>
      <c r="E5" s="118" t="s">
        <v>44</v>
      </c>
      <c r="F5" s="118" t="s">
        <v>45</v>
      </c>
      <c r="G5" s="116" t="s">
        <v>13</v>
      </c>
      <c r="H5" s="118" t="s">
        <v>12</v>
      </c>
      <c r="I5" s="118" t="s">
        <v>4</v>
      </c>
      <c r="J5" s="113" t="s">
        <v>49</v>
      </c>
      <c r="K5" s="113" t="s">
        <v>50</v>
      </c>
      <c r="L5" s="113" t="s">
        <v>48</v>
      </c>
      <c r="M5" s="113" t="s">
        <v>46</v>
      </c>
      <c r="N5" s="117" t="s">
        <v>51</v>
      </c>
      <c r="O5" s="28"/>
      <c r="P5" s="117" t="s">
        <v>52</v>
      </c>
      <c r="Q5" s="117" t="s">
        <v>53</v>
      </c>
      <c r="R5" s="117" t="s">
        <v>142</v>
      </c>
      <c r="S5" s="113"/>
      <c r="T5" s="113"/>
      <c r="U5" s="114"/>
    </row>
    <row r="6" spans="1:21" x14ac:dyDescent="0.25">
      <c r="E6" s="113"/>
      <c r="F6" s="113"/>
      <c r="G6" s="117"/>
      <c r="H6" s="119"/>
      <c r="I6" s="113"/>
      <c r="J6" s="113"/>
      <c r="K6" s="113"/>
      <c r="L6" s="113"/>
      <c r="M6" s="113"/>
      <c r="N6" s="117"/>
      <c r="O6" s="28"/>
      <c r="P6" s="117"/>
      <c r="Q6" s="117"/>
      <c r="R6" s="117"/>
      <c r="S6" s="113"/>
      <c r="T6" s="113"/>
      <c r="U6" s="114"/>
    </row>
    <row r="7" spans="1:21" x14ac:dyDescent="0.25">
      <c r="A7">
        <v>15</v>
      </c>
      <c r="B7" s="2">
        <v>11377</v>
      </c>
      <c r="C7" s="2">
        <f>A7*B7</f>
        <v>170655</v>
      </c>
      <c r="D7" s="2">
        <v>0</v>
      </c>
      <c r="E7" s="8">
        <f>1*7</f>
        <v>7</v>
      </c>
      <c r="F7" s="8"/>
      <c r="G7" s="9"/>
      <c r="H7" s="7"/>
      <c r="I7" s="7"/>
      <c r="J7" s="8"/>
      <c r="K7" s="8"/>
      <c r="L7" s="11"/>
      <c r="M7" s="11"/>
    </row>
    <row r="8" spans="1:21" x14ac:dyDescent="0.25">
      <c r="A8">
        <f>A7+1</f>
        <v>16</v>
      </c>
      <c r="B8" s="2">
        <v>11100</v>
      </c>
      <c r="C8" s="2">
        <f t="shared" ref="C8:C27" si="0">A8*B8</f>
        <v>177600</v>
      </c>
      <c r="D8" s="2">
        <v>0</v>
      </c>
      <c r="E8" s="8">
        <f>1.2*7</f>
        <v>8.4</v>
      </c>
      <c r="F8" s="8"/>
      <c r="G8" s="9"/>
      <c r="H8" s="7"/>
      <c r="I8" s="7"/>
      <c r="J8" s="8"/>
      <c r="K8" s="8"/>
      <c r="L8" s="11"/>
      <c r="M8" s="11"/>
      <c r="P8" s="12"/>
    </row>
    <row r="9" spans="1:21" x14ac:dyDescent="0.25">
      <c r="A9">
        <f t="shared" ref="A9:A27" si="1">A8+1</f>
        <v>17</v>
      </c>
      <c r="B9" s="2">
        <v>10851</v>
      </c>
      <c r="C9" s="2">
        <f t="shared" si="0"/>
        <v>184467</v>
      </c>
      <c r="D9" s="10">
        <f>1</f>
        <v>1</v>
      </c>
      <c r="E9" s="8">
        <v>8.4499999999999993</v>
      </c>
      <c r="F9" s="8">
        <f>E9</f>
        <v>8.4499999999999993</v>
      </c>
      <c r="G9" s="9">
        <f>E9/$F$21</f>
        <v>4.2180402336145353E-2</v>
      </c>
      <c r="H9" s="7">
        <v>27</v>
      </c>
      <c r="I9" s="7">
        <f>H9+5.6</f>
        <v>32.6</v>
      </c>
      <c r="J9" s="8">
        <v>6</v>
      </c>
      <c r="K9" s="8">
        <f>J9</f>
        <v>6</v>
      </c>
      <c r="L9" s="11">
        <f t="shared" ref="L9:L24" si="2">E9/J9</f>
        <v>1.4083333333333332</v>
      </c>
      <c r="M9" s="11">
        <f t="shared" ref="M9:M20" si="3">J9/7</f>
        <v>0.8571428571428571</v>
      </c>
      <c r="N9" s="2">
        <f>Resumen!$B$7+Resumen!$B$5+(Concentrado!$H$18*F9)</f>
        <v>280910.81342967728</v>
      </c>
      <c r="O9" s="2"/>
      <c r="P9" s="2">
        <f t="shared" ref="P9:P24" si="4">I9*$P$3</f>
        <v>195600</v>
      </c>
      <c r="Q9" s="3">
        <f t="shared" ref="Q9:Q24" si="5">P9-N9</f>
        <v>-85310.813429677277</v>
      </c>
      <c r="R9" s="9">
        <f>Q9/P9</f>
        <v>-0.43614935291246054</v>
      </c>
      <c r="S9" s="2">
        <f>(F9*Concentrado!$H$18)/Lechon!K9</f>
        <v>1737.7365817138887</v>
      </c>
      <c r="T9" s="2">
        <f>(E9*Concentrado!$H$18)/Lechon!J9</f>
        <v>1737.7365817138887</v>
      </c>
      <c r="U9" s="3">
        <f>Resumen!$B$7/Lechon!I9</f>
        <v>7305.9118795315107</v>
      </c>
    </row>
    <row r="10" spans="1:21" x14ac:dyDescent="0.25">
      <c r="A10">
        <f t="shared" si="1"/>
        <v>18</v>
      </c>
      <c r="B10" s="2">
        <v>10636</v>
      </c>
      <c r="C10" s="2">
        <f t="shared" si="0"/>
        <v>191448</v>
      </c>
      <c r="D10" s="10">
        <f>D9+1</f>
        <v>2</v>
      </c>
      <c r="E10" s="8">
        <v>10</v>
      </c>
      <c r="F10" s="8">
        <f t="shared" ref="F10:F24" si="6">F9+E10</f>
        <v>18.45</v>
      </c>
      <c r="G10" s="9">
        <f t="shared" ref="G10:G24" si="7">E10/$F$21</f>
        <v>4.9917635900763736E-2</v>
      </c>
      <c r="H10" s="7">
        <f t="shared" ref="H10:H21" si="8">I9</f>
        <v>32.6</v>
      </c>
      <c r="I10" s="7">
        <f>I9+J10</f>
        <v>38.800000000000004</v>
      </c>
      <c r="J10" s="8">
        <v>6.2</v>
      </c>
      <c r="K10" s="8">
        <f>K9+J10</f>
        <v>12.2</v>
      </c>
      <c r="L10" s="11">
        <f t="shared" si="2"/>
        <v>1.6129032258064515</v>
      </c>
      <c r="M10" s="11">
        <f t="shared" si="3"/>
        <v>0.88571428571428579</v>
      </c>
      <c r="N10" s="2">
        <f>Resumen!$B$7+Resumen!$B$5+(Concentrado!$H$18*F10)</f>
        <v>293249.77140634391</v>
      </c>
      <c r="O10" s="2"/>
      <c r="P10" s="2">
        <f t="shared" si="4"/>
        <v>232800.00000000003</v>
      </c>
      <c r="Q10" s="3">
        <f t="shared" si="5"/>
        <v>-60449.771406343876</v>
      </c>
      <c r="R10" s="9">
        <f t="shared" ref="R10:R24" si="9">Q10/P10</f>
        <v>-0.25966396652209567</v>
      </c>
      <c r="S10" s="2">
        <f>(F10*Concentrado!$H$18)/Lechon!K10</f>
        <v>1866.0145464713114</v>
      </c>
      <c r="T10" s="2">
        <f>(E10*Concentrado!$H$18)/Lechon!J10</f>
        <v>1990.154512365591</v>
      </c>
      <c r="U10" s="3">
        <f>Resumen!$B$7/Lechon!I10</f>
        <v>6138.4723523898774</v>
      </c>
    </row>
    <row r="11" spans="1:21" x14ac:dyDescent="0.25">
      <c r="A11">
        <f t="shared" si="1"/>
        <v>19</v>
      </c>
      <c r="B11" s="2">
        <v>10449</v>
      </c>
      <c r="C11" s="2">
        <f t="shared" si="0"/>
        <v>198531</v>
      </c>
      <c r="D11" s="10">
        <f t="shared" ref="D11:D21" si="10">D10+1</f>
        <v>3</v>
      </c>
      <c r="E11" s="8">
        <v>11</v>
      </c>
      <c r="F11" s="8">
        <f t="shared" si="6"/>
        <v>29.45</v>
      </c>
      <c r="G11" s="9">
        <f t="shared" si="7"/>
        <v>5.4909399490840109E-2</v>
      </c>
      <c r="H11" s="7">
        <f t="shared" si="8"/>
        <v>38.800000000000004</v>
      </c>
      <c r="I11" s="7">
        <f t="shared" ref="I11:I21" si="11">I10+J11</f>
        <v>45.2</v>
      </c>
      <c r="J11" s="8">
        <v>6.4</v>
      </c>
      <c r="K11" s="8">
        <f t="shared" ref="K11:K20" si="12">K10+J11</f>
        <v>18.600000000000001</v>
      </c>
      <c r="L11" s="11">
        <f t="shared" si="2"/>
        <v>1.71875</v>
      </c>
      <c r="M11" s="11">
        <f t="shared" si="3"/>
        <v>0.91428571428571437</v>
      </c>
      <c r="N11" s="2">
        <f>Resumen!$B$7+Resumen!$B$5+(Concentrado!$H$18*F11)</f>
        <v>306822.62518067728</v>
      </c>
      <c r="O11" s="2"/>
      <c r="P11" s="2">
        <f t="shared" si="4"/>
        <v>271200</v>
      </c>
      <c r="Q11" s="3">
        <f t="shared" si="5"/>
        <v>-35622.625180677278</v>
      </c>
      <c r="R11" s="9">
        <f t="shared" si="9"/>
        <v>-0.13135186276060942</v>
      </c>
      <c r="S11" s="2">
        <f>(F11*Concentrado!$H$18)/Lechon!K11</f>
        <v>1953.6683463055551</v>
      </c>
      <c r="T11" s="2">
        <f>(E11*Concentrado!$H$18)/Lechon!J11</f>
        <v>2120.7584022395831</v>
      </c>
      <c r="U11" s="3">
        <f>Resumen!$B$7/Lechon!I11</f>
        <v>5269.3081255028155</v>
      </c>
    </row>
    <row r="12" spans="1:21" x14ac:dyDescent="0.25">
      <c r="A12">
        <f t="shared" si="1"/>
        <v>20</v>
      </c>
      <c r="B12" s="2">
        <v>10286</v>
      </c>
      <c r="C12" s="2">
        <f t="shared" si="0"/>
        <v>205720</v>
      </c>
      <c r="D12" s="10">
        <f t="shared" si="10"/>
        <v>4</v>
      </c>
      <c r="E12" s="8">
        <v>12.5</v>
      </c>
      <c r="F12" s="8">
        <f t="shared" si="6"/>
        <v>41.95</v>
      </c>
      <c r="G12" s="9">
        <f t="shared" si="7"/>
        <v>6.2397044875954669E-2</v>
      </c>
      <c r="H12" s="7">
        <f t="shared" si="8"/>
        <v>45.2</v>
      </c>
      <c r="I12" s="7">
        <f t="shared" si="11"/>
        <v>51.7</v>
      </c>
      <c r="J12" s="8">
        <v>6.5</v>
      </c>
      <c r="K12" s="8">
        <f t="shared" si="12"/>
        <v>25.1</v>
      </c>
      <c r="L12" s="11">
        <f t="shared" si="2"/>
        <v>1.9230769230769231</v>
      </c>
      <c r="M12" s="11">
        <f t="shared" si="3"/>
        <v>0.9285714285714286</v>
      </c>
      <c r="N12" s="2">
        <f>Resumen!$B$7+Resumen!$B$5+(Concentrado!$H$18*F12)</f>
        <v>322246.32265151059</v>
      </c>
      <c r="O12" s="2"/>
      <c r="P12" s="2">
        <f t="shared" si="4"/>
        <v>310200</v>
      </c>
      <c r="Q12" s="3">
        <f t="shared" si="5"/>
        <v>-12046.322651510593</v>
      </c>
      <c r="R12" s="9">
        <f t="shared" si="9"/>
        <v>-3.8834051100936788E-2</v>
      </c>
      <c r="S12" s="2">
        <f>(F12*Concentrado!$H$18)/Lechon!K12</f>
        <v>2062.2282355424963</v>
      </c>
      <c r="T12" s="2">
        <f>(E12*Concentrado!$H$18)/Lechon!J12</f>
        <v>2372.8765339743591</v>
      </c>
      <c r="U12" s="3">
        <f>Resumen!$B$7/Lechon!I12</f>
        <v>4606.8225778090382</v>
      </c>
    </row>
    <row r="13" spans="1:21" x14ac:dyDescent="0.25">
      <c r="A13">
        <f t="shared" si="1"/>
        <v>21</v>
      </c>
      <c r="B13" s="2">
        <v>10012</v>
      </c>
      <c r="C13" s="2">
        <f t="shared" si="0"/>
        <v>210252</v>
      </c>
      <c r="D13" s="10">
        <f t="shared" si="10"/>
        <v>5</v>
      </c>
      <c r="E13" s="8">
        <v>13.7</v>
      </c>
      <c r="F13" s="8">
        <f t="shared" si="6"/>
        <v>55.650000000000006</v>
      </c>
      <c r="G13" s="9">
        <f t="shared" si="7"/>
        <v>6.8387161184046322E-2</v>
      </c>
      <c r="H13" s="7">
        <f t="shared" si="8"/>
        <v>51.7</v>
      </c>
      <c r="I13" s="7">
        <f t="shared" si="11"/>
        <v>58.300000000000004</v>
      </c>
      <c r="J13" s="8">
        <v>6.6</v>
      </c>
      <c r="K13" s="8">
        <f t="shared" si="12"/>
        <v>31.700000000000003</v>
      </c>
      <c r="L13" s="11">
        <f t="shared" si="2"/>
        <v>2.0757575757575757</v>
      </c>
      <c r="M13" s="11">
        <f t="shared" si="3"/>
        <v>0.94285714285714284</v>
      </c>
      <c r="N13" s="2">
        <f>Resumen!$B$7+Resumen!$B$5+(Concentrado!$H$18*F13)</f>
        <v>339150.69507954392</v>
      </c>
      <c r="O13" s="2"/>
      <c r="P13" s="2">
        <f t="shared" si="4"/>
        <v>349800</v>
      </c>
      <c r="Q13" s="3">
        <f t="shared" si="5"/>
        <v>10649.304920456081</v>
      </c>
      <c r="R13" s="9">
        <f t="shared" si="9"/>
        <v>3.0443982048187768E-2</v>
      </c>
      <c r="S13" s="2">
        <f>(F13*Concentrado!$H$18)/Lechon!K13</f>
        <v>2166.1293735063086</v>
      </c>
      <c r="T13" s="2">
        <f>(E13*Concentrado!$H$18)/Lechon!J13</f>
        <v>2561.2685497020198</v>
      </c>
      <c r="U13" s="3">
        <f>Resumen!$B$7/Lechon!I13</f>
        <v>4085.2954935287694</v>
      </c>
    </row>
    <row r="14" spans="1:21" x14ac:dyDescent="0.25">
      <c r="A14">
        <f t="shared" si="1"/>
        <v>22</v>
      </c>
      <c r="B14" s="2">
        <v>9760</v>
      </c>
      <c r="C14" s="2">
        <f t="shared" si="0"/>
        <v>214720</v>
      </c>
      <c r="D14" s="10">
        <f t="shared" si="10"/>
        <v>6</v>
      </c>
      <c r="E14" s="8">
        <v>14.4</v>
      </c>
      <c r="F14" s="8">
        <f t="shared" si="6"/>
        <v>70.050000000000011</v>
      </c>
      <c r="G14" s="9">
        <f t="shared" si="7"/>
        <v>7.1881395697099781E-2</v>
      </c>
      <c r="H14" s="7">
        <f t="shared" si="8"/>
        <v>58.300000000000004</v>
      </c>
      <c r="I14" s="7">
        <f t="shared" si="11"/>
        <v>65</v>
      </c>
      <c r="J14" s="8">
        <v>6.7</v>
      </c>
      <c r="K14" s="8">
        <f t="shared" si="12"/>
        <v>38.400000000000006</v>
      </c>
      <c r="L14" s="11">
        <f t="shared" si="2"/>
        <v>2.1492537313432836</v>
      </c>
      <c r="M14" s="11">
        <f t="shared" si="3"/>
        <v>0.95714285714285718</v>
      </c>
      <c r="N14" s="2">
        <f>Resumen!$B$7+Resumen!$B$5+(Concentrado!$H$18*F14)</f>
        <v>356918.79456594394</v>
      </c>
      <c r="O14" s="2"/>
      <c r="P14" s="2">
        <f t="shared" si="4"/>
        <v>390000</v>
      </c>
      <c r="Q14" s="3">
        <f t="shared" si="5"/>
        <v>33081.205434056057</v>
      </c>
      <c r="R14" s="9">
        <f t="shared" si="9"/>
        <v>8.4823603677066817E-2</v>
      </c>
      <c r="S14" s="2">
        <f>(F14*Concentrado!$H$18)/Lechon!K14</f>
        <v>2250.8958496497394</v>
      </c>
      <c r="T14" s="2">
        <f>(E14*Concentrado!$H$18)/Lechon!J14</f>
        <v>2651.9551472238804</v>
      </c>
      <c r="U14" s="3">
        <f>Resumen!$B$7/Lechon!I14</f>
        <v>3664.1958041958042</v>
      </c>
    </row>
    <row r="15" spans="1:21" x14ac:dyDescent="0.25">
      <c r="A15">
        <f t="shared" si="1"/>
        <v>23</v>
      </c>
      <c r="B15" s="2">
        <v>9529</v>
      </c>
      <c r="C15" s="2">
        <f t="shared" si="0"/>
        <v>219167</v>
      </c>
      <c r="D15" s="10">
        <f t="shared" si="10"/>
        <v>7</v>
      </c>
      <c r="E15" s="8">
        <v>15.1</v>
      </c>
      <c r="F15" s="8">
        <f t="shared" si="6"/>
        <v>85.15</v>
      </c>
      <c r="G15" s="9">
        <f t="shared" si="7"/>
        <v>7.5375630210153241E-2</v>
      </c>
      <c r="H15" s="7">
        <f t="shared" si="8"/>
        <v>65</v>
      </c>
      <c r="I15" s="7">
        <f t="shared" si="11"/>
        <v>71.8</v>
      </c>
      <c r="J15" s="8">
        <v>6.8</v>
      </c>
      <c r="K15" s="8">
        <f t="shared" si="12"/>
        <v>45.2</v>
      </c>
      <c r="L15" s="11">
        <f t="shared" si="2"/>
        <v>2.2205882352941178</v>
      </c>
      <c r="M15" s="11">
        <f t="shared" si="3"/>
        <v>0.97142857142857142</v>
      </c>
      <c r="N15" s="2">
        <f>Resumen!$B$7+Resumen!$B$5+(Concentrado!$H$18*F15)</f>
        <v>375550.62111071061</v>
      </c>
      <c r="O15" s="2"/>
      <c r="P15" s="2">
        <f t="shared" si="4"/>
        <v>430800</v>
      </c>
      <c r="Q15" s="3">
        <f t="shared" si="5"/>
        <v>55249.378889289394</v>
      </c>
      <c r="R15" s="9">
        <f t="shared" si="9"/>
        <v>0.12824832611255663</v>
      </c>
      <c r="S15" s="2">
        <f>(F15*Concentrado!$H$18)/Lechon!K15</f>
        <v>2324.4740524627582</v>
      </c>
      <c r="T15" s="2">
        <f>(E15*Concentrado!$H$18)/Lechon!J15</f>
        <v>2739.9744918774504</v>
      </c>
      <c r="U15" s="3">
        <f>Resumen!$B$7/Lechon!I15</f>
        <v>3317.1689035198783</v>
      </c>
    </row>
    <row r="16" spans="1:21" x14ac:dyDescent="0.25">
      <c r="A16">
        <f t="shared" si="1"/>
        <v>24</v>
      </c>
      <c r="B16" s="2">
        <v>9323</v>
      </c>
      <c r="C16" s="2">
        <f t="shared" si="0"/>
        <v>223752</v>
      </c>
      <c r="D16" s="10">
        <f t="shared" si="10"/>
        <v>8</v>
      </c>
      <c r="E16" s="8">
        <v>16.149999999999999</v>
      </c>
      <c r="F16" s="8">
        <f t="shared" si="6"/>
        <v>101.30000000000001</v>
      </c>
      <c r="G16" s="9">
        <f t="shared" si="7"/>
        <v>8.0616981979733424E-2</v>
      </c>
      <c r="H16" s="7">
        <f t="shared" si="8"/>
        <v>71.8</v>
      </c>
      <c r="I16" s="7">
        <f t="shared" si="11"/>
        <v>78.7</v>
      </c>
      <c r="J16" s="8">
        <v>6.9</v>
      </c>
      <c r="K16" s="8">
        <f t="shared" si="12"/>
        <v>52.1</v>
      </c>
      <c r="L16" s="11">
        <f t="shared" si="2"/>
        <v>2.3405797101449273</v>
      </c>
      <c r="M16" s="11">
        <f t="shared" si="3"/>
        <v>0.98571428571428577</v>
      </c>
      <c r="N16" s="2">
        <f>Resumen!$B$7+Resumen!$B$5+(Concentrado!$H$18*F16)</f>
        <v>395478.03824302729</v>
      </c>
      <c r="O16" s="2"/>
      <c r="P16" s="2">
        <f t="shared" si="4"/>
        <v>472200</v>
      </c>
      <c r="Q16" s="3">
        <f t="shared" si="5"/>
        <v>76721.961756972712</v>
      </c>
      <c r="R16" s="9">
        <f t="shared" si="9"/>
        <v>0.16247768267042081</v>
      </c>
      <c r="S16" s="2">
        <f>(F16*Concentrado!$H$18)/Lechon!K16</f>
        <v>2399.1102553480487</v>
      </c>
      <c r="T16" s="2">
        <f>(E16*Concentrado!$H$18)/Lechon!J16</f>
        <v>2888.0314684516902</v>
      </c>
      <c r="U16" s="3">
        <f>Resumen!$B$7/Lechon!I16</f>
        <v>3026.3370682684531</v>
      </c>
    </row>
    <row r="17" spans="1:21" x14ac:dyDescent="0.25">
      <c r="A17">
        <f t="shared" si="1"/>
        <v>25</v>
      </c>
      <c r="B17" s="2">
        <v>9119</v>
      </c>
      <c r="C17" s="2">
        <f t="shared" si="0"/>
        <v>227975</v>
      </c>
      <c r="D17" s="10">
        <f t="shared" si="10"/>
        <v>9</v>
      </c>
      <c r="E17" s="8">
        <v>16.850000000000001</v>
      </c>
      <c r="F17" s="8">
        <f t="shared" si="6"/>
        <v>118.15</v>
      </c>
      <c r="G17" s="9">
        <f t="shared" si="7"/>
        <v>8.4111216492786897E-2</v>
      </c>
      <c r="H17" s="7">
        <f t="shared" si="8"/>
        <v>78.7</v>
      </c>
      <c r="I17" s="7">
        <f t="shared" si="11"/>
        <v>85.7</v>
      </c>
      <c r="J17" s="8">
        <v>7</v>
      </c>
      <c r="K17" s="8">
        <f t="shared" si="12"/>
        <v>59.1</v>
      </c>
      <c r="L17" s="11">
        <f t="shared" si="2"/>
        <v>2.4071428571428575</v>
      </c>
      <c r="M17" s="11">
        <f t="shared" si="3"/>
        <v>1</v>
      </c>
      <c r="N17" s="2">
        <f>Resumen!$B$7+Resumen!$B$5+(Concentrado!$H$18*F17)</f>
        <v>416269.18243371055</v>
      </c>
      <c r="O17" s="2"/>
      <c r="P17" s="2">
        <f t="shared" si="4"/>
        <v>514200</v>
      </c>
      <c r="Q17" s="3">
        <f t="shared" si="5"/>
        <v>97930.81756628945</v>
      </c>
      <c r="R17" s="9">
        <f t="shared" si="9"/>
        <v>0.19045277628605495</v>
      </c>
      <c r="S17" s="2">
        <f>(F17*Concentrado!$H$18)/Lechon!K17</f>
        <v>2466.7476902591652</v>
      </c>
      <c r="T17" s="2">
        <f>(E17*Concentrado!$H$18)/Lechon!J17</f>
        <v>2970.1634558119049</v>
      </c>
      <c r="U17" s="3">
        <f>Resumen!$B$7/Lechon!I17</f>
        <v>2779.1450090166541</v>
      </c>
    </row>
    <row r="18" spans="1:21" x14ac:dyDescent="0.25">
      <c r="A18">
        <f t="shared" si="1"/>
        <v>26</v>
      </c>
      <c r="B18" s="2">
        <v>8917</v>
      </c>
      <c r="C18" s="2">
        <f t="shared" si="0"/>
        <v>231842</v>
      </c>
      <c r="D18" s="10">
        <f t="shared" si="10"/>
        <v>10</v>
      </c>
      <c r="E18" s="8">
        <v>18.46</v>
      </c>
      <c r="F18" s="8">
        <f t="shared" si="6"/>
        <v>136.61000000000001</v>
      </c>
      <c r="G18" s="9">
        <f t="shared" si="7"/>
        <v>9.2147955872809856E-2</v>
      </c>
      <c r="H18" s="7">
        <f t="shared" si="8"/>
        <v>85.7</v>
      </c>
      <c r="I18" s="7">
        <f t="shared" si="11"/>
        <v>92.8</v>
      </c>
      <c r="J18" s="8">
        <v>7.1</v>
      </c>
      <c r="K18" s="8">
        <f t="shared" si="12"/>
        <v>66.2</v>
      </c>
      <c r="L18" s="11">
        <f t="shared" si="2"/>
        <v>2.6</v>
      </c>
      <c r="M18" s="11">
        <f t="shared" si="3"/>
        <v>1.0142857142857142</v>
      </c>
      <c r="N18" s="2">
        <f>Resumen!$B$7+Resumen!$B$5+(Concentrado!$H$18*F18)</f>
        <v>439046.89885863726</v>
      </c>
      <c r="O18" s="2"/>
      <c r="P18" s="2">
        <f t="shared" si="4"/>
        <v>556800</v>
      </c>
      <c r="Q18" s="3">
        <f t="shared" si="5"/>
        <v>117753.10114136274</v>
      </c>
      <c r="R18" s="9">
        <f t="shared" si="9"/>
        <v>0.21148186268204516</v>
      </c>
      <c r="S18" s="2">
        <f>(F18*Concentrado!$H$18)/Lechon!K18</f>
        <v>2546.2614036139476</v>
      </c>
      <c r="T18" s="2">
        <f>(E18*Concentrado!$H$18)/Lechon!J18</f>
        <v>3208.1290739333331</v>
      </c>
      <c r="U18" s="3">
        <f>Resumen!$B$7/Lechon!I18</f>
        <v>2566.5164576802508</v>
      </c>
    </row>
    <row r="19" spans="1:21" x14ac:dyDescent="0.25">
      <c r="A19" s="107">
        <f t="shared" si="1"/>
        <v>27</v>
      </c>
      <c r="B19" s="108">
        <v>8733</v>
      </c>
      <c r="C19" s="108">
        <f t="shared" si="0"/>
        <v>235791</v>
      </c>
      <c r="D19" s="10">
        <f t="shared" si="10"/>
        <v>11</v>
      </c>
      <c r="E19" s="8">
        <v>19.02</v>
      </c>
      <c r="F19" s="8">
        <f t="shared" si="6"/>
        <v>155.63000000000002</v>
      </c>
      <c r="G19" s="9">
        <f t="shared" si="7"/>
        <v>9.4943343483252632E-2</v>
      </c>
      <c r="H19" s="7">
        <f t="shared" si="8"/>
        <v>92.8</v>
      </c>
      <c r="I19" s="7">
        <f t="shared" si="11"/>
        <v>100</v>
      </c>
      <c r="J19" s="8">
        <v>7.2</v>
      </c>
      <c r="K19" s="8">
        <f t="shared" si="12"/>
        <v>73.400000000000006</v>
      </c>
      <c r="L19" s="11">
        <f t="shared" si="2"/>
        <v>2.6416666666666666</v>
      </c>
      <c r="M19" s="11">
        <f t="shared" si="3"/>
        <v>1.0285714285714287</v>
      </c>
      <c r="N19" s="2">
        <f>Resumen!$B$7+Resumen!$B$5+(Concentrado!$H$18*F19)</f>
        <v>462515.59693025728</v>
      </c>
      <c r="O19" s="2"/>
      <c r="P19" s="2">
        <f t="shared" si="4"/>
        <v>600000</v>
      </c>
      <c r="Q19" s="3">
        <f t="shared" si="5"/>
        <v>137484.40306974272</v>
      </c>
      <c r="R19" s="9">
        <f t="shared" si="9"/>
        <v>0.22914067178290454</v>
      </c>
      <c r="S19" s="2">
        <f>(F19*Concentrado!$H$18)/Lechon!K19</f>
        <v>2616.2289235812445</v>
      </c>
      <c r="T19" s="2">
        <f>(E19*Concentrado!$H$18)/Lechon!J19</f>
        <v>3259.5413988361106</v>
      </c>
      <c r="U19" s="3">
        <f>Resumen!$B$7/Lechon!I19</f>
        <v>2381.7272727272725</v>
      </c>
    </row>
    <row r="20" spans="1:21" x14ac:dyDescent="0.25">
      <c r="A20">
        <f t="shared" si="1"/>
        <v>28</v>
      </c>
      <c r="B20" s="2">
        <v>8576</v>
      </c>
      <c r="C20" s="2">
        <f t="shared" si="0"/>
        <v>240128</v>
      </c>
      <c r="D20" s="10">
        <f t="shared" si="10"/>
        <v>12</v>
      </c>
      <c r="E20" s="8">
        <v>21.7</v>
      </c>
      <c r="F20" s="8">
        <f t="shared" si="6"/>
        <v>177.33</v>
      </c>
      <c r="G20" s="9">
        <f t="shared" si="7"/>
        <v>0.10832126990465731</v>
      </c>
      <c r="H20" s="7">
        <f t="shared" si="8"/>
        <v>100</v>
      </c>
      <c r="I20" s="7">
        <f t="shared" si="11"/>
        <v>107.5</v>
      </c>
      <c r="J20" s="8">
        <v>7.5</v>
      </c>
      <c r="K20" s="8">
        <f t="shared" si="12"/>
        <v>80.900000000000006</v>
      </c>
      <c r="L20" s="11">
        <f t="shared" si="2"/>
        <v>2.8933333333333331</v>
      </c>
      <c r="M20" s="11">
        <f t="shared" si="3"/>
        <v>1.0714285714285714</v>
      </c>
      <c r="N20" s="2">
        <f>Resumen!$B$7+Resumen!$B$5+(Concentrado!$H$18*F20)</f>
        <v>489291.13573962392</v>
      </c>
      <c r="O20" s="2"/>
      <c r="P20" s="2">
        <f t="shared" si="4"/>
        <v>645000</v>
      </c>
      <c r="Q20" s="3">
        <f t="shared" si="5"/>
        <v>155708.86426037608</v>
      </c>
      <c r="R20" s="9">
        <f t="shared" si="9"/>
        <v>0.24140909187655207</v>
      </c>
      <c r="S20" s="2">
        <f>(F20*Concentrado!$H$18)/Lechon!K20</f>
        <v>2704.6568825739182</v>
      </c>
      <c r="T20" s="2">
        <f>(E20*Concentrado!$H$18)/Lechon!J20</f>
        <v>3570.0718412488882</v>
      </c>
      <c r="U20" s="3">
        <f>Resumen!$B$7/Lechon!I20</f>
        <v>2215.5602536997885</v>
      </c>
    </row>
    <row r="21" spans="1:21" x14ac:dyDescent="0.25">
      <c r="A21">
        <f t="shared" si="1"/>
        <v>29</v>
      </c>
      <c r="B21" s="2">
        <v>8432</v>
      </c>
      <c r="C21" s="2">
        <f t="shared" si="0"/>
        <v>244528</v>
      </c>
      <c r="D21" s="10">
        <f t="shared" si="10"/>
        <v>13</v>
      </c>
      <c r="E21" s="8">
        <v>23</v>
      </c>
      <c r="F21" s="8">
        <f t="shared" si="6"/>
        <v>200.33</v>
      </c>
      <c r="G21" s="9">
        <f t="shared" si="7"/>
        <v>0.11481056257175659</v>
      </c>
      <c r="H21" s="7">
        <f t="shared" si="8"/>
        <v>107.5</v>
      </c>
      <c r="I21" s="7">
        <f t="shared" si="11"/>
        <v>115.1</v>
      </c>
      <c r="J21" s="8">
        <v>7.6</v>
      </c>
      <c r="K21" s="8">
        <f>K20+J21</f>
        <v>88.5</v>
      </c>
      <c r="L21" s="11">
        <f t="shared" si="2"/>
        <v>3.0263157894736845</v>
      </c>
      <c r="M21" s="11">
        <f>J21/7</f>
        <v>1.0857142857142856</v>
      </c>
      <c r="N21" s="2">
        <f>Resumen!$B$7+Resumen!$B$5+(Concentrado!$H$18*F21)</f>
        <v>517670.73908595729</v>
      </c>
      <c r="O21" s="2"/>
      <c r="P21" s="2">
        <f t="shared" si="4"/>
        <v>690600</v>
      </c>
      <c r="Q21" s="3">
        <f t="shared" si="5"/>
        <v>172929.26091404271</v>
      </c>
      <c r="R21" s="9">
        <f t="shared" si="9"/>
        <v>0.25040437433252638</v>
      </c>
      <c r="S21" s="2">
        <f>(F21*Concentrado!$H$18)/Lechon!K21</f>
        <v>2793.0660468538231</v>
      </c>
      <c r="T21" s="2">
        <f>(E21*Concentrado!$H$18)/Lechon!J21</f>
        <v>3734.1583350438596</v>
      </c>
      <c r="U21" s="3">
        <f>Resumen!$B$7/Lechon!I21</f>
        <v>2069.2678303451544</v>
      </c>
    </row>
    <row r="22" spans="1:21" x14ac:dyDescent="0.25">
      <c r="A22">
        <f t="shared" si="1"/>
        <v>30</v>
      </c>
      <c r="B22" s="2">
        <v>8301</v>
      </c>
      <c r="C22" s="2">
        <f t="shared" si="0"/>
        <v>249030</v>
      </c>
      <c r="D22" s="10">
        <v>14</v>
      </c>
      <c r="E22" s="25">
        <v>24.3</v>
      </c>
      <c r="F22" s="8">
        <f t="shared" si="6"/>
        <v>224.63000000000002</v>
      </c>
      <c r="G22" s="9">
        <f t="shared" si="7"/>
        <v>0.12129985523885588</v>
      </c>
      <c r="H22" s="27">
        <f>I21</f>
        <v>115.1</v>
      </c>
      <c r="I22" s="12">
        <f>I21+J22</f>
        <v>122.69999999999999</v>
      </c>
      <c r="J22" s="8">
        <v>7.6</v>
      </c>
      <c r="K22" s="8">
        <f>K21+J22</f>
        <v>96.1</v>
      </c>
      <c r="L22" s="11">
        <f t="shared" si="2"/>
        <v>3.1973684210526319</v>
      </c>
      <c r="M22" s="11">
        <f>J22/7</f>
        <v>1.0857142857142856</v>
      </c>
      <c r="N22" s="2">
        <f>Resumen!$B$7+Resumen!$B$5+(Concentrado!$H$18*F22)</f>
        <v>547654.40696925728</v>
      </c>
      <c r="O22" s="2"/>
      <c r="P22" s="2">
        <f t="shared" si="4"/>
        <v>736199.99999999988</v>
      </c>
      <c r="Q22" s="3">
        <f t="shared" si="5"/>
        <v>188545.5930307426</v>
      </c>
      <c r="R22" s="9">
        <f t="shared" si="9"/>
        <v>0.25610648333434205</v>
      </c>
      <c r="S22" s="2">
        <f>(F22*Concentrado!$H$18)/Lechon!K22</f>
        <v>2884.1832781463409</v>
      </c>
      <c r="T22" s="2">
        <f>(E22*Concentrado!$H$18)/Lechon!J22</f>
        <v>3945.219458328947</v>
      </c>
      <c r="U22" s="3">
        <f>Resumen!$B$7/Lechon!I22</f>
        <v>1941.0980217826184</v>
      </c>
    </row>
    <row r="23" spans="1:21" x14ac:dyDescent="0.25">
      <c r="A23">
        <f t="shared" si="1"/>
        <v>31</v>
      </c>
      <c r="B23" s="2">
        <v>8181</v>
      </c>
      <c r="C23" s="2">
        <f t="shared" si="0"/>
        <v>253611</v>
      </c>
      <c r="D23" s="10">
        <v>15</v>
      </c>
      <c r="E23" s="26">
        <v>26</v>
      </c>
      <c r="F23" s="8">
        <f t="shared" si="6"/>
        <v>250.63000000000002</v>
      </c>
      <c r="G23" s="9">
        <f t="shared" si="7"/>
        <v>0.12978585334198572</v>
      </c>
      <c r="H23" s="27">
        <f>I22</f>
        <v>122.69999999999999</v>
      </c>
      <c r="I23" s="12">
        <f>I22+J23</f>
        <v>130.29999999999998</v>
      </c>
      <c r="J23" s="8">
        <v>7.6</v>
      </c>
      <c r="K23" s="8">
        <f>K22+J23</f>
        <v>103.69999999999999</v>
      </c>
      <c r="L23" s="11">
        <f t="shared" si="2"/>
        <v>3.4210526315789473</v>
      </c>
      <c r="M23" s="11">
        <f>J23/7</f>
        <v>1.0857142857142856</v>
      </c>
      <c r="N23" s="2">
        <f>Resumen!$B$7+Resumen!$B$5+(Concentrado!$H$18*F23)</f>
        <v>579735.69770859065</v>
      </c>
      <c r="O23" s="2"/>
      <c r="P23" s="2">
        <f t="shared" si="4"/>
        <v>781799.99999999988</v>
      </c>
      <c r="Q23" s="3">
        <f t="shared" si="5"/>
        <v>202064.30229140923</v>
      </c>
      <c r="R23" s="9">
        <f t="shared" si="9"/>
        <v>0.25846035084600827</v>
      </c>
      <c r="S23" s="2">
        <f>(F23*Concentrado!$H$18)/Lechon!K23</f>
        <v>2982.1726496547417</v>
      </c>
      <c r="T23" s="2">
        <f>(E23*Concentrado!$H$18)/Lechon!J23</f>
        <v>4221.2224657017541</v>
      </c>
      <c r="U23" s="3">
        <f>Resumen!$B$7/Lechon!I23</f>
        <v>1827.8797181329801</v>
      </c>
    </row>
    <row r="24" spans="1:21" x14ac:dyDescent="0.25">
      <c r="A24">
        <f t="shared" si="1"/>
        <v>32</v>
      </c>
      <c r="B24" s="2">
        <v>8071</v>
      </c>
      <c r="C24" s="2">
        <f t="shared" si="0"/>
        <v>258272</v>
      </c>
      <c r="D24" s="10">
        <v>16</v>
      </c>
      <c r="E24" s="25">
        <v>27.5</v>
      </c>
      <c r="F24" s="8">
        <f t="shared" si="6"/>
        <v>278.13</v>
      </c>
      <c r="G24" s="9">
        <f t="shared" si="7"/>
        <v>0.13727349872710026</v>
      </c>
      <c r="H24" s="27">
        <f>I23</f>
        <v>130.29999999999998</v>
      </c>
      <c r="I24" s="12">
        <f>I23+J24</f>
        <v>137.89999999999998</v>
      </c>
      <c r="J24" s="8">
        <v>7.6</v>
      </c>
      <c r="K24" s="8">
        <f>K23+J24</f>
        <v>111.29999999999998</v>
      </c>
      <c r="L24" s="11">
        <f t="shared" si="2"/>
        <v>3.6184210526315792</v>
      </c>
      <c r="M24" s="11">
        <f>J24/7</f>
        <v>1.0857142857142856</v>
      </c>
      <c r="N24" s="2">
        <f>Resumen!$B$7+Resumen!$B$5+(Concentrado!$H$18*F24)</f>
        <v>613667.83214442385</v>
      </c>
      <c r="O24" s="2"/>
      <c r="P24" s="2">
        <f t="shared" si="4"/>
        <v>827399.99999999988</v>
      </c>
      <c r="Q24" s="3">
        <f t="shared" si="5"/>
        <v>213732.16785557603</v>
      </c>
      <c r="R24" s="9">
        <f t="shared" si="9"/>
        <v>0.25831782433596334</v>
      </c>
      <c r="S24" s="2">
        <f>(F24*Concentrado!$H$18)/Lechon!K24</f>
        <v>3083.4091482931722</v>
      </c>
      <c r="T24" s="2">
        <f>(E24*Concentrado!$H$18)/Lechon!J24</f>
        <v>4464.7545310307014</v>
      </c>
      <c r="U24" s="3" t="s">
        <v>136</v>
      </c>
    </row>
    <row r="25" spans="1:21" x14ac:dyDescent="0.25">
      <c r="A25">
        <f t="shared" si="1"/>
        <v>33</v>
      </c>
      <c r="B25" s="2">
        <v>7971</v>
      </c>
      <c r="C25" s="2">
        <f t="shared" si="0"/>
        <v>263043</v>
      </c>
      <c r="F25" s="115"/>
      <c r="G25" s="115"/>
      <c r="H25" s="11"/>
    </row>
    <row r="26" spans="1:21" x14ac:dyDescent="0.25">
      <c r="A26">
        <f t="shared" si="1"/>
        <v>34</v>
      </c>
      <c r="B26" s="2">
        <v>7879</v>
      </c>
      <c r="C26" s="2">
        <f t="shared" si="0"/>
        <v>267886</v>
      </c>
      <c r="F26" s="115"/>
      <c r="G26" s="115"/>
      <c r="H26" s="11"/>
    </row>
    <row r="27" spans="1:21" x14ac:dyDescent="0.25">
      <c r="A27">
        <f t="shared" si="1"/>
        <v>35</v>
      </c>
      <c r="B27" s="2">
        <v>7795</v>
      </c>
      <c r="C27" s="2">
        <f t="shared" si="0"/>
        <v>272825</v>
      </c>
      <c r="F27" s="115"/>
      <c r="G27" s="115"/>
      <c r="H27" s="11"/>
    </row>
  </sheetData>
  <mergeCells count="19">
    <mergeCell ref="E5:E6"/>
    <mergeCell ref="F5:F6"/>
    <mergeCell ref="H5:H6"/>
    <mergeCell ref="I5:I6"/>
    <mergeCell ref="K5:K6"/>
    <mergeCell ref="J5:J6"/>
    <mergeCell ref="S4:S6"/>
    <mergeCell ref="T4:T6"/>
    <mergeCell ref="U4:U6"/>
    <mergeCell ref="F27:G27"/>
    <mergeCell ref="G5:G6"/>
    <mergeCell ref="N5:N6"/>
    <mergeCell ref="P5:P6"/>
    <mergeCell ref="Q5:Q6"/>
    <mergeCell ref="L5:L6"/>
    <mergeCell ref="M5:M6"/>
    <mergeCell ref="F25:G25"/>
    <mergeCell ref="F26:G26"/>
    <mergeCell ref="R5:R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F16"/>
  <sheetViews>
    <sheetView topLeftCell="A2" workbookViewId="0">
      <selection activeCell="C17" sqref="C17"/>
    </sheetView>
  </sheetViews>
  <sheetFormatPr baseColWidth="10" defaultColWidth="10.875" defaultRowHeight="15.75" x14ac:dyDescent="0.25"/>
  <cols>
    <col min="2" max="2" width="20.875" bestFit="1" customWidth="1"/>
  </cols>
  <sheetData>
    <row r="5" spans="2:6" x14ac:dyDescent="0.25">
      <c r="B5" t="s">
        <v>0</v>
      </c>
      <c r="C5" s="2">
        <f>((((900000*1.45)/30)*100))/2000</f>
        <v>2175</v>
      </c>
      <c r="D5" s="120" t="s">
        <v>173</v>
      </c>
      <c r="E5" s="120"/>
      <c r="F5" s="120"/>
    </row>
    <row r="6" spans="2:6" x14ac:dyDescent="0.25">
      <c r="B6" t="s">
        <v>95</v>
      </c>
      <c r="C6" s="2">
        <v>400</v>
      </c>
      <c r="D6" s="120"/>
      <c r="E6" s="120"/>
      <c r="F6" s="120"/>
    </row>
    <row r="7" spans="2:6" x14ac:dyDescent="0.25">
      <c r="B7" t="s">
        <v>61</v>
      </c>
      <c r="C7" s="2">
        <f>C6/40</f>
        <v>10</v>
      </c>
    </row>
    <row r="8" spans="2:6" x14ac:dyDescent="0.25">
      <c r="B8" t="s">
        <v>37</v>
      </c>
      <c r="C8" s="2">
        <v>4500</v>
      </c>
    </row>
    <row r="9" spans="2:6" x14ac:dyDescent="0.25">
      <c r="B9" t="s">
        <v>38</v>
      </c>
      <c r="C9" s="2">
        <v>1000</v>
      </c>
    </row>
    <row r="10" spans="2:6" x14ac:dyDescent="0.25">
      <c r="B10" t="s">
        <v>39</v>
      </c>
      <c r="C10" s="2">
        <v>5500</v>
      </c>
      <c r="D10" s="120" t="s">
        <v>47</v>
      </c>
      <c r="E10" s="120"/>
      <c r="F10" s="120"/>
    </row>
    <row r="11" spans="2:6" x14ac:dyDescent="0.25">
      <c r="B11" t="s">
        <v>40</v>
      </c>
      <c r="C11" s="2">
        <v>0</v>
      </c>
    </row>
    <row r="12" spans="2:6" x14ac:dyDescent="0.25">
      <c r="B12" t="s">
        <v>41</v>
      </c>
      <c r="C12" s="2">
        <v>500</v>
      </c>
    </row>
    <row r="13" spans="2:6" x14ac:dyDescent="0.25">
      <c r="B13" t="s">
        <v>42</v>
      </c>
      <c r="C13" s="2">
        <f>((7500000/(13*600)/30)*91)</f>
        <v>2916.6666666666665</v>
      </c>
    </row>
    <row r="14" spans="2:6" x14ac:dyDescent="0.25">
      <c r="B14" t="s">
        <v>105</v>
      </c>
      <c r="C14" s="2">
        <f>(4500/30)*91</f>
        <v>13650</v>
      </c>
    </row>
    <row r="16" spans="2:6" x14ac:dyDescent="0.25">
      <c r="B16" t="s">
        <v>1</v>
      </c>
      <c r="C16" s="3">
        <f>C5+C7*207+C8+C9+C10+C11+C12+C13+C14</f>
        <v>32311.666666666668</v>
      </c>
    </row>
  </sheetData>
  <mergeCells count="3">
    <mergeCell ref="D5:F5"/>
    <mergeCell ref="D6:F6"/>
    <mergeCell ref="D10:F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70"/>
  <sheetViews>
    <sheetView showGridLines="0" workbookViewId="0">
      <selection activeCell="AF12" sqref="AF12"/>
    </sheetView>
  </sheetViews>
  <sheetFormatPr baseColWidth="10" defaultColWidth="10.875" defaultRowHeight="15.75" x14ac:dyDescent="0.25"/>
  <cols>
    <col min="1" max="1" width="35.125" bestFit="1" customWidth="1"/>
    <col min="2" max="2" width="12.75" bestFit="1" customWidth="1"/>
    <col min="3" max="3" width="12.5" customWidth="1"/>
    <col min="4" max="4" width="17" bestFit="1" customWidth="1"/>
    <col min="5" max="5" width="26" bestFit="1" customWidth="1"/>
    <col min="6" max="6" width="16.75" bestFit="1" customWidth="1"/>
    <col min="7" max="29" width="15" bestFit="1" customWidth="1"/>
    <col min="31" max="31" width="26" bestFit="1" customWidth="1"/>
    <col min="32" max="32" width="16.75" bestFit="1" customWidth="1"/>
    <col min="33" max="33" width="14.75" bestFit="1" customWidth="1"/>
  </cols>
  <sheetData>
    <row r="1" spans="1:33" x14ac:dyDescent="0.25">
      <c r="A1" s="125" t="s">
        <v>76</v>
      </c>
      <c r="B1" s="125"/>
      <c r="C1" s="57"/>
      <c r="D1" s="57"/>
      <c r="E1" s="122" t="s">
        <v>122</v>
      </c>
      <c r="F1" s="122" t="s">
        <v>75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 t="s">
        <v>74</v>
      </c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E1" s="122"/>
      <c r="AF1" s="123" t="s">
        <v>75</v>
      </c>
      <c r="AG1" s="124"/>
    </row>
    <row r="2" spans="1:33" x14ac:dyDescent="0.25">
      <c r="A2" s="34" t="s">
        <v>81</v>
      </c>
      <c r="B2" s="29"/>
      <c r="C2" s="50"/>
      <c r="D2" s="50"/>
      <c r="E2" s="122"/>
      <c r="F2" s="60">
        <v>1</v>
      </c>
      <c r="G2" s="60">
        <v>2</v>
      </c>
      <c r="H2" s="60">
        <v>3</v>
      </c>
      <c r="I2" s="60">
        <v>4</v>
      </c>
      <c r="J2" s="60">
        <v>5</v>
      </c>
      <c r="K2" s="60">
        <v>6</v>
      </c>
      <c r="L2" s="60">
        <v>7</v>
      </c>
      <c r="M2" s="60">
        <v>8</v>
      </c>
      <c r="N2" s="60">
        <v>9</v>
      </c>
      <c r="O2" s="60">
        <v>10</v>
      </c>
      <c r="P2" s="60">
        <v>11</v>
      </c>
      <c r="Q2" s="60">
        <v>12</v>
      </c>
      <c r="R2" s="60">
        <v>13</v>
      </c>
      <c r="S2" s="60">
        <v>14</v>
      </c>
      <c r="T2" s="60">
        <v>15</v>
      </c>
      <c r="U2" s="60">
        <v>16</v>
      </c>
      <c r="V2" s="60">
        <v>17</v>
      </c>
      <c r="W2" s="60">
        <v>18</v>
      </c>
      <c r="X2" s="60">
        <v>19</v>
      </c>
      <c r="Y2" s="60">
        <v>20</v>
      </c>
      <c r="Z2" s="60">
        <v>21</v>
      </c>
      <c r="AA2" s="60">
        <v>22</v>
      </c>
      <c r="AB2" s="60">
        <v>23</v>
      </c>
      <c r="AC2" s="60">
        <v>24</v>
      </c>
      <c r="AE2" s="122"/>
      <c r="AF2" s="60">
        <v>1</v>
      </c>
      <c r="AG2" s="60">
        <v>2</v>
      </c>
    </row>
    <row r="3" spans="1:33" x14ac:dyDescent="0.25">
      <c r="A3" s="40" t="s">
        <v>73</v>
      </c>
      <c r="B3" s="39">
        <f>600*13</f>
        <v>7800</v>
      </c>
      <c r="C3" s="51"/>
      <c r="D3" s="51"/>
      <c r="E3" s="61" t="s">
        <v>119</v>
      </c>
      <c r="F3" s="70">
        <f>F24</f>
        <v>-807484631.54846406</v>
      </c>
      <c r="G3" s="70">
        <f t="shared" ref="G3:AC3" si="0">G24</f>
        <v>-1013825676.4477401</v>
      </c>
      <c r="H3" s="70">
        <f t="shared" si="0"/>
        <v>-1233717346.3470163</v>
      </c>
      <c r="I3" s="70">
        <f t="shared" si="0"/>
        <v>104605131.97468351</v>
      </c>
      <c r="J3" s="70">
        <f t="shared" si="0"/>
        <v>104605131.97468351</v>
      </c>
      <c r="K3" s="70">
        <f t="shared" si="0"/>
        <v>104605131.97468351</v>
      </c>
      <c r="L3" s="70">
        <f t="shared" si="0"/>
        <v>104605131.97468351</v>
      </c>
      <c r="M3" s="70">
        <f t="shared" si="0"/>
        <v>104605131.97468351</v>
      </c>
      <c r="N3" s="70">
        <f t="shared" si="0"/>
        <v>104605131.97468351</v>
      </c>
      <c r="O3" s="70">
        <f t="shared" si="0"/>
        <v>104605131.97468351</v>
      </c>
      <c r="P3" s="70">
        <f t="shared" si="0"/>
        <v>104605131.97468351</v>
      </c>
      <c r="Q3" s="70">
        <f t="shared" si="0"/>
        <v>104605131.97468351</v>
      </c>
      <c r="R3" s="70">
        <f t="shared" si="0"/>
        <v>109031877.25367072</v>
      </c>
      <c r="S3" s="70">
        <f t="shared" si="0"/>
        <v>109031877.25367072</v>
      </c>
      <c r="T3" s="70">
        <f t="shared" si="0"/>
        <v>109031877.25367072</v>
      </c>
      <c r="U3" s="70">
        <f t="shared" si="0"/>
        <v>109031877.25367072</v>
      </c>
      <c r="V3" s="70">
        <f t="shared" si="0"/>
        <v>109031877.25367072</v>
      </c>
      <c r="W3" s="70">
        <f t="shared" si="0"/>
        <v>109031877.25367072</v>
      </c>
      <c r="X3" s="70">
        <f t="shared" si="0"/>
        <v>109031877.25367072</v>
      </c>
      <c r="Y3" s="70">
        <f t="shared" si="0"/>
        <v>109031877.25367072</v>
      </c>
      <c r="Z3" s="70">
        <f t="shared" si="0"/>
        <v>109031877.25367072</v>
      </c>
      <c r="AA3" s="70">
        <f t="shared" si="0"/>
        <v>109031877.25367072</v>
      </c>
      <c r="AB3" s="70">
        <f t="shared" si="0"/>
        <v>109031877.25367072</v>
      </c>
      <c r="AC3" s="70">
        <f t="shared" si="0"/>
        <v>109031877.25367072</v>
      </c>
      <c r="AE3" s="61" t="s">
        <v>119</v>
      </c>
      <c r="AF3" s="106">
        <f>SUM(F3:Q3)</f>
        <v>-2113581466.5710709</v>
      </c>
      <c r="AG3" s="70">
        <f>SUM(R3:AC3)</f>
        <v>1308382527.0440485</v>
      </c>
    </row>
    <row r="4" spans="1:33" x14ac:dyDescent="0.25">
      <c r="A4" s="40" t="s">
        <v>68</v>
      </c>
      <c r="B4" s="39">
        <v>13</v>
      </c>
      <c r="C4" s="51"/>
      <c r="D4" s="51"/>
      <c r="E4" s="62" t="s">
        <v>84</v>
      </c>
      <c r="F4" s="67">
        <v>0</v>
      </c>
      <c r="G4" s="67">
        <v>0</v>
      </c>
      <c r="H4" s="67">
        <v>0</v>
      </c>
      <c r="I4" s="67">
        <f>((($B$5*$B$8)*(1-$B$9))*$B$15)*$B$16</f>
        <v>1513798392.8571429</v>
      </c>
      <c r="J4" s="67">
        <f t="shared" ref="J4:Q4" si="1">((($B$5*$B$8)*$B$16)*$B$15)*(1-$B$9)</f>
        <v>1513798392.8571429</v>
      </c>
      <c r="K4" s="67">
        <f t="shared" si="1"/>
        <v>1513798392.8571429</v>
      </c>
      <c r="L4" s="67">
        <f t="shared" si="1"/>
        <v>1513798392.8571429</v>
      </c>
      <c r="M4" s="67">
        <f t="shared" si="1"/>
        <v>1513798392.8571429</v>
      </c>
      <c r="N4" s="67">
        <f t="shared" si="1"/>
        <v>1513798392.8571429</v>
      </c>
      <c r="O4" s="67">
        <f t="shared" si="1"/>
        <v>1513798392.8571429</v>
      </c>
      <c r="P4" s="67">
        <f t="shared" si="1"/>
        <v>1513798392.8571429</v>
      </c>
      <c r="Q4" s="67">
        <f t="shared" si="1"/>
        <v>1513798392.8571429</v>
      </c>
      <c r="R4" s="67">
        <f t="shared" ref="R4:AC4" si="2">((($B$5*$B$8)*$B$16)*($B$15*(1+$B$10))*(1-$B$9))</f>
        <v>1574350328.5714285</v>
      </c>
      <c r="S4" s="67">
        <f t="shared" si="2"/>
        <v>1574350328.5714285</v>
      </c>
      <c r="T4" s="67">
        <f t="shared" si="2"/>
        <v>1574350328.5714285</v>
      </c>
      <c r="U4" s="67">
        <f t="shared" si="2"/>
        <v>1574350328.5714285</v>
      </c>
      <c r="V4" s="67">
        <f t="shared" si="2"/>
        <v>1574350328.5714285</v>
      </c>
      <c r="W4" s="67">
        <f t="shared" si="2"/>
        <v>1574350328.5714285</v>
      </c>
      <c r="X4" s="67">
        <f t="shared" si="2"/>
        <v>1574350328.5714285</v>
      </c>
      <c r="Y4" s="67">
        <f t="shared" si="2"/>
        <v>1574350328.5714285</v>
      </c>
      <c r="Z4" s="67">
        <f t="shared" si="2"/>
        <v>1574350328.5714285</v>
      </c>
      <c r="AA4" s="67">
        <f t="shared" si="2"/>
        <v>1574350328.5714285</v>
      </c>
      <c r="AB4" s="67">
        <f t="shared" si="2"/>
        <v>1574350328.5714285</v>
      </c>
      <c r="AC4" s="67">
        <f t="shared" si="2"/>
        <v>1574350328.5714285</v>
      </c>
      <c r="AE4" s="62" t="s">
        <v>84</v>
      </c>
      <c r="AF4" s="67">
        <f t="shared" ref="AF4:AF25" si="3">SUM(F4:Q4)</f>
        <v>13624185535.714289</v>
      </c>
      <c r="AG4" s="67">
        <f t="shared" ref="AG4:AG25" si="4">SUM(R4:AC4)</f>
        <v>18892203942.857143</v>
      </c>
    </row>
    <row r="5" spans="1:33" x14ac:dyDescent="0.25">
      <c r="A5" s="40" t="s">
        <v>82</v>
      </c>
      <c r="B5" s="39">
        <f>B3/B4</f>
        <v>600</v>
      </c>
      <c r="C5" s="51"/>
      <c r="D5" s="51"/>
      <c r="E5" s="62" t="s">
        <v>109</v>
      </c>
      <c r="F5" s="67">
        <f>F6+F12</f>
        <v>-787059245.06494761</v>
      </c>
      <c r="G5" s="67">
        <f t="shared" ref="G5:AC5" si="5">G6+G12</f>
        <v>-991762210.84334445</v>
      </c>
      <c r="H5" s="67">
        <f t="shared" si="5"/>
        <v>-1210015801.6217415</v>
      </c>
      <c r="I5" s="67">
        <f t="shared" si="5"/>
        <v>-1332973287.3512187</v>
      </c>
      <c r="J5" s="67">
        <f t="shared" si="5"/>
        <v>-1332973287.3512187</v>
      </c>
      <c r="K5" s="67">
        <f t="shared" si="5"/>
        <v>-1332973287.3512187</v>
      </c>
      <c r="L5" s="67">
        <f t="shared" si="5"/>
        <v>-1332973287.3512187</v>
      </c>
      <c r="M5" s="67">
        <f t="shared" si="5"/>
        <v>-1332973287.3512187</v>
      </c>
      <c r="N5" s="67">
        <f t="shared" si="5"/>
        <v>-1332973287.3512187</v>
      </c>
      <c r="O5" s="67">
        <f t="shared" si="5"/>
        <v>-1332973287.3512187</v>
      </c>
      <c r="P5" s="67">
        <f t="shared" si="5"/>
        <v>-1332973287.3512187</v>
      </c>
      <c r="Q5" s="67">
        <f t="shared" si="5"/>
        <v>-1332973287.3512187</v>
      </c>
      <c r="R5" s="67">
        <f t="shared" si="5"/>
        <v>-1386292218.8452675</v>
      </c>
      <c r="S5" s="67">
        <f t="shared" si="5"/>
        <v>-1386292218.8452675</v>
      </c>
      <c r="T5" s="67">
        <f t="shared" si="5"/>
        <v>-1386292218.8452675</v>
      </c>
      <c r="U5" s="67">
        <f t="shared" si="5"/>
        <v>-1386292218.8452675</v>
      </c>
      <c r="V5" s="67">
        <f t="shared" si="5"/>
        <v>-1386292218.8452675</v>
      </c>
      <c r="W5" s="67">
        <f t="shared" si="5"/>
        <v>-1386292218.8452675</v>
      </c>
      <c r="X5" s="67">
        <f t="shared" si="5"/>
        <v>-1386292218.8452675</v>
      </c>
      <c r="Y5" s="67">
        <f t="shared" si="5"/>
        <v>-1386292218.8452675</v>
      </c>
      <c r="Z5" s="67">
        <f t="shared" si="5"/>
        <v>-1386292218.8452675</v>
      </c>
      <c r="AA5" s="67">
        <f t="shared" si="5"/>
        <v>-1386292218.8452675</v>
      </c>
      <c r="AB5" s="67">
        <f t="shared" si="5"/>
        <v>-1386292218.8452675</v>
      </c>
      <c r="AC5" s="67">
        <f t="shared" si="5"/>
        <v>-1386292218.8452675</v>
      </c>
      <c r="AE5" s="62" t="s">
        <v>109</v>
      </c>
      <c r="AF5" s="67">
        <f t="shared" si="3"/>
        <v>-14985596843.691006</v>
      </c>
      <c r="AG5" s="67">
        <f t="shared" si="4"/>
        <v>-16635506626.143213</v>
      </c>
    </row>
    <row r="6" spans="1:33" x14ac:dyDescent="0.25">
      <c r="A6" s="40" t="s">
        <v>94</v>
      </c>
      <c r="B6" s="39">
        <v>2000</v>
      </c>
      <c r="C6" s="50"/>
      <c r="D6" s="50"/>
      <c r="E6" s="63" t="s">
        <v>113</v>
      </c>
      <c r="F6" s="68">
        <f>SUM(F7:F9)</f>
        <v>-747016775.06494761</v>
      </c>
      <c r="G6" s="68">
        <f t="shared" ref="G6:AC6" si="6">SUM(G7:G9)</f>
        <v>-951719740.84334445</v>
      </c>
      <c r="H6" s="68">
        <f t="shared" si="6"/>
        <v>-1169973331.6217415</v>
      </c>
      <c r="I6" s="68">
        <f t="shared" si="6"/>
        <v>-1292930817.3512187</v>
      </c>
      <c r="J6" s="68">
        <f t="shared" si="6"/>
        <v>-1292930817.3512187</v>
      </c>
      <c r="K6" s="68">
        <f t="shared" si="6"/>
        <v>-1292930817.3512187</v>
      </c>
      <c r="L6" s="68">
        <f t="shared" si="6"/>
        <v>-1292930817.3512187</v>
      </c>
      <c r="M6" s="68">
        <f t="shared" si="6"/>
        <v>-1292930817.3512187</v>
      </c>
      <c r="N6" s="68">
        <f t="shared" si="6"/>
        <v>-1292930817.3512187</v>
      </c>
      <c r="O6" s="68">
        <f t="shared" si="6"/>
        <v>-1292930817.3512187</v>
      </c>
      <c r="P6" s="68">
        <f t="shared" si="6"/>
        <v>-1292930817.3512187</v>
      </c>
      <c r="Q6" s="68">
        <f t="shared" si="6"/>
        <v>-1292930817.3512187</v>
      </c>
      <c r="R6" s="68">
        <f t="shared" si="6"/>
        <v>-1344648050.0452676</v>
      </c>
      <c r="S6" s="68">
        <f t="shared" si="6"/>
        <v>-1344648050.0452676</v>
      </c>
      <c r="T6" s="68">
        <f t="shared" si="6"/>
        <v>-1344648050.0452676</v>
      </c>
      <c r="U6" s="68">
        <f t="shared" si="6"/>
        <v>-1344648050.0452676</v>
      </c>
      <c r="V6" s="68">
        <f t="shared" si="6"/>
        <v>-1344648050.0452676</v>
      </c>
      <c r="W6" s="68">
        <f t="shared" si="6"/>
        <v>-1344648050.0452676</v>
      </c>
      <c r="X6" s="68">
        <f t="shared" si="6"/>
        <v>-1344648050.0452676</v>
      </c>
      <c r="Y6" s="68">
        <f t="shared" si="6"/>
        <v>-1344648050.0452676</v>
      </c>
      <c r="Z6" s="68">
        <f t="shared" si="6"/>
        <v>-1344648050.0452676</v>
      </c>
      <c r="AA6" s="68">
        <f t="shared" si="6"/>
        <v>-1344648050.0452676</v>
      </c>
      <c r="AB6" s="68">
        <f t="shared" si="6"/>
        <v>-1344648050.0452676</v>
      </c>
      <c r="AC6" s="68">
        <f t="shared" si="6"/>
        <v>-1344648050.0452676</v>
      </c>
      <c r="AE6" s="63" t="s">
        <v>113</v>
      </c>
      <c r="AF6" s="68">
        <f t="shared" si="3"/>
        <v>-14505087203.691006</v>
      </c>
      <c r="AG6" s="68">
        <f t="shared" si="4"/>
        <v>-16135776600.543207</v>
      </c>
    </row>
    <row r="7" spans="1:33" x14ac:dyDescent="0.25">
      <c r="A7" s="40" t="s">
        <v>83</v>
      </c>
      <c r="B7" s="58">
        <v>4500</v>
      </c>
      <c r="C7" s="51"/>
      <c r="D7" s="51">
        <f>F7+G7+H7+(I7/2)</f>
        <v>-1323898407.9913568</v>
      </c>
      <c r="E7" s="64" t="s">
        <v>86</v>
      </c>
      <c r="F7" s="69">
        <f>-(($B$5*B64)*$B$23)*$B$20</f>
        <v>-129694882.20780469</v>
      </c>
      <c r="G7" s="69">
        <f>-(($B$5*C64)*$B$23)*$B$20</f>
        <v>-331816776.55763018</v>
      </c>
      <c r="H7" s="69">
        <f>-(($B$5*D64)*$B$23)*$B$20</f>
        <v>-533938670.90745568</v>
      </c>
      <c r="I7" s="69">
        <f>-(($B$5*$E$64)*$B$23)*$B$20</f>
        <v>-656896156.63693285</v>
      </c>
      <c r="J7" s="69">
        <f t="shared" ref="J7:Q7" si="7">-(($B$5*$E$64)*$B$23)*$B$20</f>
        <v>-656896156.63693285</v>
      </c>
      <c r="K7" s="69">
        <f t="shared" si="7"/>
        <v>-656896156.63693285</v>
      </c>
      <c r="L7" s="69">
        <f t="shared" si="7"/>
        <v>-656896156.63693285</v>
      </c>
      <c r="M7" s="69">
        <f t="shared" si="7"/>
        <v>-656896156.63693285</v>
      </c>
      <c r="N7" s="69">
        <f t="shared" si="7"/>
        <v>-656896156.63693285</v>
      </c>
      <c r="O7" s="69">
        <f t="shared" si="7"/>
        <v>-656896156.63693285</v>
      </c>
      <c r="P7" s="69">
        <f t="shared" si="7"/>
        <v>-656896156.63693285</v>
      </c>
      <c r="Q7" s="69">
        <f t="shared" si="7"/>
        <v>-656896156.63693285</v>
      </c>
      <c r="R7" s="69">
        <f>-(($B$5*$E$64)*$B$23)*($B$20*(1+$B$10))</f>
        <v>-683172002.90241015</v>
      </c>
      <c r="S7" s="69">
        <f t="shared" ref="S7:AC7" si="8">-(($B$5*$E$64)*$B$23)*($B$20*(1+$B$10))</f>
        <v>-683172002.90241015</v>
      </c>
      <c r="T7" s="69">
        <f t="shared" si="8"/>
        <v>-683172002.90241015</v>
      </c>
      <c r="U7" s="69">
        <f t="shared" si="8"/>
        <v>-683172002.90241015</v>
      </c>
      <c r="V7" s="69">
        <f t="shared" si="8"/>
        <v>-683172002.90241015</v>
      </c>
      <c r="W7" s="69">
        <f t="shared" si="8"/>
        <v>-683172002.90241015</v>
      </c>
      <c r="X7" s="69">
        <f t="shared" si="8"/>
        <v>-683172002.90241015</v>
      </c>
      <c r="Y7" s="69">
        <f t="shared" si="8"/>
        <v>-683172002.90241015</v>
      </c>
      <c r="Z7" s="69">
        <f t="shared" si="8"/>
        <v>-683172002.90241015</v>
      </c>
      <c r="AA7" s="69">
        <f t="shared" si="8"/>
        <v>-683172002.90241015</v>
      </c>
      <c r="AB7" s="69">
        <f t="shared" si="8"/>
        <v>-683172002.90241015</v>
      </c>
      <c r="AC7" s="69">
        <f t="shared" si="8"/>
        <v>-683172002.90241015</v>
      </c>
      <c r="AE7" s="64" t="s">
        <v>86</v>
      </c>
      <c r="AF7" s="69">
        <f t="shared" si="3"/>
        <v>-6907515739.4052849</v>
      </c>
      <c r="AG7" s="69">
        <f t="shared" si="4"/>
        <v>-8198064034.8289232</v>
      </c>
    </row>
    <row r="8" spans="1:33" x14ac:dyDescent="0.25">
      <c r="A8" s="40" t="s">
        <v>63</v>
      </c>
      <c r="B8" s="35">
        <f>(365/12)/7</f>
        <v>4.3452380952380958</v>
      </c>
      <c r="C8" s="52"/>
      <c r="D8" s="51">
        <f>F8+G8+H8+(I8/2)</f>
        <v>-2151592875</v>
      </c>
      <c r="E8" s="64" t="s">
        <v>107</v>
      </c>
      <c r="F8" s="69">
        <f>-($B$5*$B$8)*$B$26</f>
        <v>-614740821.42857146</v>
      </c>
      <c r="G8" s="69">
        <f>-($B$5*$B$8)*$B$26</f>
        <v>-614740821.42857146</v>
      </c>
      <c r="H8" s="69">
        <f t="shared" ref="H8:Q8" si="9">(($B$5*$B$8)*$B$26)*-1</f>
        <v>-614740821.42857146</v>
      </c>
      <c r="I8" s="69">
        <f t="shared" si="9"/>
        <v>-614740821.42857146</v>
      </c>
      <c r="J8" s="69">
        <f t="shared" si="9"/>
        <v>-614740821.42857146</v>
      </c>
      <c r="K8" s="69">
        <f t="shared" si="9"/>
        <v>-614740821.42857146</v>
      </c>
      <c r="L8" s="69">
        <f t="shared" si="9"/>
        <v>-614740821.42857146</v>
      </c>
      <c r="M8" s="69">
        <f t="shared" si="9"/>
        <v>-614740821.42857146</v>
      </c>
      <c r="N8" s="69">
        <f t="shared" si="9"/>
        <v>-614740821.42857146</v>
      </c>
      <c r="O8" s="69">
        <f t="shared" si="9"/>
        <v>-614740821.42857146</v>
      </c>
      <c r="P8" s="69">
        <f t="shared" si="9"/>
        <v>-614740821.42857146</v>
      </c>
      <c r="Q8" s="69">
        <f t="shared" si="9"/>
        <v>-614740821.42857146</v>
      </c>
      <c r="R8" s="69">
        <f t="shared" ref="R8:AC8" si="10">(($B$5*$B$8)*($B$26*(1+$B$10)))*-1</f>
        <v>-639330454.28571439</v>
      </c>
      <c r="S8" s="69">
        <f t="shared" si="10"/>
        <v>-639330454.28571439</v>
      </c>
      <c r="T8" s="69">
        <f t="shared" si="10"/>
        <v>-639330454.28571439</v>
      </c>
      <c r="U8" s="69">
        <f t="shared" si="10"/>
        <v>-639330454.28571439</v>
      </c>
      <c r="V8" s="69">
        <f t="shared" si="10"/>
        <v>-639330454.28571439</v>
      </c>
      <c r="W8" s="69">
        <f t="shared" si="10"/>
        <v>-639330454.28571439</v>
      </c>
      <c r="X8" s="69">
        <f t="shared" si="10"/>
        <v>-639330454.28571439</v>
      </c>
      <c r="Y8" s="69">
        <f t="shared" si="10"/>
        <v>-639330454.28571439</v>
      </c>
      <c r="Z8" s="69">
        <f t="shared" si="10"/>
        <v>-639330454.28571439</v>
      </c>
      <c r="AA8" s="69">
        <f t="shared" si="10"/>
        <v>-639330454.28571439</v>
      </c>
      <c r="AB8" s="69">
        <f t="shared" si="10"/>
        <v>-639330454.28571439</v>
      </c>
      <c r="AC8" s="69">
        <f t="shared" si="10"/>
        <v>-639330454.28571439</v>
      </c>
      <c r="AE8" s="64" t="s">
        <v>107</v>
      </c>
      <c r="AF8" s="69">
        <f t="shared" si="3"/>
        <v>-7376889857.1428595</v>
      </c>
      <c r="AG8" s="69">
        <f t="shared" si="4"/>
        <v>-7671965451.4285707</v>
      </c>
    </row>
    <row r="9" spans="1:33" x14ac:dyDescent="0.25">
      <c r="A9" s="40" t="s">
        <v>59</v>
      </c>
      <c r="B9" s="32">
        <v>0.01</v>
      </c>
      <c r="C9" s="53"/>
      <c r="D9" s="51"/>
      <c r="E9" s="64" t="s">
        <v>108</v>
      </c>
      <c r="F9" s="69">
        <f>SUM(F10:F11)</f>
        <v>-2581071.4285714291</v>
      </c>
      <c r="G9" s="69">
        <f t="shared" ref="G9:AC9" si="11">SUM(G10:G11)</f>
        <v>-5162142.8571428582</v>
      </c>
      <c r="H9" s="69">
        <f t="shared" si="11"/>
        <v>-21293839.285714291</v>
      </c>
      <c r="I9" s="69">
        <f t="shared" si="11"/>
        <v>-21293839.285714291</v>
      </c>
      <c r="J9" s="69">
        <f t="shared" si="11"/>
        <v>-21293839.285714291</v>
      </c>
      <c r="K9" s="69">
        <f t="shared" si="11"/>
        <v>-21293839.285714291</v>
      </c>
      <c r="L9" s="69">
        <f t="shared" si="11"/>
        <v>-21293839.285714291</v>
      </c>
      <c r="M9" s="69">
        <f t="shared" si="11"/>
        <v>-21293839.285714291</v>
      </c>
      <c r="N9" s="69">
        <f t="shared" si="11"/>
        <v>-21293839.285714291</v>
      </c>
      <c r="O9" s="69">
        <f t="shared" si="11"/>
        <v>-21293839.285714291</v>
      </c>
      <c r="P9" s="69">
        <f t="shared" si="11"/>
        <v>-21293839.285714291</v>
      </c>
      <c r="Q9" s="69">
        <f t="shared" si="11"/>
        <v>-21293839.285714291</v>
      </c>
      <c r="R9" s="69">
        <f t="shared" si="11"/>
        <v>-22145592.857142858</v>
      </c>
      <c r="S9" s="69">
        <f t="shared" si="11"/>
        <v>-22145592.857142858</v>
      </c>
      <c r="T9" s="69">
        <f t="shared" si="11"/>
        <v>-22145592.857142858</v>
      </c>
      <c r="U9" s="69">
        <f t="shared" si="11"/>
        <v>-22145592.857142858</v>
      </c>
      <c r="V9" s="69">
        <f t="shared" si="11"/>
        <v>-22145592.857142858</v>
      </c>
      <c r="W9" s="69">
        <f t="shared" si="11"/>
        <v>-22145592.857142858</v>
      </c>
      <c r="X9" s="69">
        <f t="shared" si="11"/>
        <v>-22145592.857142858</v>
      </c>
      <c r="Y9" s="69">
        <f t="shared" si="11"/>
        <v>-22145592.857142858</v>
      </c>
      <c r="Z9" s="69">
        <f t="shared" si="11"/>
        <v>-22145592.857142858</v>
      </c>
      <c r="AA9" s="69">
        <f t="shared" si="11"/>
        <v>-22145592.857142858</v>
      </c>
      <c r="AB9" s="69">
        <f t="shared" si="11"/>
        <v>-22145592.857142858</v>
      </c>
      <c r="AC9" s="69">
        <f t="shared" si="11"/>
        <v>-22145592.857142858</v>
      </c>
      <c r="AE9" s="64" t="s">
        <v>108</v>
      </c>
      <c r="AF9" s="69">
        <f t="shared" si="3"/>
        <v>-220681607.14285725</v>
      </c>
      <c r="AG9" s="69">
        <f t="shared" si="4"/>
        <v>-265747114.28571436</v>
      </c>
    </row>
    <row r="10" spans="1:33" x14ac:dyDescent="0.25">
      <c r="A10" s="40" t="s">
        <v>121</v>
      </c>
      <c r="B10" s="32">
        <v>0.04</v>
      </c>
      <c r="C10" s="50"/>
      <c r="D10" s="50"/>
      <c r="E10" s="65" t="s">
        <v>38</v>
      </c>
      <c r="F10" s="69">
        <f>-$B$28*((($B$5*(1-$B$9))*($B$8*F2)))</f>
        <v>-2581071.4285714291</v>
      </c>
      <c r="G10" s="69">
        <f>-$B$28*((($B$5*(1-$B$9))*($B$8*G2)))</f>
        <v>-5162142.8571428582</v>
      </c>
      <c r="H10" s="69">
        <f t="shared" ref="H10:Q10" si="12">($B$28*((($B$5*(1-$B$9))*($B$8*$H$2))))*-1</f>
        <v>-7743214.2857142873</v>
      </c>
      <c r="I10" s="69">
        <f t="shared" si="12"/>
        <v>-7743214.2857142873</v>
      </c>
      <c r="J10" s="69">
        <f t="shared" si="12"/>
        <v>-7743214.2857142873</v>
      </c>
      <c r="K10" s="69">
        <f t="shared" si="12"/>
        <v>-7743214.2857142873</v>
      </c>
      <c r="L10" s="69">
        <f t="shared" si="12"/>
        <v>-7743214.2857142873</v>
      </c>
      <c r="M10" s="69">
        <f t="shared" si="12"/>
        <v>-7743214.2857142873</v>
      </c>
      <c r="N10" s="69">
        <f t="shared" si="12"/>
        <v>-7743214.2857142873</v>
      </c>
      <c r="O10" s="69">
        <f t="shared" si="12"/>
        <v>-7743214.2857142873</v>
      </c>
      <c r="P10" s="69">
        <f t="shared" si="12"/>
        <v>-7743214.2857142873</v>
      </c>
      <c r="Q10" s="69">
        <f t="shared" si="12"/>
        <v>-7743214.2857142873</v>
      </c>
      <c r="R10" s="69">
        <f t="shared" ref="R10:AC10" si="13">(($B$28*(1+$B$10))*((($B$5*(1-$B$9))*($B$8*$H$2))))*-1</f>
        <v>-8052942.8571428582</v>
      </c>
      <c r="S10" s="69">
        <f t="shared" si="13"/>
        <v>-8052942.8571428582</v>
      </c>
      <c r="T10" s="69">
        <f t="shared" si="13"/>
        <v>-8052942.8571428582</v>
      </c>
      <c r="U10" s="69">
        <f t="shared" si="13"/>
        <v>-8052942.8571428582</v>
      </c>
      <c r="V10" s="69">
        <f t="shared" si="13"/>
        <v>-8052942.8571428582</v>
      </c>
      <c r="W10" s="69">
        <f t="shared" si="13"/>
        <v>-8052942.8571428582</v>
      </c>
      <c r="X10" s="69">
        <f t="shared" si="13"/>
        <v>-8052942.8571428582</v>
      </c>
      <c r="Y10" s="69">
        <f t="shared" si="13"/>
        <v>-8052942.8571428582</v>
      </c>
      <c r="Z10" s="69">
        <f t="shared" si="13"/>
        <v>-8052942.8571428582</v>
      </c>
      <c r="AA10" s="69">
        <f t="shared" si="13"/>
        <v>-8052942.8571428582</v>
      </c>
      <c r="AB10" s="69">
        <f t="shared" si="13"/>
        <v>-8052942.8571428582</v>
      </c>
      <c r="AC10" s="69">
        <f t="shared" si="13"/>
        <v>-8052942.8571428582</v>
      </c>
      <c r="AE10" s="65" t="s">
        <v>38</v>
      </c>
      <c r="AF10" s="69">
        <f t="shared" si="3"/>
        <v>-85175357.142857134</v>
      </c>
      <c r="AG10" s="69">
        <f t="shared" si="4"/>
        <v>-96635314.285714328</v>
      </c>
    </row>
    <row r="11" spans="1:33" x14ac:dyDescent="0.25">
      <c r="A11" s="40" t="s">
        <v>138</v>
      </c>
      <c r="B11" s="39">
        <f>4+3+2+1</f>
        <v>10</v>
      </c>
      <c r="C11" s="84">
        <v>4</v>
      </c>
      <c r="D11" s="51"/>
      <c r="E11" s="65" t="s">
        <v>98</v>
      </c>
      <c r="F11" s="69">
        <v>0</v>
      </c>
      <c r="G11" s="69">
        <v>0</v>
      </c>
      <c r="H11" s="69">
        <f t="shared" ref="H11:Q11" si="14">($B$29*(((($B$5*0.5)*(1-$B$9))*($B$8))))*-1</f>
        <v>-13550625.000000002</v>
      </c>
      <c r="I11" s="69">
        <f t="shared" si="14"/>
        <v>-13550625.000000002</v>
      </c>
      <c r="J11" s="69">
        <f t="shared" si="14"/>
        <v>-13550625.000000002</v>
      </c>
      <c r="K11" s="69">
        <f t="shared" si="14"/>
        <v>-13550625.000000002</v>
      </c>
      <c r="L11" s="69">
        <f t="shared" si="14"/>
        <v>-13550625.000000002</v>
      </c>
      <c r="M11" s="69">
        <f t="shared" si="14"/>
        <v>-13550625.000000002</v>
      </c>
      <c r="N11" s="69">
        <f t="shared" si="14"/>
        <v>-13550625.000000002</v>
      </c>
      <c r="O11" s="69">
        <f t="shared" si="14"/>
        <v>-13550625.000000002</v>
      </c>
      <c r="P11" s="69">
        <f t="shared" si="14"/>
        <v>-13550625.000000002</v>
      </c>
      <c r="Q11" s="69">
        <f t="shared" si="14"/>
        <v>-13550625.000000002</v>
      </c>
      <c r="R11" s="69">
        <f t="shared" ref="R11:AC11" si="15">(($B$29*(1+$B$10))*(((($B$5*0.5)*(1-$B$9))*($B$8))))*-1</f>
        <v>-14092650.000000002</v>
      </c>
      <c r="S11" s="69">
        <f t="shared" si="15"/>
        <v>-14092650.000000002</v>
      </c>
      <c r="T11" s="69">
        <f t="shared" si="15"/>
        <v>-14092650.000000002</v>
      </c>
      <c r="U11" s="69">
        <f t="shared" si="15"/>
        <v>-14092650.000000002</v>
      </c>
      <c r="V11" s="69">
        <f t="shared" si="15"/>
        <v>-14092650.000000002</v>
      </c>
      <c r="W11" s="69">
        <f t="shared" si="15"/>
        <v>-14092650.000000002</v>
      </c>
      <c r="X11" s="69">
        <f t="shared" si="15"/>
        <v>-14092650.000000002</v>
      </c>
      <c r="Y11" s="69">
        <f t="shared" si="15"/>
        <v>-14092650.000000002</v>
      </c>
      <c r="Z11" s="69">
        <f t="shared" si="15"/>
        <v>-14092650.000000002</v>
      </c>
      <c r="AA11" s="69">
        <f t="shared" si="15"/>
        <v>-14092650.000000002</v>
      </c>
      <c r="AB11" s="69">
        <f t="shared" si="15"/>
        <v>-14092650.000000002</v>
      </c>
      <c r="AC11" s="69">
        <f t="shared" si="15"/>
        <v>-14092650.000000002</v>
      </c>
      <c r="AE11" s="65" t="s">
        <v>98</v>
      </c>
      <c r="AF11" s="69">
        <f>SUM(F11:Q11)</f>
        <v>-135506250.00000003</v>
      </c>
      <c r="AG11" s="69">
        <f t="shared" si="4"/>
        <v>-169111800.00000003</v>
      </c>
    </row>
    <row r="12" spans="1:33" x14ac:dyDescent="0.25">
      <c r="A12" s="40" t="s">
        <v>139</v>
      </c>
      <c r="B12" s="39">
        <f>8+7+6+5+4+3+2+1</f>
        <v>36</v>
      </c>
      <c r="C12" s="50"/>
      <c r="D12" s="50"/>
      <c r="E12" s="63" t="s">
        <v>114</v>
      </c>
      <c r="F12" s="68">
        <f>SUM(F13:F14)</f>
        <v>-40042470</v>
      </c>
      <c r="G12" s="68">
        <f t="shared" ref="G12:AC12" si="16">SUM(G13:G14)</f>
        <v>-40042470</v>
      </c>
      <c r="H12" s="68">
        <f t="shared" si="16"/>
        <v>-40042470</v>
      </c>
      <c r="I12" s="68">
        <f t="shared" si="16"/>
        <v>-40042470</v>
      </c>
      <c r="J12" s="68">
        <f t="shared" si="16"/>
        <v>-40042470</v>
      </c>
      <c r="K12" s="68">
        <f t="shared" si="16"/>
        <v>-40042470</v>
      </c>
      <c r="L12" s="68">
        <f t="shared" si="16"/>
        <v>-40042470</v>
      </c>
      <c r="M12" s="68">
        <f t="shared" si="16"/>
        <v>-40042470</v>
      </c>
      <c r="N12" s="68">
        <f t="shared" si="16"/>
        <v>-40042470</v>
      </c>
      <c r="O12" s="68">
        <f t="shared" si="16"/>
        <v>-40042470</v>
      </c>
      <c r="P12" s="68">
        <f t="shared" si="16"/>
        <v>-40042470</v>
      </c>
      <c r="Q12" s="68">
        <f t="shared" si="16"/>
        <v>-40042470</v>
      </c>
      <c r="R12" s="68">
        <f t="shared" si="16"/>
        <v>-41644168.799999997</v>
      </c>
      <c r="S12" s="68">
        <f t="shared" si="16"/>
        <v>-41644168.799999997</v>
      </c>
      <c r="T12" s="68">
        <f t="shared" si="16"/>
        <v>-41644168.799999997</v>
      </c>
      <c r="U12" s="68">
        <f t="shared" si="16"/>
        <v>-41644168.799999997</v>
      </c>
      <c r="V12" s="68">
        <f t="shared" si="16"/>
        <v>-41644168.799999997</v>
      </c>
      <c r="W12" s="68">
        <f t="shared" si="16"/>
        <v>-41644168.799999997</v>
      </c>
      <c r="X12" s="68">
        <f t="shared" si="16"/>
        <v>-41644168.799999997</v>
      </c>
      <c r="Y12" s="68">
        <f t="shared" si="16"/>
        <v>-41644168.799999997</v>
      </c>
      <c r="Z12" s="68">
        <f t="shared" si="16"/>
        <v>-41644168.799999997</v>
      </c>
      <c r="AA12" s="68">
        <f t="shared" si="16"/>
        <v>-41644168.799999997</v>
      </c>
      <c r="AB12" s="68">
        <f t="shared" si="16"/>
        <v>-41644168.799999997</v>
      </c>
      <c r="AC12" s="68">
        <f t="shared" si="16"/>
        <v>-41644168.799999997</v>
      </c>
      <c r="AE12" s="63" t="s">
        <v>114</v>
      </c>
      <c r="AF12" s="68">
        <f t="shared" si="3"/>
        <v>-480509640</v>
      </c>
      <c r="AG12" s="68">
        <f t="shared" si="4"/>
        <v>-499730025.60000008</v>
      </c>
    </row>
    <row r="13" spans="1:33" x14ac:dyDescent="0.25">
      <c r="A13" s="40" t="s">
        <v>140</v>
      </c>
      <c r="B13" s="39"/>
      <c r="C13" s="50"/>
      <c r="D13" s="50"/>
      <c r="E13" s="64" t="s">
        <v>0</v>
      </c>
      <c r="F13" s="69">
        <f>-$B$31</f>
        <v>-4942469.9999999991</v>
      </c>
      <c r="G13" s="69">
        <f t="shared" ref="G13:Q13" si="17">($B$31)*-1</f>
        <v>-4942469.9999999991</v>
      </c>
      <c r="H13" s="69">
        <f t="shared" si="17"/>
        <v>-4942469.9999999991</v>
      </c>
      <c r="I13" s="69">
        <f t="shared" si="17"/>
        <v>-4942469.9999999991</v>
      </c>
      <c r="J13" s="69">
        <f t="shared" si="17"/>
        <v>-4942469.9999999991</v>
      </c>
      <c r="K13" s="69">
        <f t="shared" si="17"/>
        <v>-4942469.9999999991</v>
      </c>
      <c r="L13" s="69">
        <f t="shared" si="17"/>
        <v>-4942469.9999999991</v>
      </c>
      <c r="M13" s="69">
        <f t="shared" si="17"/>
        <v>-4942469.9999999991</v>
      </c>
      <c r="N13" s="69">
        <f t="shared" si="17"/>
        <v>-4942469.9999999991</v>
      </c>
      <c r="O13" s="69">
        <f t="shared" si="17"/>
        <v>-4942469.9999999991</v>
      </c>
      <c r="P13" s="69">
        <f t="shared" si="17"/>
        <v>-4942469.9999999991</v>
      </c>
      <c r="Q13" s="69">
        <f t="shared" si="17"/>
        <v>-4942469.9999999991</v>
      </c>
      <c r="R13" s="69">
        <f t="shared" ref="R13:AC13" si="18">($B$31*(1+$B$10))*-1</f>
        <v>-5140168.7999999989</v>
      </c>
      <c r="S13" s="69">
        <f t="shared" si="18"/>
        <v>-5140168.7999999989</v>
      </c>
      <c r="T13" s="69">
        <f t="shared" si="18"/>
        <v>-5140168.7999999989</v>
      </c>
      <c r="U13" s="69">
        <f t="shared" si="18"/>
        <v>-5140168.7999999989</v>
      </c>
      <c r="V13" s="69">
        <f t="shared" si="18"/>
        <v>-5140168.7999999989</v>
      </c>
      <c r="W13" s="69">
        <f t="shared" si="18"/>
        <v>-5140168.7999999989</v>
      </c>
      <c r="X13" s="69">
        <f t="shared" si="18"/>
        <v>-5140168.7999999989</v>
      </c>
      <c r="Y13" s="69">
        <f t="shared" si="18"/>
        <v>-5140168.7999999989</v>
      </c>
      <c r="Z13" s="69">
        <f t="shared" si="18"/>
        <v>-5140168.7999999989</v>
      </c>
      <c r="AA13" s="69">
        <f t="shared" si="18"/>
        <v>-5140168.7999999989</v>
      </c>
      <c r="AB13" s="69">
        <f t="shared" si="18"/>
        <v>-5140168.7999999989</v>
      </c>
      <c r="AC13" s="69">
        <f t="shared" si="18"/>
        <v>-5140168.7999999989</v>
      </c>
      <c r="AE13" s="64" t="s">
        <v>0</v>
      </c>
      <c r="AF13" s="69">
        <f t="shared" si="3"/>
        <v>-59309639.999999993</v>
      </c>
      <c r="AG13" s="69">
        <f t="shared" si="4"/>
        <v>-61682025.599999972</v>
      </c>
    </row>
    <row r="14" spans="1:33" x14ac:dyDescent="0.25">
      <c r="A14" s="44" t="s">
        <v>90</v>
      </c>
      <c r="B14" s="29"/>
      <c r="C14" s="50"/>
      <c r="D14" s="50"/>
      <c r="E14" s="64" t="s">
        <v>105</v>
      </c>
      <c r="F14" s="69">
        <f t="shared" ref="F14:G14" si="19">($B$34)*-1</f>
        <v>-35100000</v>
      </c>
      <c r="G14" s="69">
        <f t="shared" si="19"/>
        <v>-35100000</v>
      </c>
      <c r="H14" s="69">
        <f t="shared" ref="H14:Q14" si="20">($B$34)*-1</f>
        <v>-35100000</v>
      </c>
      <c r="I14" s="69">
        <f t="shared" si="20"/>
        <v>-35100000</v>
      </c>
      <c r="J14" s="69">
        <f t="shared" si="20"/>
        <v>-35100000</v>
      </c>
      <c r="K14" s="69">
        <f t="shared" si="20"/>
        <v>-35100000</v>
      </c>
      <c r="L14" s="69">
        <f t="shared" si="20"/>
        <v>-35100000</v>
      </c>
      <c r="M14" s="69">
        <f t="shared" si="20"/>
        <v>-35100000</v>
      </c>
      <c r="N14" s="69">
        <f t="shared" si="20"/>
        <v>-35100000</v>
      </c>
      <c r="O14" s="69">
        <f t="shared" si="20"/>
        <v>-35100000</v>
      </c>
      <c r="P14" s="69">
        <f t="shared" si="20"/>
        <v>-35100000</v>
      </c>
      <c r="Q14" s="69">
        <f t="shared" si="20"/>
        <v>-35100000</v>
      </c>
      <c r="R14" s="69">
        <f t="shared" ref="R14:AC14" si="21">($B$34*(1+$B$10))*-1</f>
        <v>-36504000</v>
      </c>
      <c r="S14" s="69">
        <f t="shared" si="21"/>
        <v>-36504000</v>
      </c>
      <c r="T14" s="69">
        <f t="shared" si="21"/>
        <v>-36504000</v>
      </c>
      <c r="U14" s="69">
        <f t="shared" si="21"/>
        <v>-36504000</v>
      </c>
      <c r="V14" s="69">
        <f t="shared" si="21"/>
        <v>-36504000</v>
      </c>
      <c r="W14" s="69">
        <f t="shared" si="21"/>
        <v>-36504000</v>
      </c>
      <c r="X14" s="69">
        <f t="shared" si="21"/>
        <v>-36504000</v>
      </c>
      <c r="Y14" s="69">
        <f t="shared" si="21"/>
        <v>-36504000</v>
      </c>
      <c r="Z14" s="69">
        <f t="shared" si="21"/>
        <v>-36504000</v>
      </c>
      <c r="AA14" s="69">
        <f t="shared" si="21"/>
        <v>-36504000</v>
      </c>
      <c r="AB14" s="69">
        <f t="shared" si="21"/>
        <v>-36504000</v>
      </c>
      <c r="AC14" s="69">
        <f t="shared" si="21"/>
        <v>-36504000</v>
      </c>
      <c r="AE14" s="64" t="s">
        <v>105</v>
      </c>
      <c r="AF14" s="69">
        <f t="shared" si="3"/>
        <v>-421200000</v>
      </c>
      <c r="AG14" s="69">
        <f t="shared" si="4"/>
        <v>-438048000</v>
      </c>
    </row>
    <row r="15" spans="1:33" x14ac:dyDescent="0.25">
      <c r="A15" s="40" t="s">
        <v>85</v>
      </c>
      <c r="B15" s="39">
        <v>5100</v>
      </c>
      <c r="C15" s="50"/>
      <c r="D15" s="50"/>
      <c r="E15" s="62" t="s">
        <v>118</v>
      </c>
      <c r="F15" s="67">
        <f>F4+F5</f>
        <v>-787059245.06494761</v>
      </c>
      <c r="G15" s="67">
        <f t="shared" ref="G15:AC15" si="22">G4+G5</f>
        <v>-991762210.84334445</v>
      </c>
      <c r="H15" s="67">
        <f t="shared" si="22"/>
        <v>-1210015801.6217415</v>
      </c>
      <c r="I15" s="67">
        <f>I4+I5</f>
        <v>180825105.50592422</v>
      </c>
      <c r="J15" s="67">
        <f>J4+J5</f>
        <v>180825105.50592422</v>
      </c>
      <c r="K15" s="67">
        <f t="shared" si="22"/>
        <v>180825105.50592422</v>
      </c>
      <c r="L15" s="67">
        <f t="shared" si="22"/>
        <v>180825105.50592422</v>
      </c>
      <c r="M15" s="67">
        <f t="shared" si="22"/>
        <v>180825105.50592422</v>
      </c>
      <c r="N15" s="67">
        <f t="shared" si="22"/>
        <v>180825105.50592422</v>
      </c>
      <c r="O15" s="67">
        <f t="shared" si="22"/>
        <v>180825105.50592422</v>
      </c>
      <c r="P15" s="67">
        <f t="shared" si="22"/>
        <v>180825105.50592422</v>
      </c>
      <c r="Q15" s="67">
        <f t="shared" si="22"/>
        <v>180825105.50592422</v>
      </c>
      <c r="R15" s="67">
        <f t="shared" si="22"/>
        <v>188058109.726161</v>
      </c>
      <c r="S15" s="67">
        <f t="shared" si="22"/>
        <v>188058109.726161</v>
      </c>
      <c r="T15" s="67">
        <f t="shared" si="22"/>
        <v>188058109.726161</v>
      </c>
      <c r="U15" s="67">
        <f t="shared" si="22"/>
        <v>188058109.726161</v>
      </c>
      <c r="V15" s="67">
        <f t="shared" si="22"/>
        <v>188058109.726161</v>
      </c>
      <c r="W15" s="67">
        <f t="shared" si="22"/>
        <v>188058109.726161</v>
      </c>
      <c r="X15" s="67">
        <f t="shared" si="22"/>
        <v>188058109.726161</v>
      </c>
      <c r="Y15" s="67">
        <f t="shared" si="22"/>
        <v>188058109.726161</v>
      </c>
      <c r="Z15" s="67">
        <f t="shared" si="22"/>
        <v>188058109.726161</v>
      </c>
      <c r="AA15" s="67">
        <f t="shared" si="22"/>
        <v>188058109.726161</v>
      </c>
      <c r="AB15" s="67">
        <f t="shared" si="22"/>
        <v>188058109.726161</v>
      </c>
      <c r="AC15" s="67">
        <f t="shared" si="22"/>
        <v>188058109.726161</v>
      </c>
      <c r="AE15" s="62" t="s">
        <v>118</v>
      </c>
      <c r="AF15" s="67">
        <f t="shared" si="3"/>
        <v>-1361411307.9767156</v>
      </c>
      <c r="AG15" s="67">
        <f t="shared" si="4"/>
        <v>2256697316.713932</v>
      </c>
    </row>
    <row r="16" spans="1:33" x14ac:dyDescent="0.25">
      <c r="A16" s="40" t="s">
        <v>64</v>
      </c>
      <c r="B16" s="29">
        <v>115</v>
      </c>
      <c r="C16" s="54"/>
      <c r="D16" s="54"/>
      <c r="E16" s="62" t="s">
        <v>112</v>
      </c>
      <c r="F16" s="67">
        <f>SUM(F17:F21)</f>
        <v>-20425386.483516484</v>
      </c>
      <c r="G16" s="67">
        <f t="shared" ref="G16:AC16" si="23">SUM(G17:G21)</f>
        <v>-22063465.604395606</v>
      </c>
      <c r="H16" s="67">
        <f t="shared" si="23"/>
        <v>-23701544.725274727</v>
      </c>
      <c r="I16" s="67">
        <f t="shared" si="23"/>
        <v>-24698042.857142858</v>
      </c>
      <c r="J16" s="67">
        <f t="shared" si="23"/>
        <v>-24698042.857142858</v>
      </c>
      <c r="K16" s="67">
        <f t="shared" si="23"/>
        <v>-24698042.857142858</v>
      </c>
      <c r="L16" s="67">
        <f t="shared" si="23"/>
        <v>-24698042.857142858</v>
      </c>
      <c r="M16" s="67">
        <f t="shared" si="23"/>
        <v>-24698042.857142858</v>
      </c>
      <c r="N16" s="67">
        <f t="shared" si="23"/>
        <v>-24698042.857142858</v>
      </c>
      <c r="O16" s="67">
        <f t="shared" si="23"/>
        <v>-24698042.857142858</v>
      </c>
      <c r="P16" s="67">
        <f t="shared" si="23"/>
        <v>-24698042.857142858</v>
      </c>
      <c r="Q16" s="67">
        <f t="shared" si="23"/>
        <v>-24698042.857142858</v>
      </c>
      <c r="R16" s="67">
        <f t="shared" si="23"/>
        <v>-25323964.571428575</v>
      </c>
      <c r="S16" s="67">
        <f t="shared" si="23"/>
        <v>-25323964.571428575</v>
      </c>
      <c r="T16" s="67">
        <f t="shared" si="23"/>
        <v>-25323964.571428575</v>
      </c>
      <c r="U16" s="67">
        <f t="shared" si="23"/>
        <v>-25323964.571428575</v>
      </c>
      <c r="V16" s="67">
        <f t="shared" si="23"/>
        <v>-25323964.571428575</v>
      </c>
      <c r="W16" s="67">
        <f t="shared" si="23"/>
        <v>-25323964.571428575</v>
      </c>
      <c r="X16" s="67">
        <f t="shared" si="23"/>
        <v>-25323964.571428575</v>
      </c>
      <c r="Y16" s="67">
        <f t="shared" si="23"/>
        <v>-25323964.571428575</v>
      </c>
      <c r="Z16" s="67">
        <f t="shared" si="23"/>
        <v>-25323964.571428575</v>
      </c>
      <c r="AA16" s="67">
        <f t="shared" si="23"/>
        <v>-25323964.571428575</v>
      </c>
      <c r="AB16" s="67">
        <f t="shared" si="23"/>
        <v>-25323964.571428575</v>
      </c>
      <c r="AC16" s="67">
        <f t="shared" si="23"/>
        <v>-25323964.571428575</v>
      </c>
      <c r="AE16" s="62" t="s">
        <v>112</v>
      </c>
      <c r="AF16" s="67">
        <f t="shared" si="3"/>
        <v>-288472782.52747256</v>
      </c>
      <c r="AG16" s="67">
        <f t="shared" si="4"/>
        <v>-303887574.85714287</v>
      </c>
    </row>
    <row r="17" spans="1:33" x14ac:dyDescent="0.25">
      <c r="A17" s="45" t="s">
        <v>89</v>
      </c>
      <c r="B17" s="29"/>
      <c r="C17" s="50"/>
      <c r="D17" s="50"/>
      <c r="E17" s="64" t="s">
        <v>36</v>
      </c>
      <c r="F17" s="69">
        <f>-(($B$5*B64)*$B$23)*$B$36</f>
        <v>-1051100.7692307695</v>
      </c>
      <c r="G17" s="69">
        <f t="shared" ref="G17:H17" si="24">-(($B$5*C64)*$B$23)*$B$36</f>
        <v>-2689179.8901098901</v>
      </c>
      <c r="H17" s="69">
        <f t="shared" si="24"/>
        <v>-4327259.0109890113</v>
      </c>
      <c r="I17" s="69">
        <f t="shared" ref="I17:Q17" si="25">-(($B$5*$E$64)*$B$23)*$B$36</f>
        <v>-5323757.1428571437</v>
      </c>
      <c r="J17" s="69">
        <f t="shared" si="25"/>
        <v>-5323757.1428571437</v>
      </c>
      <c r="K17" s="69">
        <f t="shared" si="25"/>
        <v>-5323757.1428571437</v>
      </c>
      <c r="L17" s="69">
        <f t="shared" si="25"/>
        <v>-5323757.1428571437</v>
      </c>
      <c r="M17" s="69">
        <f t="shared" si="25"/>
        <v>-5323757.1428571437</v>
      </c>
      <c r="N17" s="69">
        <f t="shared" si="25"/>
        <v>-5323757.1428571437</v>
      </c>
      <c r="O17" s="69">
        <f t="shared" si="25"/>
        <v>-5323757.1428571437</v>
      </c>
      <c r="P17" s="69">
        <f t="shared" si="25"/>
        <v>-5323757.1428571437</v>
      </c>
      <c r="Q17" s="69">
        <f t="shared" si="25"/>
        <v>-5323757.1428571437</v>
      </c>
      <c r="R17" s="69">
        <f>-(($B$5*$E$64)*$B$23)*($B$36*(1+$B$10))</f>
        <v>-5536707.4285714291</v>
      </c>
      <c r="S17" s="69">
        <f t="shared" ref="S17:AC17" si="26">-(($B$5*$E$64)*$B$23)*($B$36*(1+$B$10))</f>
        <v>-5536707.4285714291</v>
      </c>
      <c r="T17" s="69">
        <f t="shared" si="26"/>
        <v>-5536707.4285714291</v>
      </c>
      <c r="U17" s="69">
        <f t="shared" si="26"/>
        <v>-5536707.4285714291</v>
      </c>
      <c r="V17" s="69">
        <f t="shared" si="26"/>
        <v>-5536707.4285714291</v>
      </c>
      <c r="W17" s="69">
        <f t="shared" si="26"/>
        <v>-5536707.4285714291</v>
      </c>
      <c r="X17" s="69">
        <f t="shared" si="26"/>
        <v>-5536707.4285714291</v>
      </c>
      <c r="Y17" s="69">
        <f t="shared" si="26"/>
        <v>-5536707.4285714291</v>
      </c>
      <c r="Z17" s="69">
        <f t="shared" si="26"/>
        <v>-5536707.4285714291</v>
      </c>
      <c r="AA17" s="69">
        <f t="shared" si="26"/>
        <v>-5536707.4285714291</v>
      </c>
      <c r="AB17" s="69">
        <f t="shared" si="26"/>
        <v>-5536707.4285714291</v>
      </c>
      <c r="AC17" s="69">
        <f t="shared" si="26"/>
        <v>-5536707.4285714291</v>
      </c>
      <c r="AE17" s="64" t="s">
        <v>36</v>
      </c>
      <c r="AF17" s="69">
        <f t="shared" si="3"/>
        <v>-55981353.956043951</v>
      </c>
      <c r="AG17" s="69">
        <f t="shared" si="4"/>
        <v>-66440489.142857164</v>
      </c>
    </row>
    <row r="18" spans="1:33" x14ac:dyDescent="0.25">
      <c r="A18" s="46" t="s">
        <v>93</v>
      </c>
      <c r="B18" s="29"/>
      <c r="C18" s="55"/>
      <c r="D18" s="55"/>
      <c r="E18" s="64" t="s">
        <v>115</v>
      </c>
      <c r="F18" s="69">
        <f t="shared" ref="F18:Q18" si="27">-(($B$5*$B$8)*$B$38)</f>
        <v>0</v>
      </c>
      <c r="G18" s="69">
        <f t="shared" si="27"/>
        <v>0</v>
      </c>
      <c r="H18" s="69">
        <f t="shared" si="27"/>
        <v>0</v>
      </c>
      <c r="I18" s="69">
        <f t="shared" si="27"/>
        <v>0</v>
      </c>
      <c r="J18" s="69">
        <f t="shared" si="27"/>
        <v>0</v>
      </c>
      <c r="K18" s="69">
        <f t="shared" si="27"/>
        <v>0</v>
      </c>
      <c r="L18" s="69">
        <f t="shared" si="27"/>
        <v>0</v>
      </c>
      <c r="M18" s="69">
        <f t="shared" si="27"/>
        <v>0</v>
      </c>
      <c r="N18" s="69">
        <f t="shared" si="27"/>
        <v>0</v>
      </c>
      <c r="O18" s="69">
        <f t="shared" si="27"/>
        <v>0</v>
      </c>
      <c r="P18" s="69">
        <f t="shared" si="27"/>
        <v>0</v>
      </c>
      <c r="Q18" s="69">
        <f t="shared" si="27"/>
        <v>0</v>
      </c>
      <c r="R18" s="69">
        <f t="shared" ref="R18:AC18" si="28">-(($B$5*$B$8)*(($B$38*(1+$B$10))))</f>
        <v>0</v>
      </c>
      <c r="S18" s="69">
        <f t="shared" si="28"/>
        <v>0</v>
      </c>
      <c r="T18" s="69">
        <f t="shared" si="28"/>
        <v>0</v>
      </c>
      <c r="U18" s="69">
        <f t="shared" si="28"/>
        <v>0</v>
      </c>
      <c r="V18" s="69">
        <f t="shared" si="28"/>
        <v>0</v>
      </c>
      <c r="W18" s="69">
        <f t="shared" si="28"/>
        <v>0</v>
      </c>
      <c r="X18" s="69">
        <f t="shared" si="28"/>
        <v>0</v>
      </c>
      <c r="Y18" s="69">
        <f t="shared" si="28"/>
        <v>0</v>
      </c>
      <c r="Z18" s="69">
        <f t="shared" si="28"/>
        <v>0</v>
      </c>
      <c r="AA18" s="69">
        <f t="shared" si="28"/>
        <v>0</v>
      </c>
      <c r="AB18" s="69">
        <f t="shared" si="28"/>
        <v>0</v>
      </c>
      <c r="AC18" s="69">
        <f t="shared" si="28"/>
        <v>0</v>
      </c>
      <c r="AE18" s="64" t="s">
        <v>115</v>
      </c>
      <c r="AF18" s="69">
        <f t="shared" si="3"/>
        <v>0</v>
      </c>
      <c r="AG18" s="69">
        <f t="shared" si="4"/>
        <v>0</v>
      </c>
    </row>
    <row r="19" spans="1:33" x14ac:dyDescent="0.25">
      <c r="A19" s="42" t="s">
        <v>86</v>
      </c>
      <c r="B19" s="29"/>
      <c r="C19" s="54"/>
      <c r="D19" s="54"/>
      <c r="E19" s="64" t="s">
        <v>116</v>
      </c>
      <c r="F19" s="69">
        <f t="shared" ref="F19:Q19" si="29">-((($B$5*(1-$B$9))*($B$8*$F$2))*$B$37)</f>
        <v>-10324285.714285716</v>
      </c>
      <c r="G19" s="69">
        <f t="shared" si="29"/>
        <v>-10324285.714285716</v>
      </c>
      <c r="H19" s="69">
        <f t="shared" si="29"/>
        <v>-10324285.714285716</v>
      </c>
      <c r="I19" s="69">
        <f t="shared" si="29"/>
        <v>-10324285.714285716</v>
      </c>
      <c r="J19" s="69">
        <f t="shared" si="29"/>
        <v>-10324285.714285716</v>
      </c>
      <c r="K19" s="69">
        <f t="shared" si="29"/>
        <v>-10324285.714285716</v>
      </c>
      <c r="L19" s="69">
        <f t="shared" si="29"/>
        <v>-10324285.714285716</v>
      </c>
      <c r="M19" s="69">
        <f t="shared" si="29"/>
        <v>-10324285.714285716</v>
      </c>
      <c r="N19" s="69">
        <f t="shared" si="29"/>
        <v>-10324285.714285716</v>
      </c>
      <c r="O19" s="69">
        <f t="shared" si="29"/>
        <v>-10324285.714285716</v>
      </c>
      <c r="P19" s="69">
        <f t="shared" si="29"/>
        <v>-10324285.714285716</v>
      </c>
      <c r="Q19" s="69">
        <f t="shared" si="29"/>
        <v>-10324285.714285716</v>
      </c>
      <c r="R19" s="69">
        <f t="shared" ref="R19:AC19" si="30">-((($B$5*(1-$B$9))*($B$8*$F$2))*(($B$37*(1+$B$10))))</f>
        <v>-10737257.142857144</v>
      </c>
      <c r="S19" s="69">
        <f t="shared" si="30"/>
        <v>-10737257.142857144</v>
      </c>
      <c r="T19" s="69">
        <f t="shared" si="30"/>
        <v>-10737257.142857144</v>
      </c>
      <c r="U19" s="69">
        <f t="shared" si="30"/>
        <v>-10737257.142857144</v>
      </c>
      <c r="V19" s="69">
        <f t="shared" si="30"/>
        <v>-10737257.142857144</v>
      </c>
      <c r="W19" s="69">
        <f t="shared" si="30"/>
        <v>-10737257.142857144</v>
      </c>
      <c r="X19" s="69">
        <f t="shared" si="30"/>
        <v>-10737257.142857144</v>
      </c>
      <c r="Y19" s="69">
        <f t="shared" si="30"/>
        <v>-10737257.142857144</v>
      </c>
      <c r="Z19" s="69">
        <f t="shared" si="30"/>
        <v>-10737257.142857144</v>
      </c>
      <c r="AA19" s="69">
        <f t="shared" si="30"/>
        <v>-10737257.142857144</v>
      </c>
      <c r="AB19" s="69">
        <f t="shared" si="30"/>
        <v>-10737257.142857144</v>
      </c>
      <c r="AC19" s="69">
        <f t="shared" si="30"/>
        <v>-10737257.142857144</v>
      </c>
      <c r="AE19" s="64" t="s">
        <v>116</v>
      </c>
      <c r="AF19" s="69">
        <f t="shared" si="3"/>
        <v>-123891428.5714286</v>
      </c>
      <c r="AG19" s="69">
        <f t="shared" si="4"/>
        <v>-128847085.71428575</v>
      </c>
    </row>
    <row r="20" spans="1:33" x14ac:dyDescent="0.25">
      <c r="A20" s="40" t="s">
        <v>87</v>
      </c>
      <c r="B20" s="30">
        <f>Concentrado!H18</f>
        <v>1233.8957976666666</v>
      </c>
      <c r="C20" s="50"/>
      <c r="D20" s="50"/>
      <c r="E20" s="64" t="s">
        <v>99</v>
      </c>
      <c r="F20" s="69">
        <f>-(($B$3*$C$11)*$B$39)/12</f>
        <v>-1300000</v>
      </c>
      <c r="G20" s="69">
        <f t="shared" ref="G20:AC20" si="31">-(($B$3*$C$11)*$B$39)/12</f>
        <v>-1300000</v>
      </c>
      <c r="H20" s="69">
        <f t="shared" si="31"/>
        <v>-1300000</v>
      </c>
      <c r="I20" s="69">
        <f t="shared" si="31"/>
        <v>-1300000</v>
      </c>
      <c r="J20" s="69">
        <f t="shared" si="31"/>
        <v>-1300000</v>
      </c>
      <c r="K20" s="69">
        <f t="shared" si="31"/>
        <v>-1300000</v>
      </c>
      <c r="L20" s="69">
        <f t="shared" si="31"/>
        <v>-1300000</v>
      </c>
      <c r="M20" s="69">
        <f t="shared" si="31"/>
        <v>-1300000</v>
      </c>
      <c r="N20" s="69">
        <f t="shared" si="31"/>
        <v>-1300000</v>
      </c>
      <c r="O20" s="69">
        <f t="shared" si="31"/>
        <v>-1300000</v>
      </c>
      <c r="P20" s="69">
        <f t="shared" si="31"/>
        <v>-1300000</v>
      </c>
      <c r="Q20" s="69">
        <f t="shared" si="31"/>
        <v>-1300000</v>
      </c>
      <c r="R20" s="69">
        <f t="shared" si="31"/>
        <v>-1300000</v>
      </c>
      <c r="S20" s="69">
        <f t="shared" si="31"/>
        <v>-1300000</v>
      </c>
      <c r="T20" s="69">
        <f t="shared" si="31"/>
        <v>-1300000</v>
      </c>
      <c r="U20" s="69">
        <f t="shared" si="31"/>
        <v>-1300000</v>
      </c>
      <c r="V20" s="69">
        <f t="shared" si="31"/>
        <v>-1300000</v>
      </c>
      <c r="W20" s="69">
        <f t="shared" si="31"/>
        <v>-1300000</v>
      </c>
      <c r="X20" s="69">
        <f t="shared" si="31"/>
        <v>-1300000</v>
      </c>
      <c r="Y20" s="69">
        <f t="shared" si="31"/>
        <v>-1300000</v>
      </c>
      <c r="Z20" s="69">
        <f t="shared" si="31"/>
        <v>-1300000</v>
      </c>
      <c r="AA20" s="69">
        <f t="shared" si="31"/>
        <v>-1300000</v>
      </c>
      <c r="AB20" s="69">
        <f t="shared" si="31"/>
        <v>-1300000</v>
      </c>
      <c r="AC20" s="69">
        <f t="shared" si="31"/>
        <v>-1300000</v>
      </c>
      <c r="AE20" s="64" t="s">
        <v>99</v>
      </c>
      <c r="AF20" s="69">
        <f t="shared" si="3"/>
        <v>-15600000</v>
      </c>
      <c r="AG20" s="69">
        <f t="shared" si="4"/>
        <v>-15600000</v>
      </c>
    </row>
    <row r="21" spans="1:33" x14ac:dyDescent="0.25">
      <c r="A21" s="40" t="s">
        <v>88</v>
      </c>
      <c r="B21" s="29">
        <f>Concentrado!C9</f>
        <v>207.035</v>
      </c>
      <c r="C21" s="54"/>
      <c r="D21" s="54"/>
      <c r="E21" s="64" t="s">
        <v>100</v>
      </c>
      <c r="F21" s="69">
        <f>-$B$40</f>
        <v>-7750000</v>
      </c>
      <c r="G21" s="69">
        <f t="shared" ref="G21:AC21" si="32">-$B$40</f>
        <v>-7750000</v>
      </c>
      <c r="H21" s="69">
        <f t="shared" si="32"/>
        <v>-7750000</v>
      </c>
      <c r="I21" s="69">
        <f t="shared" si="32"/>
        <v>-7750000</v>
      </c>
      <c r="J21" s="69">
        <f t="shared" si="32"/>
        <v>-7750000</v>
      </c>
      <c r="K21" s="69">
        <f t="shared" si="32"/>
        <v>-7750000</v>
      </c>
      <c r="L21" s="69">
        <f t="shared" si="32"/>
        <v>-7750000</v>
      </c>
      <c r="M21" s="69">
        <f t="shared" si="32"/>
        <v>-7750000</v>
      </c>
      <c r="N21" s="69">
        <f t="shared" si="32"/>
        <v>-7750000</v>
      </c>
      <c r="O21" s="69">
        <f t="shared" si="32"/>
        <v>-7750000</v>
      </c>
      <c r="P21" s="69">
        <f t="shared" si="32"/>
        <v>-7750000</v>
      </c>
      <c r="Q21" s="69">
        <f t="shared" si="32"/>
        <v>-7750000</v>
      </c>
      <c r="R21" s="69">
        <f t="shared" si="32"/>
        <v>-7750000</v>
      </c>
      <c r="S21" s="69">
        <f t="shared" si="32"/>
        <v>-7750000</v>
      </c>
      <c r="T21" s="69">
        <f t="shared" si="32"/>
        <v>-7750000</v>
      </c>
      <c r="U21" s="69">
        <f t="shared" si="32"/>
        <v>-7750000</v>
      </c>
      <c r="V21" s="69">
        <f t="shared" si="32"/>
        <v>-7750000</v>
      </c>
      <c r="W21" s="69">
        <f t="shared" si="32"/>
        <v>-7750000</v>
      </c>
      <c r="X21" s="69">
        <f t="shared" si="32"/>
        <v>-7750000</v>
      </c>
      <c r="Y21" s="69">
        <f t="shared" si="32"/>
        <v>-7750000</v>
      </c>
      <c r="Z21" s="69">
        <f t="shared" si="32"/>
        <v>-7750000</v>
      </c>
      <c r="AA21" s="69">
        <f t="shared" si="32"/>
        <v>-7750000</v>
      </c>
      <c r="AB21" s="69">
        <f t="shared" si="32"/>
        <v>-7750000</v>
      </c>
      <c r="AC21" s="69">
        <f t="shared" si="32"/>
        <v>-7750000</v>
      </c>
      <c r="AE21" s="64" t="s">
        <v>100</v>
      </c>
      <c r="AF21" s="69">
        <f t="shared" si="3"/>
        <v>-93000000</v>
      </c>
      <c r="AG21" s="69">
        <f t="shared" si="4"/>
        <v>-93000000</v>
      </c>
    </row>
    <row r="22" spans="1:33" x14ac:dyDescent="0.25">
      <c r="A22" s="41" t="s">
        <v>60</v>
      </c>
      <c r="B22" s="33">
        <f>B21/B4</f>
        <v>15.92576923076923</v>
      </c>
      <c r="C22" s="50"/>
      <c r="D22" s="50"/>
      <c r="E22" s="62" t="s">
        <v>117</v>
      </c>
      <c r="F22" s="67">
        <f>F15+F16</f>
        <v>-807484631.54846406</v>
      </c>
      <c r="G22" s="67">
        <f t="shared" ref="G22:AC22" si="33">G15+G16</f>
        <v>-1013825676.4477401</v>
      </c>
      <c r="H22" s="67">
        <f t="shared" si="33"/>
        <v>-1233717346.3470163</v>
      </c>
      <c r="I22" s="67">
        <f t="shared" si="33"/>
        <v>156127062.64878136</v>
      </c>
      <c r="J22" s="67">
        <f t="shared" si="33"/>
        <v>156127062.64878136</v>
      </c>
      <c r="K22" s="67">
        <f t="shared" si="33"/>
        <v>156127062.64878136</v>
      </c>
      <c r="L22" s="67">
        <f t="shared" si="33"/>
        <v>156127062.64878136</v>
      </c>
      <c r="M22" s="67">
        <f t="shared" si="33"/>
        <v>156127062.64878136</v>
      </c>
      <c r="N22" s="67">
        <f t="shared" si="33"/>
        <v>156127062.64878136</v>
      </c>
      <c r="O22" s="67">
        <f t="shared" si="33"/>
        <v>156127062.64878136</v>
      </c>
      <c r="P22" s="67">
        <f t="shared" si="33"/>
        <v>156127062.64878136</v>
      </c>
      <c r="Q22" s="67">
        <f t="shared" si="33"/>
        <v>156127062.64878136</v>
      </c>
      <c r="R22" s="67">
        <f t="shared" si="33"/>
        <v>162734145.15473244</v>
      </c>
      <c r="S22" s="67">
        <f t="shared" si="33"/>
        <v>162734145.15473244</v>
      </c>
      <c r="T22" s="67">
        <f t="shared" si="33"/>
        <v>162734145.15473244</v>
      </c>
      <c r="U22" s="67">
        <f t="shared" si="33"/>
        <v>162734145.15473244</v>
      </c>
      <c r="V22" s="67">
        <f t="shared" si="33"/>
        <v>162734145.15473244</v>
      </c>
      <c r="W22" s="67">
        <f t="shared" si="33"/>
        <v>162734145.15473244</v>
      </c>
      <c r="X22" s="67">
        <f t="shared" si="33"/>
        <v>162734145.15473244</v>
      </c>
      <c r="Y22" s="67">
        <f t="shared" si="33"/>
        <v>162734145.15473244</v>
      </c>
      <c r="Z22" s="67">
        <f t="shared" si="33"/>
        <v>162734145.15473244</v>
      </c>
      <c r="AA22" s="67">
        <f t="shared" si="33"/>
        <v>162734145.15473244</v>
      </c>
      <c r="AB22" s="67">
        <f t="shared" si="33"/>
        <v>162734145.15473244</v>
      </c>
      <c r="AC22" s="67">
        <f t="shared" si="33"/>
        <v>162734145.15473244</v>
      </c>
      <c r="AE22" s="62" t="s">
        <v>117</v>
      </c>
      <c r="AF22" s="67">
        <f t="shared" si="3"/>
        <v>-1649884090.504189</v>
      </c>
      <c r="AG22" s="67">
        <f t="shared" si="4"/>
        <v>1952809741.8567894</v>
      </c>
    </row>
    <row r="23" spans="1:33" x14ac:dyDescent="0.25">
      <c r="A23" s="41" t="s">
        <v>141</v>
      </c>
      <c r="B23" s="80">
        <f>B21/(B4*7)</f>
        <v>2.2751098901098903</v>
      </c>
      <c r="C23" s="55"/>
      <c r="D23" s="55"/>
      <c r="E23" s="64" t="s">
        <v>110</v>
      </c>
      <c r="F23" s="69">
        <f>-IF(F22&gt;0,F22*$B$41,0)</f>
        <v>0</v>
      </c>
      <c r="G23" s="69">
        <f t="shared" ref="G23:AC23" si="34">-IF(G22&gt;0,G22*$B$41,0)</f>
        <v>0</v>
      </c>
      <c r="H23" s="69">
        <f t="shared" si="34"/>
        <v>0</v>
      </c>
      <c r="I23" s="69">
        <f t="shared" si="34"/>
        <v>-51521930.674097851</v>
      </c>
      <c r="J23" s="69">
        <f t="shared" si="34"/>
        <v>-51521930.674097851</v>
      </c>
      <c r="K23" s="69">
        <f t="shared" si="34"/>
        <v>-51521930.674097851</v>
      </c>
      <c r="L23" s="69">
        <f t="shared" si="34"/>
        <v>-51521930.674097851</v>
      </c>
      <c r="M23" s="69">
        <f t="shared" si="34"/>
        <v>-51521930.674097851</v>
      </c>
      <c r="N23" s="69">
        <f t="shared" si="34"/>
        <v>-51521930.674097851</v>
      </c>
      <c r="O23" s="69">
        <f t="shared" si="34"/>
        <v>-51521930.674097851</v>
      </c>
      <c r="P23" s="69">
        <f t="shared" si="34"/>
        <v>-51521930.674097851</v>
      </c>
      <c r="Q23" s="69">
        <f t="shared" si="34"/>
        <v>-51521930.674097851</v>
      </c>
      <c r="R23" s="69">
        <f t="shared" si="34"/>
        <v>-53702267.901061706</v>
      </c>
      <c r="S23" s="69">
        <f t="shared" si="34"/>
        <v>-53702267.901061706</v>
      </c>
      <c r="T23" s="69">
        <f t="shared" si="34"/>
        <v>-53702267.901061706</v>
      </c>
      <c r="U23" s="69">
        <f t="shared" si="34"/>
        <v>-53702267.901061706</v>
      </c>
      <c r="V23" s="69">
        <f t="shared" si="34"/>
        <v>-53702267.901061706</v>
      </c>
      <c r="W23" s="69">
        <f t="shared" si="34"/>
        <v>-53702267.901061706</v>
      </c>
      <c r="X23" s="69">
        <f t="shared" si="34"/>
        <v>-53702267.901061706</v>
      </c>
      <c r="Y23" s="69">
        <f t="shared" si="34"/>
        <v>-53702267.901061706</v>
      </c>
      <c r="Z23" s="69">
        <f t="shared" si="34"/>
        <v>-53702267.901061706</v>
      </c>
      <c r="AA23" s="69">
        <f t="shared" si="34"/>
        <v>-53702267.901061706</v>
      </c>
      <c r="AB23" s="69">
        <f t="shared" si="34"/>
        <v>-53702267.901061706</v>
      </c>
      <c r="AC23" s="69">
        <f t="shared" si="34"/>
        <v>-53702267.901061706</v>
      </c>
      <c r="AE23" s="64" t="s">
        <v>110</v>
      </c>
      <c r="AF23" s="69">
        <f t="shared" si="3"/>
        <v>-463697376.06688058</v>
      </c>
      <c r="AG23" s="69">
        <f t="shared" si="4"/>
        <v>-644427214.81274033</v>
      </c>
    </row>
    <row r="24" spans="1:33" x14ac:dyDescent="0.25">
      <c r="A24" s="42" t="s">
        <v>65</v>
      </c>
      <c r="B24" s="30"/>
      <c r="C24" s="55"/>
      <c r="D24" s="55"/>
      <c r="E24" s="62" t="s">
        <v>123</v>
      </c>
      <c r="F24" s="67">
        <f>F22+F23</f>
        <v>-807484631.54846406</v>
      </c>
      <c r="G24" s="67">
        <f t="shared" ref="G24:AC24" si="35">G22+G23</f>
        <v>-1013825676.4477401</v>
      </c>
      <c r="H24" s="67">
        <f t="shared" si="35"/>
        <v>-1233717346.3470163</v>
      </c>
      <c r="I24" s="67">
        <f t="shared" si="35"/>
        <v>104605131.97468351</v>
      </c>
      <c r="J24" s="67">
        <f t="shared" si="35"/>
        <v>104605131.97468351</v>
      </c>
      <c r="K24" s="67">
        <f t="shared" si="35"/>
        <v>104605131.97468351</v>
      </c>
      <c r="L24" s="67">
        <f t="shared" si="35"/>
        <v>104605131.97468351</v>
      </c>
      <c r="M24" s="67">
        <f t="shared" si="35"/>
        <v>104605131.97468351</v>
      </c>
      <c r="N24" s="67">
        <f t="shared" si="35"/>
        <v>104605131.97468351</v>
      </c>
      <c r="O24" s="67">
        <f t="shared" si="35"/>
        <v>104605131.97468351</v>
      </c>
      <c r="P24" s="67">
        <f t="shared" si="35"/>
        <v>104605131.97468351</v>
      </c>
      <c r="Q24" s="67">
        <f t="shared" si="35"/>
        <v>104605131.97468351</v>
      </c>
      <c r="R24" s="67">
        <f t="shared" si="35"/>
        <v>109031877.25367072</v>
      </c>
      <c r="S24" s="67">
        <f t="shared" si="35"/>
        <v>109031877.25367072</v>
      </c>
      <c r="T24" s="67">
        <f t="shared" si="35"/>
        <v>109031877.25367072</v>
      </c>
      <c r="U24" s="67">
        <f t="shared" si="35"/>
        <v>109031877.25367072</v>
      </c>
      <c r="V24" s="67">
        <f t="shared" si="35"/>
        <v>109031877.25367072</v>
      </c>
      <c r="W24" s="67">
        <f t="shared" si="35"/>
        <v>109031877.25367072</v>
      </c>
      <c r="X24" s="67">
        <f t="shared" si="35"/>
        <v>109031877.25367072</v>
      </c>
      <c r="Y24" s="67">
        <f t="shared" si="35"/>
        <v>109031877.25367072</v>
      </c>
      <c r="Z24" s="67">
        <f t="shared" si="35"/>
        <v>109031877.25367072</v>
      </c>
      <c r="AA24" s="67">
        <f t="shared" si="35"/>
        <v>109031877.25367072</v>
      </c>
      <c r="AB24" s="67">
        <f t="shared" si="35"/>
        <v>109031877.25367072</v>
      </c>
      <c r="AC24" s="67">
        <f t="shared" si="35"/>
        <v>109031877.25367072</v>
      </c>
      <c r="AE24" s="62" t="s">
        <v>123</v>
      </c>
      <c r="AF24" s="67">
        <f t="shared" si="3"/>
        <v>-2113581466.5710709</v>
      </c>
      <c r="AG24" s="67">
        <f t="shared" si="4"/>
        <v>1308382527.0440485</v>
      </c>
    </row>
    <row r="25" spans="1:33" x14ac:dyDescent="0.25">
      <c r="A25" s="29" t="s">
        <v>91</v>
      </c>
      <c r="B25" s="29">
        <v>27</v>
      </c>
      <c r="C25" s="55"/>
      <c r="D25" s="55"/>
      <c r="E25" s="61" t="s">
        <v>120</v>
      </c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>
        <f>(B3*C44)*(B15*(1+B10))</f>
        <v>2805587928</v>
      </c>
      <c r="AE25" s="61" t="s">
        <v>120</v>
      </c>
      <c r="AF25" s="66">
        <f t="shared" si="3"/>
        <v>0</v>
      </c>
      <c r="AG25" s="66">
        <f t="shared" si="4"/>
        <v>2805587928</v>
      </c>
    </row>
    <row r="26" spans="1:33" x14ac:dyDescent="0.25">
      <c r="A26" s="29" t="s">
        <v>92</v>
      </c>
      <c r="B26" s="30">
        <f>VLOOKUP(B25,Lechon!A7:C27,3,1)</f>
        <v>235791</v>
      </c>
      <c r="C26" s="55"/>
      <c r="D26" s="55"/>
      <c r="F26">
        <v>0</v>
      </c>
      <c r="G26">
        <v>1</v>
      </c>
      <c r="H26">
        <v>2</v>
      </c>
      <c r="I26">
        <v>3</v>
      </c>
      <c r="J26">
        <v>4</v>
      </c>
      <c r="K26">
        <v>5</v>
      </c>
      <c r="L26">
        <v>6</v>
      </c>
      <c r="M26">
        <v>7</v>
      </c>
      <c r="N26">
        <v>8</v>
      </c>
      <c r="O26">
        <v>9</v>
      </c>
      <c r="P26">
        <v>10</v>
      </c>
      <c r="Q26">
        <v>11</v>
      </c>
      <c r="R26">
        <v>12</v>
      </c>
      <c r="S26">
        <v>13</v>
      </c>
      <c r="T26">
        <v>14</v>
      </c>
      <c r="U26">
        <v>15</v>
      </c>
      <c r="V26">
        <v>16</v>
      </c>
      <c r="W26">
        <v>17</v>
      </c>
      <c r="X26">
        <v>18</v>
      </c>
      <c r="Y26">
        <v>19</v>
      </c>
      <c r="Z26">
        <v>20</v>
      </c>
      <c r="AA26">
        <v>21</v>
      </c>
      <c r="AB26">
        <v>22</v>
      </c>
      <c r="AC26">
        <v>23</v>
      </c>
    </row>
    <row r="27" spans="1:33" x14ac:dyDescent="0.25">
      <c r="A27" s="42" t="s">
        <v>62</v>
      </c>
      <c r="B27" s="29"/>
      <c r="C27" s="55"/>
      <c r="D27" s="55"/>
    </row>
    <row r="28" spans="1:33" x14ac:dyDescent="0.25">
      <c r="A28" s="29" t="s">
        <v>96</v>
      </c>
      <c r="B28" s="30">
        <f>O.Gastos!C9</f>
        <v>1000</v>
      </c>
      <c r="C28" s="55"/>
      <c r="D28" s="55"/>
      <c r="E28" t="s">
        <v>125</v>
      </c>
      <c r="F28" s="72">
        <f>F25+F3</f>
        <v>-807484631.54846406</v>
      </c>
      <c r="G28" s="72">
        <f t="shared" ref="G28:AC28" si="36">G25+G3</f>
        <v>-1013825676.4477401</v>
      </c>
      <c r="H28" s="72">
        <f t="shared" si="36"/>
        <v>-1233717346.3470163</v>
      </c>
      <c r="I28" s="72">
        <f t="shared" si="36"/>
        <v>104605131.97468351</v>
      </c>
      <c r="J28" s="72">
        <f t="shared" si="36"/>
        <v>104605131.97468351</v>
      </c>
      <c r="K28" s="72">
        <f t="shared" si="36"/>
        <v>104605131.97468351</v>
      </c>
      <c r="L28" s="72">
        <f t="shared" si="36"/>
        <v>104605131.97468351</v>
      </c>
      <c r="M28" s="72">
        <f t="shared" si="36"/>
        <v>104605131.97468351</v>
      </c>
      <c r="N28" s="72">
        <f t="shared" si="36"/>
        <v>104605131.97468351</v>
      </c>
      <c r="O28" s="72">
        <f t="shared" si="36"/>
        <v>104605131.97468351</v>
      </c>
      <c r="P28" s="72">
        <f t="shared" si="36"/>
        <v>104605131.97468351</v>
      </c>
      <c r="Q28" s="72">
        <f t="shared" si="36"/>
        <v>104605131.97468351</v>
      </c>
      <c r="R28" s="72">
        <f t="shared" si="36"/>
        <v>109031877.25367072</v>
      </c>
      <c r="S28" s="72">
        <f t="shared" si="36"/>
        <v>109031877.25367072</v>
      </c>
      <c r="T28" s="72">
        <f t="shared" si="36"/>
        <v>109031877.25367072</v>
      </c>
      <c r="U28" s="72">
        <f t="shared" si="36"/>
        <v>109031877.25367072</v>
      </c>
      <c r="V28" s="72">
        <f t="shared" si="36"/>
        <v>109031877.25367072</v>
      </c>
      <c r="W28" s="72">
        <f t="shared" si="36"/>
        <v>109031877.25367072</v>
      </c>
      <c r="X28" s="72">
        <f t="shared" si="36"/>
        <v>109031877.25367072</v>
      </c>
      <c r="Y28" s="72">
        <f t="shared" si="36"/>
        <v>109031877.25367072</v>
      </c>
      <c r="Z28" s="72">
        <f t="shared" si="36"/>
        <v>109031877.25367072</v>
      </c>
      <c r="AA28" s="72">
        <f t="shared" si="36"/>
        <v>109031877.25367072</v>
      </c>
      <c r="AB28" s="72">
        <f t="shared" si="36"/>
        <v>109031877.25367072</v>
      </c>
      <c r="AC28" s="72">
        <f t="shared" si="36"/>
        <v>2914619805.2536707</v>
      </c>
      <c r="AE28" t="s">
        <v>125</v>
      </c>
      <c r="AF28" s="72">
        <f>AF3+AF25</f>
        <v>-2113581466.5710709</v>
      </c>
      <c r="AG28" s="72">
        <f>AG3+AG25</f>
        <v>4113970455.0440483</v>
      </c>
    </row>
    <row r="29" spans="1:33" x14ac:dyDescent="0.25">
      <c r="A29" s="29" t="s">
        <v>102</v>
      </c>
      <c r="B29" s="30">
        <v>10500</v>
      </c>
      <c r="C29" s="55"/>
      <c r="D29" s="55"/>
      <c r="E29" t="s">
        <v>126</v>
      </c>
      <c r="F29" s="72">
        <f>-PV($B$43,F26,,F28)</f>
        <v>-807484631.54846406</v>
      </c>
      <c r="G29" s="72">
        <f t="shared" ref="G29:AC29" si="37">-PV($B$43,G26,,G28)</f>
        <v>-1006447963.704284</v>
      </c>
      <c r="H29" s="72">
        <f t="shared" si="37"/>
        <v>-1215826905.68525</v>
      </c>
      <c r="I29" s="72">
        <f t="shared" si="37"/>
        <v>102338043.52789825</v>
      </c>
      <c r="J29" s="72">
        <f t="shared" si="37"/>
        <v>101593319.15820029</v>
      </c>
      <c r="K29" s="72">
        <f t="shared" si="37"/>
        <v>100854014.22361858</v>
      </c>
      <c r="L29" s="72">
        <f t="shared" si="37"/>
        <v>100120089.28637159</v>
      </c>
      <c r="M29" s="72">
        <f t="shared" si="37"/>
        <v>99391505.19567056</v>
      </c>
      <c r="N29" s="72">
        <f t="shared" si="37"/>
        <v>98668223.085631013</v>
      </c>
      <c r="O29" s="72">
        <f t="shared" si="37"/>
        <v>97950204.373199478</v>
      </c>
      <c r="P29" s="72">
        <f t="shared" si="37"/>
        <v>97237410.75609529</v>
      </c>
      <c r="Q29" s="72">
        <f t="shared" si="37"/>
        <v>96529804.210767388</v>
      </c>
      <c r="R29" s="72">
        <f t="shared" si="37"/>
        <v>99882628.484491244</v>
      </c>
      <c r="S29" s="72">
        <f t="shared" si="37"/>
        <v>99155772.420239747</v>
      </c>
      <c r="T29" s="72">
        <f t="shared" si="37"/>
        <v>98434205.761625186</v>
      </c>
      <c r="U29" s="72">
        <f t="shared" si="37"/>
        <v>97717890.017103836</v>
      </c>
      <c r="V29" s="72">
        <f t="shared" si="37"/>
        <v>97006786.97523883</v>
      </c>
      <c r="W29" s="72">
        <f t="shared" si="37"/>
        <v>96300858.702661842</v>
      </c>
      <c r="X29" s="72">
        <f t="shared" si="37"/>
        <v>95600067.542049497</v>
      </c>
      <c r="Y29" s="72">
        <f t="shared" si="37"/>
        <v>94904376.110114664</v>
      </c>
      <c r="Z29" s="72">
        <f t="shared" si="37"/>
        <v>94213747.295612097</v>
      </c>
      <c r="AA29" s="72">
        <f t="shared" si="37"/>
        <v>93528144.257358983</v>
      </c>
      <c r="AB29" s="72">
        <f t="shared" si="37"/>
        <v>92847530.422269464</v>
      </c>
      <c r="AC29" s="72">
        <f t="shared" si="37"/>
        <v>2463921222.401412</v>
      </c>
      <c r="AE29" t="s">
        <v>126</v>
      </c>
      <c r="AF29" s="85">
        <f>-PV($B$42,AF2,,AF28)</f>
        <v>-1936223402.8683319</v>
      </c>
      <c r="AG29" s="85">
        <f>-PV($B$42,AG2,,AG28)</f>
        <v>3452503396.0021038</v>
      </c>
    </row>
    <row r="30" spans="1:33" x14ac:dyDescent="0.25">
      <c r="A30" s="47" t="s">
        <v>103</v>
      </c>
      <c r="B30" s="29"/>
      <c r="E30" t="s">
        <v>127</v>
      </c>
      <c r="F30" s="72">
        <f>F29</f>
        <v>-807484631.54846406</v>
      </c>
      <c r="G30" s="72">
        <f>F30+G29</f>
        <v>-1813932595.252748</v>
      </c>
      <c r="H30" s="72">
        <f t="shared" ref="H30:AC30" si="38">G30+H29</f>
        <v>-3029759500.9379978</v>
      </c>
      <c r="I30" s="72">
        <f t="shared" si="38"/>
        <v>-2927421457.4100995</v>
      </c>
      <c r="J30" s="72">
        <f t="shared" si="38"/>
        <v>-2825828138.2518992</v>
      </c>
      <c r="K30" s="72">
        <f t="shared" si="38"/>
        <v>-2724974124.0282807</v>
      </c>
      <c r="L30" s="72">
        <f t="shared" si="38"/>
        <v>-2624854034.741909</v>
      </c>
      <c r="M30" s="72">
        <f t="shared" si="38"/>
        <v>-2525462529.5462384</v>
      </c>
      <c r="N30" s="72">
        <f t="shared" si="38"/>
        <v>-2426794306.4606075</v>
      </c>
      <c r="O30" s="72">
        <f t="shared" si="38"/>
        <v>-2328844102.0874081</v>
      </c>
      <c r="P30" s="72">
        <f t="shared" si="38"/>
        <v>-2231606691.3313127</v>
      </c>
      <c r="Q30" s="72">
        <f t="shared" si="38"/>
        <v>-2135076887.1205454</v>
      </c>
      <c r="R30" s="72">
        <f t="shared" si="38"/>
        <v>-2035194258.636054</v>
      </c>
      <c r="S30" s="72">
        <f t="shared" si="38"/>
        <v>-1936038486.2158144</v>
      </c>
      <c r="T30" s="72">
        <f t="shared" si="38"/>
        <v>-1837604280.4541891</v>
      </c>
      <c r="U30" s="72">
        <f t="shared" si="38"/>
        <v>-1739886390.4370852</v>
      </c>
      <c r="V30" s="72">
        <f t="shared" si="38"/>
        <v>-1642879603.4618464</v>
      </c>
      <c r="W30" s="72">
        <f t="shared" si="38"/>
        <v>-1546578744.7591846</v>
      </c>
      <c r="X30" s="72">
        <f t="shared" si="38"/>
        <v>-1450978677.2171352</v>
      </c>
      <c r="Y30" s="72">
        <f t="shared" si="38"/>
        <v>-1356074301.1070206</v>
      </c>
      <c r="Z30" s="72">
        <f t="shared" si="38"/>
        <v>-1261860553.8114085</v>
      </c>
      <c r="AA30" s="72">
        <f t="shared" si="38"/>
        <v>-1168332409.5540495</v>
      </c>
      <c r="AB30" s="72">
        <f t="shared" si="38"/>
        <v>-1075484879.1317801</v>
      </c>
      <c r="AC30" s="72">
        <f t="shared" si="38"/>
        <v>1388436343.2696319</v>
      </c>
      <c r="AE30" t="s">
        <v>134</v>
      </c>
      <c r="AF30" s="85">
        <f>AF29</f>
        <v>-1936223402.8683319</v>
      </c>
      <c r="AG30" s="85">
        <f>AF30+AG29</f>
        <v>1516279993.1337719</v>
      </c>
    </row>
    <row r="31" spans="1:33" x14ac:dyDescent="0.25">
      <c r="A31" s="42" t="s">
        <v>106</v>
      </c>
      <c r="B31" s="48">
        <f>B32*B33</f>
        <v>4942469.9999999991</v>
      </c>
      <c r="C31" s="56"/>
      <c r="D31" s="56"/>
    </row>
    <row r="32" spans="1:33" x14ac:dyDescent="0.25">
      <c r="A32" s="29" t="s">
        <v>67</v>
      </c>
      <c r="B32" s="33">
        <f>B3/B6</f>
        <v>3.9</v>
      </c>
      <c r="C32" s="55"/>
      <c r="D32" s="55"/>
      <c r="E32" s="59" t="s">
        <v>131</v>
      </c>
      <c r="F32" s="77">
        <f>NPV($B$43,G28:AC28)+F28</f>
        <v>1388436343.2696316</v>
      </c>
      <c r="AE32" t="s">
        <v>131</v>
      </c>
      <c r="AF32" s="74">
        <f>NPV(B42,AF28:AG28)</f>
        <v>1516279993.1337724</v>
      </c>
    </row>
    <row r="33" spans="1:32" x14ac:dyDescent="0.25">
      <c r="A33" s="29" t="s">
        <v>104</v>
      </c>
      <c r="B33" s="30">
        <f>(760000*1.15)*1.45</f>
        <v>1267299.9999999998</v>
      </c>
      <c r="C33" s="54"/>
      <c r="D33" s="54"/>
      <c r="E33" s="59" t="s">
        <v>132</v>
      </c>
      <c r="F33" s="83">
        <f>IRR(F28:AC28)</f>
        <v>3.0401485045367549E-2</v>
      </c>
      <c r="AE33" t="s">
        <v>132</v>
      </c>
      <c r="AF33" s="37">
        <f>IRR(AF28:AG28)</f>
        <v>0.94644517853303767</v>
      </c>
    </row>
    <row r="34" spans="1:32" x14ac:dyDescent="0.25">
      <c r="A34" s="49" t="s">
        <v>58</v>
      </c>
      <c r="B34" s="48">
        <f>(B5*B4)*B7</f>
        <v>35100000</v>
      </c>
      <c r="C34" s="56"/>
      <c r="D34" s="56"/>
      <c r="E34" s="59" t="s">
        <v>133</v>
      </c>
      <c r="F34" s="83">
        <f>MIRR(F28:AC28,,B43)</f>
        <v>2.3619320256113463E-2</v>
      </c>
      <c r="AE34" t="s">
        <v>134</v>
      </c>
      <c r="AF34" s="8">
        <f>AF2+(-AF30/AG29)</f>
        <v>1.5608172334053085</v>
      </c>
    </row>
    <row r="35" spans="1:32" x14ac:dyDescent="0.25">
      <c r="A35" s="47" t="s">
        <v>112</v>
      </c>
      <c r="B35" s="29"/>
      <c r="E35" s="59" t="s">
        <v>134</v>
      </c>
      <c r="F35" s="78">
        <f>AB2+(-AB30/AC29)</f>
        <v>23.436493208205569</v>
      </c>
    </row>
    <row r="36" spans="1:32" x14ac:dyDescent="0.25">
      <c r="A36" s="29" t="s">
        <v>61</v>
      </c>
      <c r="B36" s="30">
        <v>10</v>
      </c>
    </row>
    <row r="37" spans="1:32" x14ac:dyDescent="0.25">
      <c r="A37" s="29" t="s">
        <v>37</v>
      </c>
      <c r="B37" s="30">
        <v>4000</v>
      </c>
    </row>
    <row r="38" spans="1:32" x14ac:dyDescent="0.25">
      <c r="A38" s="43" t="s">
        <v>97</v>
      </c>
      <c r="B38" s="30">
        <v>0</v>
      </c>
    </row>
    <row r="39" spans="1:32" x14ac:dyDescent="0.25">
      <c r="A39" s="31" t="s">
        <v>101</v>
      </c>
      <c r="B39" s="30">
        <f>O.Gastos!C12</f>
        <v>500</v>
      </c>
    </row>
    <row r="40" spans="1:32" x14ac:dyDescent="0.25">
      <c r="A40" s="31" t="s">
        <v>149</v>
      </c>
      <c r="B40" s="30">
        <f>SUM(B68:B70)</f>
        <v>7750000</v>
      </c>
    </row>
    <row r="41" spans="1:32" x14ac:dyDescent="0.25">
      <c r="A41" s="46" t="s">
        <v>110</v>
      </c>
      <c r="B41" s="32">
        <v>0.33</v>
      </c>
    </row>
    <row r="42" spans="1:32" x14ac:dyDescent="0.25">
      <c r="A42" s="43" t="s">
        <v>128</v>
      </c>
      <c r="B42" s="73">
        <v>9.1600000000000001E-2</v>
      </c>
      <c r="C42" t="s">
        <v>129</v>
      </c>
    </row>
    <row r="43" spans="1:32" x14ac:dyDescent="0.25">
      <c r="A43" s="43" t="s">
        <v>128</v>
      </c>
      <c r="B43" s="9">
        <f>(((1+B42)^(1/12))-1)</f>
        <v>7.3304462918302171E-3</v>
      </c>
      <c r="C43" t="s">
        <v>130</v>
      </c>
    </row>
    <row r="44" spans="1:32" x14ac:dyDescent="0.25">
      <c r="A44">
        <v>27</v>
      </c>
      <c r="B44" s="37">
        <v>0.33</v>
      </c>
      <c r="C44" s="71">
        <f>((A44*B44)+(A45*B45)+(A46*B46))</f>
        <v>67.814999999999998</v>
      </c>
      <c r="D44" s="71" t="s">
        <v>124</v>
      </c>
    </row>
    <row r="45" spans="1:32" x14ac:dyDescent="0.25">
      <c r="A45">
        <f>(A44+A46)/2</f>
        <v>68.5</v>
      </c>
      <c r="B45" s="37">
        <v>0.33</v>
      </c>
    </row>
    <row r="46" spans="1:32" x14ac:dyDescent="0.25">
      <c r="A46">
        <v>110</v>
      </c>
      <c r="B46" s="37">
        <v>0.33</v>
      </c>
    </row>
    <row r="49" spans="1:5" x14ac:dyDescent="0.25">
      <c r="A49" s="121" t="s">
        <v>144</v>
      </c>
      <c r="B49" s="121"/>
      <c r="C49" s="121"/>
      <c r="D49" s="121"/>
      <c r="E49" s="121"/>
    </row>
    <row r="50" spans="1:5" x14ac:dyDescent="0.25">
      <c r="A50" s="29" t="s">
        <v>143</v>
      </c>
      <c r="B50" s="81" t="s">
        <v>72</v>
      </c>
      <c r="C50" s="81" t="s">
        <v>71</v>
      </c>
      <c r="D50" s="81" t="s">
        <v>70</v>
      </c>
      <c r="E50" s="82" t="s">
        <v>69</v>
      </c>
    </row>
    <row r="51" spans="1:5" x14ac:dyDescent="0.25">
      <c r="A51" s="29">
        <v>1</v>
      </c>
      <c r="B51" s="29">
        <v>30</v>
      </c>
      <c r="C51" s="29">
        <v>30</v>
      </c>
      <c r="D51" s="29">
        <v>30</v>
      </c>
      <c r="E51" s="29">
        <v>30</v>
      </c>
    </row>
    <row r="52" spans="1:5" x14ac:dyDescent="0.25">
      <c r="A52" s="29">
        <v>2</v>
      </c>
      <c r="B52" s="29">
        <v>23</v>
      </c>
      <c r="C52" s="29">
        <v>30</v>
      </c>
      <c r="D52" s="29">
        <v>30</v>
      </c>
      <c r="E52" s="29">
        <v>30</v>
      </c>
    </row>
    <row r="53" spans="1:5" x14ac:dyDescent="0.25">
      <c r="A53" s="29">
        <v>3</v>
      </c>
      <c r="B53" s="29">
        <v>16</v>
      </c>
      <c r="C53" s="29">
        <v>30</v>
      </c>
      <c r="D53" s="29">
        <v>30</v>
      </c>
      <c r="E53" s="29">
        <v>30</v>
      </c>
    </row>
    <row r="54" spans="1:5" x14ac:dyDescent="0.25">
      <c r="A54" s="29">
        <v>4</v>
      </c>
      <c r="B54" s="29">
        <v>7</v>
      </c>
      <c r="C54" s="29">
        <v>30</v>
      </c>
      <c r="D54" s="29">
        <v>30</v>
      </c>
      <c r="E54" s="29">
        <v>30</v>
      </c>
    </row>
    <row r="55" spans="1:5" x14ac:dyDescent="0.25">
      <c r="A55" s="29">
        <v>5</v>
      </c>
      <c r="B55" s="29">
        <v>1</v>
      </c>
      <c r="C55" s="29">
        <v>30</v>
      </c>
      <c r="D55" s="29">
        <v>30</v>
      </c>
      <c r="E55" s="29">
        <v>30</v>
      </c>
    </row>
    <row r="56" spans="1:5" x14ac:dyDescent="0.25">
      <c r="A56" s="29">
        <v>6</v>
      </c>
      <c r="B56" s="29"/>
      <c r="C56" s="29">
        <v>23</v>
      </c>
      <c r="D56" s="29">
        <v>30</v>
      </c>
      <c r="E56" s="29">
        <v>30</v>
      </c>
    </row>
    <row r="57" spans="1:5" x14ac:dyDescent="0.25">
      <c r="A57" s="29">
        <v>7</v>
      </c>
      <c r="B57" s="29"/>
      <c r="C57" s="29">
        <v>16</v>
      </c>
      <c r="D57" s="29">
        <v>30</v>
      </c>
      <c r="E57" s="29">
        <v>30</v>
      </c>
    </row>
    <row r="58" spans="1:5" x14ac:dyDescent="0.25">
      <c r="A58" s="29">
        <v>8</v>
      </c>
      <c r="B58" s="29"/>
      <c r="C58" s="29">
        <v>7</v>
      </c>
      <c r="D58" s="29">
        <v>30</v>
      </c>
      <c r="E58" s="29">
        <v>30</v>
      </c>
    </row>
    <row r="59" spans="1:5" x14ac:dyDescent="0.25">
      <c r="A59" s="29">
        <v>9</v>
      </c>
      <c r="B59" s="29"/>
      <c r="C59" s="29">
        <v>1</v>
      </c>
      <c r="D59" s="29">
        <v>30</v>
      </c>
      <c r="E59" s="29">
        <v>30</v>
      </c>
    </row>
    <row r="60" spans="1:5" x14ac:dyDescent="0.25">
      <c r="A60" s="29">
        <v>10</v>
      </c>
      <c r="B60" s="29"/>
      <c r="C60" s="29"/>
      <c r="D60" s="29">
        <v>23</v>
      </c>
      <c r="E60" s="29">
        <v>30</v>
      </c>
    </row>
    <row r="61" spans="1:5" x14ac:dyDescent="0.25">
      <c r="A61" s="29">
        <v>11</v>
      </c>
      <c r="B61" s="29"/>
      <c r="C61" s="29"/>
      <c r="D61" s="29">
        <v>16</v>
      </c>
      <c r="E61" s="29">
        <v>30</v>
      </c>
    </row>
    <row r="62" spans="1:5" x14ac:dyDescent="0.25">
      <c r="A62" s="29">
        <v>12</v>
      </c>
      <c r="B62" s="29"/>
      <c r="C62" s="29"/>
      <c r="D62" s="29">
        <v>7</v>
      </c>
      <c r="E62" s="29">
        <v>30</v>
      </c>
    </row>
    <row r="63" spans="1:5" x14ac:dyDescent="0.25">
      <c r="A63" s="29">
        <v>13</v>
      </c>
      <c r="B63" s="29"/>
      <c r="C63" s="29"/>
      <c r="D63" s="29">
        <v>1</v>
      </c>
      <c r="E63" s="29">
        <v>30</v>
      </c>
    </row>
    <row r="64" spans="1:5" x14ac:dyDescent="0.25">
      <c r="A64" s="34" t="s">
        <v>1</v>
      </c>
      <c r="B64" s="34">
        <f>SUM(B51:B63)</f>
        <v>77</v>
      </c>
      <c r="C64" s="34">
        <f t="shared" ref="C64:E64" si="39">SUM(C51:C63)</f>
        <v>197</v>
      </c>
      <c r="D64" s="34">
        <f t="shared" si="39"/>
        <v>317</v>
      </c>
      <c r="E64" s="34">
        <f t="shared" si="39"/>
        <v>390</v>
      </c>
    </row>
    <row r="66" spans="1:2" x14ac:dyDescent="0.25">
      <c r="A66" s="121" t="s">
        <v>100</v>
      </c>
      <c r="B66" s="121"/>
    </row>
    <row r="67" spans="1:2" x14ac:dyDescent="0.25">
      <c r="A67" s="29" t="s">
        <v>148</v>
      </c>
      <c r="B67" s="29" t="s">
        <v>66</v>
      </c>
    </row>
    <row r="68" spans="1:2" x14ac:dyDescent="0.25">
      <c r="A68" s="29" t="s">
        <v>145</v>
      </c>
      <c r="B68" s="39">
        <f>3500000*1.45</f>
        <v>5075000</v>
      </c>
    </row>
    <row r="69" spans="1:2" x14ac:dyDescent="0.25">
      <c r="A69" s="29" t="s">
        <v>146</v>
      </c>
      <c r="B69" s="39">
        <f>1500000*1.45</f>
        <v>2175000</v>
      </c>
    </row>
    <row r="70" spans="1:2" x14ac:dyDescent="0.25">
      <c r="A70" s="29" t="s">
        <v>147</v>
      </c>
      <c r="B70" s="39">
        <v>500000</v>
      </c>
    </row>
  </sheetData>
  <mergeCells count="8">
    <mergeCell ref="A66:B66"/>
    <mergeCell ref="AE1:AE2"/>
    <mergeCell ref="AF1:AG1"/>
    <mergeCell ref="F1:Q1"/>
    <mergeCell ref="R1:AC1"/>
    <mergeCell ref="A1:B1"/>
    <mergeCell ref="E1:E2"/>
    <mergeCell ref="A49:E4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70"/>
  <sheetViews>
    <sheetView showGridLines="0" tabSelected="1" workbookViewId="0">
      <selection activeCell="B37" sqref="B37"/>
    </sheetView>
  </sheetViews>
  <sheetFormatPr baseColWidth="10" defaultColWidth="10.875" defaultRowHeight="15.75" x14ac:dyDescent="0.25"/>
  <cols>
    <col min="1" max="1" width="35.125" bestFit="1" customWidth="1"/>
    <col min="2" max="2" width="12.5" bestFit="1" customWidth="1"/>
    <col min="3" max="4" width="12.5" customWidth="1"/>
    <col min="5" max="5" width="26" bestFit="1" customWidth="1"/>
    <col min="6" max="6" width="16.75" bestFit="1" customWidth="1"/>
    <col min="7" max="29" width="15" bestFit="1" customWidth="1"/>
    <col min="31" max="31" width="26" bestFit="1" customWidth="1"/>
    <col min="32" max="32" width="16.75" bestFit="1" customWidth="1"/>
    <col min="33" max="33" width="14.75" bestFit="1" customWidth="1"/>
  </cols>
  <sheetData>
    <row r="1" spans="1:33" x14ac:dyDescent="0.25">
      <c r="A1" s="125" t="s">
        <v>76</v>
      </c>
      <c r="B1" s="125"/>
      <c r="C1" s="57"/>
      <c r="D1" s="57"/>
      <c r="E1" s="122" t="s">
        <v>122</v>
      </c>
      <c r="F1" s="122" t="s">
        <v>75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 t="s">
        <v>74</v>
      </c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E1" s="122"/>
      <c r="AF1" s="123" t="s">
        <v>75</v>
      </c>
      <c r="AG1" s="124"/>
    </row>
    <row r="2" spans="1:33" x14ac:dyDescent="0.25">
      <c r="A2" s="34" t="s">
        <v>81</v>
      </c>
      <c r="B2" s="29"/>
      <c r="C2" s="50"/>
      <c r="D2" s="50"/>
      <c r="E2" s="122"/>
      <c r="F2" s="60">
        <v>1</v>
      </c>
      <c r="G2" s="60">
        <v>2</v>
      </c>
      <c r="H2" s="60">
        <v>3</v>
      </c>
      <c r="I2" s="60">
        <v>4</v>
      </c>
      <c r="J2" s="60">
        <v>5</v>
      </c>
      <c r="K2" s="60">
        <v>6</v>
      </c>
      <c r="L2" s="60">
        <v>7</v>
      </c>
      <c r="M2" s="60">
        <v>8</v>
      </c>
      <c r="N2" s="60">
        <v>9</v>
      </c>
      <c r="O2" s="60">
        <v>10</v>
      </c>
      <c r="P2" s="60">
        <v>11</v>
      </c>
      <c r="Q2" s="60">
        <v>12</v>
      </c>
      <c r="R2" s="60">
        <v>13</v>
      </c>
      <c r="S2" s="60">
        <v>14</v>
      </c>
      <c r="T2" s="60">
        <v>15</v>
      </c>
      <c r="U2" s="60">
        <v>16</v>
      </c>
      <c r="V2" s="60">
        <v>17</v>
      </c>
      <c r="W2" s="60">
        <v>18</v>
      </c>
      <c r="X2" s="60">
        <v>19</v>
      </c>
      <c r="Y2" s="60">
        <v>20</v>
      </c>
      <c r="Z2" s="60">
        <v>21</v>
      </c>
      <c r="AA2" s="60">
        <v>22</v>
      </c>
      <c r="AB2" s="60">
        <v>23</v>
      </c>
      <c r="AC2" s="60">
        <v>24</v>
      </c>
      <c r="AE2" s="122"/>
      <c r="AF2" s="60">
        <v>1</v>
      </c>
      <c r="AG2" s="60">
        <v>2</v>
      </c>
    </row>
    <row r="3" spans="1:33" x14ac:dyDescent="0.25">
      <c r="A3" s="40" t="s">
        <v>73</v>
      </c>
      <c r="B3" s="39">
        <f>B4*600</f>
        <v>7800</v>
      </c>
      <c r="C3" s="51"/>
      <c r="D3" s="51"/>
      <c r="E3" s="61" t="s">
        <v>119</v>
      </c>
      <c r="F3" s="70">
        <f>F24</f>
        <v>-801541914.18065941</v>
      </c>
      <c r="G3" s="70">
        <f t="shared" ref="G3:AC3" si="0">G24</f>
        <v>-1000959243.7015384</v>
      </c>
      <c r="H3" s="70">
        <f t="shared" si="0"/>
        <v>-1213927198.2224176</v>
      </c>
      <c r="I3" s="70">
        <f t="shared" si="0"/>
        <v>100799366.85399991</v>
      </c>
      <c r="J3" s="70">
        <f t="shared" si="0"/>
        <v>100799366.85399991</v>
      </c>
      <c r="K3" s="70">
        <f t="shared" si="0"/>
        <v>100799366.85399991</v>
      </c>
      <c r="L3" s="70">
        <f t="shared" si="0"/>
        <v>100799366.85399991</v>
      </c>
      <c r="M3" s="70">
        <f t="shared" si="0"/>
        <v>100799366.85399991</v>
      </c>
      <c r="N3" s="70">
        <f t="shared" si="0"/>
        <v>100799366.85399991</v>
      </c>
      <c r="O3" s="70">
        <f t="shared" si="0"/>
        <v>100799366.85399991</v>
      </c>
      <c r="P3" s="70">
        <f t="shared" si="0"/>
        <v>100799366.85399991</v>
      </c>
      <c r="Q3" s="70">
        <f t="shared" si="0"/>
        <v>100799366.85399991</v>
      </c>
      <c r="R3" s="70">
        <f t="shared" si="0"/>
        <v>105073881.52815986</v>
      </c>
      <c r="S3" s="70">
        <f t="shared" si="0"/>
        <v>105073881.52815986</v>
      </c>
      <c r="T3" s="70">
        <f t="shared" si="0"/>
        <v>105073881.52815986</v>
      </c>
      <c r="U3" s="70">
        <f t="shared" si="0"/>
        <v>105073881.52815986</v>
      </c>
      <c r="V3" s="70">
        <f t="shared" si="0"/>
        <v>105073881.52815986</v>
      </c>
      <c r="W3" s="70">
        <f t="shared" si="0"/>
        <v>105073881.52815986</v>
      </c>
      <c r="X3" s="70">
        <f t="shared" si="0"/>
        <v>105073881.52815986</v>
      </c>
      <c r="Y3" s="70">
        <f t="shared" si="0"/>
        <v>105073881.52815986</v>
      </c>
      <c r="Z3" s="70">
        <f t="shared" si="0"/>
        <v>105073881.52815986</v>
      </c>
      <c r="AA3" s="70">
        <f t="shared" si="0"/>
        <v>630014106.56915593</v>
      </c>
      <c r="AB3" s="70">
        <f t="shared" si="0"/>
        <v>760834179.71078229</v>
      </c>
      <c r="AC3" s="70">
        <f t="shared" si="0"/>
        <v>891654252.85240865</v>
      </c>
      <c r="AE3" s="61" t="s">
        <v>119</v>
      </c>
      <c r="AF3" s="70">
        <f>SUM(F3:Q3)</f>
        <v>-2109234054.4186146</v>
      </c>
      <c r="AG3" s="70">
        <f>SUM(R3:AC3)</f>
        <v>3228167472.8857851</v>
      </c>
    </row>
    <row r="4" spans="1:33" x14ac:dyDescent="0.25">
      <c r="A4" s="40" t="s">
        <v>68</v>
      </c>
      <c r="B4" s="39">
        <v>13</v>
      </c>
      <c r="C4" s="51"/>
      <c r="D4" s="51"/>
      <c r="E4" s="62" t="s">
        <v>84</v>
      </c>
      <c r="F4" s="67">
        <v>0</v>
      </c>
      <c r="G4" s="67">
        <v>0</v>
      </c>
      <c r="H4" s="67">
        <v>0</v>
      </c>
      <c r="I4" s="67">
        <f>((($B$5*$B$8)*(1-$B$9))*$B$15)*$B$16</f>
        <v>1484116071.4285715</v>
      </c>
      <c r="J4" s="67">
        <f t="shared" ref="J4:Q4" si="1">((($B$5*$B$8)*$B$16)*$B$15)*(1-$B$9)</f>
        <v>1484116071.4285715</v>
      </c>
      <c r="K4" s="67">
        <f t="shared" si="1"/>
        <v>1484116071.4285715</v>
      </c>
      <c r="L4" s="67">
        <f t="shared" si="1"/>
        <v>1484116071.4285715</v>
      </c>
      <c r="M4" s="67">
        <f t="shared" si="1"/>
        <v>1484116071.4285715</v>
      </c>
      <c r="N4" s="67">
        <f t="shared" si="1"/>
        <v>1484116071.4285715</v>
      </c>
      <c r="O4" s="67">
        <f t="shared" si="1"/>
        <v>1484116071.4285715</v>
      </c>
      <c r="P4" s="67">
        <f t="shared" si="1"/>
        <v>1484116071.4285715</v>
      </c>
      <c r="Q4" s="67">
        <f t="shared" si="1"/>
        <v>1484116071.4285715</v>
      </c>
      <c r="R4" s="67">
        <f t="shared" ref="R4:AC4" si="2">((($B$5*$B$8)*$B$16)*($B$15*(1+$B$10))*(1-$B$9))</f>
        <v>1543480714.2857141</v>
      </c>
      <c r="S4" s="67">
        <f t="shared" si="2"/>
        <v>1543480714.2857141</v>
      </c>
      <c r="T4" s="67">
        <f t="shared" si="2"/>
        <v>1543480714.2857141</v>
      </c>
      <c r="U4" s="67">
        <f t="shared" si="2"/>
        <v>1543480714.2857141</v>
      </c>
      <c r="V4" s="67">
        <f t="shared" si="2"/>
        <v>1543480714.2857141</v>
      </c>
      <c r="W4" s="67">
        <f t="shared" si="2"/>
        <v>1543480714.2857141</v>
      </c>
      <c r="X4" s="67">
        <f t="shared" si="2"/>
        <v>1543480714.2857141</v>
      </c>
      <c r="Y4" s="67">
        <f t="shared" si="2"/>
        <v>1543480714.2857141</v>
      </c>
      <c r="Z4" s="67">
        <f t="shared" si="2"/>
        <v>1543480714.2857141</v>
      </c>
      <c r="AA4" s="67">
        <f t="shared" si="2"/>
        <v>1543480714.2857141</v>
      </c>
      <c r="AB4" s="67">
        <f t="shared" si="2"/>
        <v>1543480714.2857141</v>
      </c>
      <c r="AC4" s="67">
        <f t="shared" si="2"/>
        <v>1543480714.2857141</v>
      </c>
      <c r="AE4" s="62" t="s">
        <v>84</v>
      </c>
      <c r="AF4" s="67">
        <f t="shared" ref="AF4:AF25" si="3">SUM(F4:Q4)</f>
        <v>13357044642.857143</v>
      </c>
      <c r="AG4" s="67">
        <f t="shared" ref="AG4:AG25" si="4">SUM(R4:AC4)</f>
        <v>18521768571.428566</v>
      </c>
    </row>
    <row r="5" spans="1:33" x14ac:dyDescent="0.25">
      <c r="A5" s="40" t="s">
        <v>82</v>
      </c>
      <c r="B5" s="39">
        <f>B3/B4</f>
        <v>600</v>
      </c>
      <c r="C5" s="51"/>
      <c r="D5" s="51"/>
      <c r="E5" s="62" t="s">
        <v>109</v>
      </c>
      <c r="F5" s="67">
        <f>F6+F12</f>
        <v>-781152243.8509891</v>
      </c>
      <c r="G5" s="67">
        <f t="shared" ref="G5:AC5" si="5">G6+G12</f>
        <v>-978987155.78945053</v>
      </c>
      <c r="H5" s="67">
        <f t="shared" si="5"/>
        <v>-1190372692.7279122</v>
      </c>
      <c r="I5" s="67">
        <f t="shared" si="5"/>
        <v>-1309152112.3714287</v>
      </c>
      <c r="J5" s="67">
        <f t="shared" si="5"/>
        <v>-1309152112.3714287</v>
      </c>
      <c r="K5" s="67">
        <f t="shared" si="5"/>
        <v>-1309152112.3714287</v>
      </c>
      <c r="L5" s="67">
        <f t="shared" si="5"/>
        <v>-1309152112.3714287</v>
      </c>
      <c r="M5" s="67">
        <f t="shared" si="5"/>
        <v>-1309152112.3714287</v>
      </c>
      <c r="N5" s="67">
        <f t="shared" si="5"/>
        <v>-1309152112.3714287</v>
      </c>
      <c r="O5" s="67">
        <f t="shared" si="5"/>
        <v>-1309152112.3714287</v>
      </c>
      <c r="P5" s="67">
        <f t="shared" si="5"/>
        <v>-1309152112.3714287</v>
      </c>
      <c r="Q5" s="67">
        <f t="shared" si="5"/>
        <v>-1309152112.3714287</v>
      </c>
      <c r="R5" s="67">
        <f t="shared" si="5"/>
        <v>-1361518196.8662858</v>
      </c>
      <c r="S5" s="67">
        <f t="shared" si="5"/>
        <v>-1361518196.8662858</v>
      </c>
      <c r="T5" s="67">
        <f t="shared" si="5"/>
        <v>-1361518196.8662858</v>
      </c>
      <c r="U5" s="67">
        <f t="shared" si="5"/>
        <v>-1361518196.8662858</v>
      </c>
      <c r="V5" s="67">
        <f t="shared" si="5"/>
        <v>-1361518196.8662858</v>
      </c>
      <c r="W5" s="67">
        <f t="shared" si="5"/>
        <v>-1361518196.8662858</v>
      </c>
      <c r="X5" s="67">
        <f t="shared" si="5"/>
        <v>-1361518196.8662858</v>
      </c>
      <c r="Y5" s="67">
        <f t="shared" si="5"/>
        <v>-1361518196.8662858</v>
      </c>
      <c r="Z5" s="67">
        <f t="shared" si="5"/>
        <v>-1361518196.8662858</v>
      </c>
      <c r="AA5" s="67">
        <f t="shared" si="5"/>
        <v>-578025323.67076921</v>
      </c>
      <c r="AB5" s="67">
        <f t="shared" si="5"/>
        <v>-382771483.16087914</v>
      </c>
      <c r="AC5" s="67">
        <f t="shared" si="5"/>
        <v>-187517642.650989</v>
      </c>
      <c r="AE5" s="62" t="s">
        <v>109</v>
      </c>
      <c r="AF5" s="67">
        <f t="shared" si="3"/>
        <v>-14732881103.711212</v>
      </c>
      <c r="AG5" s="67">
        <f t="shared" si="4"/>
        <v>-13401978221.279207</v>
      </c>
    </row>
    <row r="6" spans="1:33" x14ac:dyDescent="0.25">
      <c r="A6" s="40" t="s">
        <v>94</v>
      </c>
      <c r="B6" s="29">
        <v>2000</v>
      </c>
      <c r="C6" s="50"/>
      <c r="D6" s="50"/>
      <c r="E6" s="63" t="s">
        <v>113</v>
      </c>
      <c r="F6" s="68">
        <f>SUM(F7:F9)</f>
        <v>-742609773.8509891</v>
      </c>
      <c r="G6" s="68">
        <f t="shared" ref="G6:AC6" si="6">SUM(G7:G9)</f>
        <v>-940444685.78945053</v>
      </c>
      <c r="H6" s="68">
        <f t="shared" si="6"/>
        <v>-1151830222.7279122</v>
      </c>
      <c r="I6" s="68">
        <f t="shared" si="6"/>
        <v>-1270609642.3714287</v>
      </c>
      <c r="J6" s="68">
        <f t="shared" si="6"/>
        <v>-1270609642.3714287</v>
      </c>
      <c r="K6" s="68">
        <f t="shared" si="6"/>
        <v>-1270609642.3714287</v>
      </c>
      <c r="L6" s="68">
        <f t="shared" si="6"/>
        <v>-1270609642.3714287</v>
      </c>
      <c r="M6" s="68">
        <f t="shared" si="6"/>
        <v>-1270609642.3714287</v>
      </c>
      <c r="N6" s="68">
        <f t="shared" si="6"/>
        <v>-1270609642.3714287</v>
      </c>
      <c r="O6" s="68">
        <f t="shared" si="6"/>
        <v>-1270609642.3714287</v>
      </c>
      <c r="P6" s="68">
        <f t="shared" si="6"/>
        <v>-1270609642.3714287</v>
      </c>
      <c r="Q6" s="68">
        <f t="shared" si="6"/>
        <v>-1270609642.3714287</v>
      </c>
      <c r="R6" s="68">
        <f t="shared" si="6"/>
        <v>-1321434028.0662858</v>
      </c>
      <c r="S6" s="68">
        <f t="shared" si="6"/>
        <v>-1321434028.0662858</v>
      </c>
      <c r="T6" s="68">
        <f t="shared" si="6"/>
        <v>-1321434028.0662858</v>
      </c>
      <c r="U6" s="68">
        <f t="shared" si="6"/>
        <v>-1321434028.0662858</v>
      </c>
      <c r="V6" s="68">
        <f t="shared" si="6"/>
        <v>-1321434028.0662858</v>
      </c>
      <c r="W6" s="68">
        <f t="shared" si="6"/>
        <v>-1321434028.0662858</v>
      </c>
      <c r="X6" s="68">
        <f t="shared" si="6"/>
        <v>-1321434028.0662858</v>
      </c>
      <c r="Y6" s="68">
        <f t="shared" si="6"/>
        <v>-1321434028.0662858</v>
      </c>
      <c r="Z6" s="68">
        <f t="shared" si="6"/>
        <v>-1321434028.0662858</v>
      </c>
      <c r="AA6" s="68">
        <f t="shared" si="6"/>
        <v>-537941154.87076926</v>
      </c>
      <c r="AB6" s="68">
        <f t="shared" si="6"/>
        <v>-342687314.36087912</v>
      </c>
      <c r="AC6" s="68">
        <f t="shared" si="6"/>
        <v>-147433473.85098901</v>
      </c>
      <c r="AE6" s="63" t="s">
        <v>113</v>
      </c>
      <c r="AF6" s="68">
        <f t="shared" si="3"/>
        <v>-14270371463.711212</v>
      </c>
      <c r="AG6" s="68">
        <f t="shared" si="4"/>
        <v>-12920968195.679211</v>
      </c>
    </row>
    <row r="7" spans="1:33" x14ac:dyDescent="0.25">
      <c r="A7" s="40" t="s">
        <v>83</v>
      </c>
      <c r="B7" s="58">
        <v>4000</v>
      </c>
      <c r="C7" s="51"/>
      <c r="D7" s="51"/>
      <c r="E7" s="64" t="s">
        <v>86</v>
      </c>
      <c r="F7" s="69">
        <f>-(($B$5*B64)*$B$23)*$B$20</f>
        <v>-125287880.99384615</v>
      </c>
      <c r="G7" s="69">
        <f>-(($B$5*C64)*$B$23)*$B$20</f>
        <v>-320541721.50373626</v>
      </c>
      <c r="H7" s="69">
        <f>-(($B$5*D64)*$B$23)*$B$20</f>
        <v>-515795562.0136264</v>
      </c>
      <c r="I7" s="69">
        <f>-(($B$5*$E$64)*$B$23)*$B$20</f>
        <v>-634574981.65714288</v>
      </c>
      <c r="J7" s="69">
        <f t="shared" ref="J7:Q7" si="7">-(($B$5*$E$64)*$B$23)*$B$20</f>
        <v>-634574981.65714288</v>
      </c>
      <c r="K7" s="69">
        <f t="shared" si="7"/>
        <v>-634574981.65714288</v>
      </c>
      <c r="L7" s="69">
        <f t="shared" si="7"/>
        <v>-634574981.65714288</v>
      </c>
      <c r="M7" s="69">
        <f t="shared" si="7"/>
        <v>-634574981.65714288</v>
      </c>
      <c r="N7" s="69">
        <f t="shared" si="7"/>
        <v>-634574981.65714288</v>
      </c>
      <c r="O7" s="69">
        <f t="shared" si="7"/>
        <v>-634574981.65714288</v>
      </c>
      <c r="P7" s="69">
        <f t="shared" si="7"/>
        <v>-634574981.65714288</v>
      </c>
      <c r="Q7" s="69">
        <f t="shared" si="7"/>
        <v>-634574981.65714288</v>
      </c>
      <c r="R7" s="69">
        <f>-(($B$5*$E$64)*$B$23)*($B$20*(1+$B$10))</f>
        <v>-659957980.92342854</v>
      </c>
      <c r="S7" s="69">
        <f t="shared" ref="S7:Z7" si="8">-(($B$5*$E$64)*$B$23)*($B$20*(1+$B$10))</f>
        <v>-659957980.92342854</v>
      </c>
      <c r="T7" s="69">
        <f t="shared" si="8"/>
        <v>-659957980.92342854</v>
      </c>
      <c r="U7" s="69">
        <f t="shared" si="8"/>
        <v>-659957980.92342854</v>
      </c>
      <c r="V7" s="69">
        <f t="shared" si="8"/>
        <v>-659957980.92342854</v>
      </c>
      <c r="W7" s="69">
        <f t="shared" si="8"/>
        <v>-659957980.92342854</v>
      </c>
      <c r="X7" s="69">
        <f t="shared" si="8"/>
        <v>-659957980.92342854</v>
      </c>
      <c r="Y7" s="69">
        <f t="shared" si="8"/>
        <v>-659957980.92342854</v>
      </c>
      <c r="Z7" s="69">
        <f t="shared" si="8"/>
        <v>-659957980.92342854</v>
      </c>
      <c r="AA7" s="69">
        <f>-(($B$5*D64)*$B$23)*$B$20</f>
        <v>-515795562.0136264</v>
      </c>
      <c r="AB7" s="69">
        <f>-(($B$5*C64)*$B$23)*$B$20</f>
        <v>-320541721.50373626</v>
      </c>
      <c r="AC7" s="69">
        <f>-(($B$5*B64)*$B$23)*$B$20</f>
        <v>-125287880.99384615</v>
      </c>
      <c r="AE7" s="64" t="s">
        <v>86</v>
      </c>
      <c r="AF7" s="69">
        <f t="shared" si="3"/>
        <v>-6672799999.4254932</v>
      </c>
      <c r="AG7" s="69">
        <f t="shared" si="4"/>
        <v>-6901246992.8220654</v>
      </c>
    </row>
    <row r="8" spans="1:33" x14ac:dyDescent="0.25">
      <c r="A8" s="40" t="s">
        <v>63</v>
      </c>
      <c r="B8" s="35">
        <f>(365/12)/7</f>
        <v>4.3452380952380958</v>
      </c>
      <c r="C8" s="52"/>
      <c r="D8" s="52"/>
      <c r="E8" s="64" t="s">
        <v>107</v>
      </c>
      <c r="F8" s="69">
        <f>-($B$5*$B$8)*$B$26</f>
        <v>-614740821.42857146</v>
      </c>
      <c r="G8" s="69">
        <f>-($B$5*$B$8)*$B$26</f>
        <v>-614740821.42857146</v>
      </c>
      <c r="H8" s="69">
        <f t="shared" ref="H8:Q8" si="9">(($B$5*$B$8)*$B$26)*-1</f>
        <v>-614740821.42857146</v>
      </c>
      <c r="I8" s="69">
        <f t="shared" si="9"/>
        <v>-614740821.42857146</v>
      </c>
      <c r="J8" s="69">
        <f t="shared" si="9"/>
        <v>-614740821.42857146</v>
      </c>
      <c r="K8" s="69">
        <f t="shared" si="9"/>
        <v>-614740821.42857146</v>
      </c>
      <c r="L8" s="69">
        <f t="shared" si="9"/>
        <v>-614740821.42857146</v>
      </c>
      <c r="M8" s="69">
        <f t="shared" si="9"/>
        <v>-614740821.42857146</v>
      </c>
      <c r="N8" s="69">
        <f t="shared" si="9"/>
        <v>-614740821.42857146</v>
      </c>
      <c r="O8" s="69">
        <f t="shared" si="9"/>
        <v>-614740821.42857146</v>
      </c>
      <c r="P8" s="69">
        <f t="shared" si="9"/>
        <v>-614740821.42857146</v>
      </c>
      <c r="Q8" s="69">
        <f t="shared" si="9"/>
        <v>-614740821.42857146</v>
      </c>
      <c r="R8" s="69">
        <f t="shared" ref="R8:Z8" si="10">(($B$5*$B$8)*($B$26*(1+$B$10)))*-1</f>
        <v>-639330454.28571439</v>
      </c>
      <c r="S8" s="69">
        <f t="shared" si="10"/>
        <v>-639330454.28571439</v>
      </c>
      <c r="T8" s="69">
        <f t="shared" si="10"/>
        <v>-639330454.28571439</v>
      </c>
      <c r="U8" s="69">
        <f t="shared" si="10"/>
        <v>-639330454.28571439</v>
      </c>
      <c r="V8" s="69">
        <f t="shared" si="10"/>
        <v>-639330454.28571439</v>
      </c>
      <c r="W8" s="69">
        <f t="shared" si="10"/>
        <v>-639330454.28571439</v>
      </c>
      <c r="X8" s="69">
        <f t="shared" si="10"/>
        <v>-639330454.28571439</v>
      </c>
      <c r="Y8" s="69">
        <f t="shared" si="10"/>
        <v>-639330454.28571439</v>
      </c>
      <c r="Z8" s="69">
        <f t="shared" si="10"/>
        <v>-639330454.28571439</v>
      </c>
      <c r="AA8" s="69"/>
      <c r="AB8" s="69"/>
      <c r="AC8" s="69"/>
      <c r="AE8" s="64" t="s">
        <v>107</v>
      </c>
      <c r="AF8" s="69">
        <f t="shared" si="3"/>
        <v>-7376889857.1428595</v>
      </c>
      <c r="AG8" s="69">
        <f t="shared" si="4"/>
        <v>-5753974088.5714283</v>
      </c>
    </row>
    <row r="9" spans="1:33" x14ac:dyDescent="0.25">
      <c r="A9" s="40" t="s">
        <v>59</v>
      </c>
      <c r="B9" s="32">
        <v>0.01</v>
      </c>
      <c r="C9" s="53"/>
      <c r="D9" s="51"/>
      <c r="E9" s="64" t="s">
        <v>108</v>
      </c>
      <c r="F9" s="69">
        <f>SUM(F10:F11)</f>
        <v>-2581071.4285714291</v>
      </c>
      <c r="G9" s="69">
        <f t="shared" ref="G9:AC9" si="11">SUM(G10:G11)</f>
        <v>-5162142.8571428582</v>
      </c>
      <c r="H9" s="69">
        <f t="shared" si="11"/>
        <v>-21293839.285714291</v>
      </c>
      <c r="I9" s="69">
        <f t="shared" si="11"/>
        <v>-21293839.285714291</v>
      </c>
      <c r="J9" s="69">
        <f t="shared" si="11"/>
        <v>-21293839.285714291</v>
      </c>
      <c r="K9" s="69">
        <f t="shared" si="11"/>
        <v>-21293839.285714291</v>
      </c>
      <c r="L9" s="69">
        <f t="shared" si="11"/>
        <v>-21293839.285714291</v>
      </c>
      <c r="M9" s="69">
        <f t="shared" si="11"/>
        <v>-21293839.285714291</v>
      </c>
      <c r="N9" s="69">
        <f t="shared" si="11"/>
        <v>-21293839.285714291</v>
      </c>
      <c r="O9" s="69">
        <f t="shared" si="11"/>
        <v>-21293839.285714291</v>
      </c>
      <c r="P9" s="69">
        <f t="shared" si="11"/>
        <v>-21293839.285714291</v>
      </c>
      <c r="Q9" s="69">
        <f t="shared" si="11"/>
        <v>-21293839.285714291</v>
      </c>
      <c r="R9" s="69">
        <f t="shared" si="11"/>
        <v>-22145592.857142858</v>
      </c>
      <c r="S9" s="69">
        <f t="shared" si="11"/>
        <v>-22145592.857142858</v>
      </c>
      <c r="T9" s="69">
        <f t="shared" si="11"/>
        <v>-22145592.857142858</v>
      </c>
      <c r="U9" s="69">
        <f t="shared" si="11"/>
        <v>-22145592.857142858</v>
      </c>
      <c r="V9" s="69">
        <f t="shared" si="11"/>
        <v>-22145592.857142858</v>
      </c>
      <c r="W9" s="69">
        <f t="shared" si="11"/>
        <v>-22145592.857142858</v>
      </c>
      <c r="X9" s="69">
        <f t="shared" si="11"/>
        <v>-22145592.857142858</v>
      </c>
      <c r="Y9" s="69">
        <f t="shared" si="11"/>
        <v>-22145592.857142858</v>
      </c>
      <c r="Z9" s="69">
        <f t="shared" si="11"/>
        <v>-22145592.857142858</v>
      </c>
      <c r="AA9" s="69">
        <f t="shared" si="11"/>
        <v>-22145592.857142858</v>
      </c>
      <c r="AB9" s="69">
        <f t="shared" si="11"/>
        <v>-22145592.857142858</v>
      </c>
      <c r="AC9" s="69">
        <f t="shared" si="11"/>
        <v>-22145592.857142858</v>
      </c>
      <c r="AE9" s="64" t="s">
        <v>108</v>
      </c>
      <c r="AF9" s="69">
        <f t="shared" si="3"/>
        <v>-220681607.14285725</v>
      </c>
      <c r="AG9" s="69">
        <f t="shared" si="4"/>
        <v>-265747114.28571436</v>
      </c>
    </row>
    <row r="10" spans="1:33" x14ac:dyDescent="0.25">
      <c r="A10" s="40" t="s">
        <v>121</v>
      </c>
      <c r="B10" s="32">
        <v>0.04</v>
      </c>
      <c r="C10" s="50"/>
      <c r="D10" s="50"/>
      <c r="E10" s="65" t="s">
        <v>38</v>
      </c>
      <c r="F10" s="69">
        <f>-$B$28*((($B$5*(1-$B$9))*($B$8*F2)))</f>
        <v>-2581071.4285714291</v>
      </c>
      <c r="G10" s="69">
        <f>-$B$28*((($B$5*(1-$B$9))*($B$8*G2)))</f>
        <v>-5162142.8571428582</v>
      </c>
      <c r="H10" s="69">
        <f t="shared" ref="H10:Q10" si="12">($B$28*((($B$5*(1-$B$9))*($B$8*$H$2))))*-1</f>
        <v>-7743214.2857142873</v>
      </c>
      <c r="I10" s="69">
        <f t="shared" si="12"/>
        <v>-7743214.2857142873</v>
      </c>
      <c r="J10" s="69">
        <f t="shared" si="12"/>
        <v>-7743214.2857142873</v>
      </c>
      <c r="K10" s="69">
        <f t="shared" si="12"/>
        <v>-7743214.2857142873</v>
      </c>
      <c r="L10" s="69">
        <f t="shared" si="12"/>
        <v>-7743214.2857142873</v>
      </c>
      <c r="M10" s="69">
        <f t="shared" si="12"/>
        <v>-7743214.2857142873</v>
      </c>
      <c r="N10" s="69">
        <f t="shared" si="12"/>
        <v>-7743214.2857142873</v>
      </c>
      <c r="O10" s="69">
        <f t="shared" si="12"/>
        <v>-7743214.2857142873</v>
      </c>
      <c r="P10" s="69">
        <f t="shared" si="12"/>
        <v>-7743214.2857142873</v>
      </c>
      <c r="Q10" s="69">
        <f t="shared" si="12"/>
        <v>-7743214.2857142873</v>
      </c>
      <c r="R10" s="69">
        <f t="shared" ref="R10:AC10" si="13">(($B$28*(1+$B$10))*((($B$5*(1-$B$9))*($B$8*$H$2))))*-1</f>
        <v>-8052942.8571428582</v>
      </c>
      <c r="S10" s="69">
        <f t="shared" si="13"/>
        <v>-8052942.8571428582</v>
      </c>
      <c r="T10" s="69">
        <f t="shared" si="13"/>
        <v>-8052942.8571428582</v>
      </c>
      <c r="U10" s="69">
        <f t="shared" si="13"/>
        <v>-8052942.8571428582</v>
      </c>
      <c r="V10" s="69">
        <f t="shared" si="13"/>
        <v>-8052942.8571428582</v>
      </c>
      <c r="W10" s="69">
        <f t="shared" si="13"/>
        <v>-8052942.8571428582</v>
      </c>
      <c r="X10" s="69">
        <f t="shared" si="13"/>
        <v>-8052942.8571428582</v>
      </c>
      <c r="Y10" s="69">
        <f t="shared" si="13"/>
        <v>-8052942.8571428582</v>
      </c>
      <c r="Z10" s="69">
        <f t="shared" si="13"/>
        <v>-8052942.8571428582</v>
      </c>
      <c r="AA10" s="69">
        <f t="shared" si="13"/>
        <v>-8052942.8571428582</v>
      </c>
      <c r="AB10" s="69">
        <f t="shared" si="13"/>
        <v>-8052942.8571428582</v>
      </c>
      <c r="AC10" s="69">
        <f t="shared" si="13"/>
        <v>-8052942.8571428582</v>
      </c>
      <c r="AE10" s="65" t="s">
        <v>38</v>
      </c>
      <c r="AF10" s="69">
        <f t="shared" si="3"/>
        <v>-85175357.142857134</v>
      </c>
      <c r="AG10" s="69">
        <f t="shared" si="4"/>
        <v>-96635314.285714328</v>
      </c>
    </row>
    <row r="11" spans="1:33" x14ac:dyDescent="0.25">
      <c r="A11" s="40" t="s">
        <v>138</v>
      </c>
      <c r="B11" s="39">
        <f>4+3+2+1</f>
        <v>10</v>
      </c>
      <c r="C11" s="84">
        <v>4</v>
      </c>
      <c r="D11" s="51"/>
      <c r="E11" s="65" t="s">
        <v>98</v>
      </c>
      <c r="F11" s="69">
        <v>0</v>
      </c>
      <c r="G11" s="69">
        <v>0</v>
      </c>
      <c r="H11" s="69">
        <f t="shared" ref="H11:Q11" si="14">($B$29*(((($B$5*0.5)*(1-$B$9))*($B$8))))*-1</f>
        <v>-13550625.000000002</v>
      </c>
      <c r="I11" s="69">
        <f t="shared" si="14"/>
        <v>-13550625.000000002</v>
      </c>
      <c r="J11" s="69">
        <f t="shared" si="14"/>
        <v>-13550625.000000002</v>
      </c>
      <c r="K11" s="69">
        <f t="shared" si="14"/>
        <v>-13550625.000000002</v>
      </c>
      <c r="L11" s="69">
        <f t="shared" si="14"/>
        <v>-13550625.000000002</v>
      </c>
      <c r="M11" s="69">
        <f t="shared" si="14"/>
        <v>-13550625.000000002</v>
      </c>
      <c r="N11" s="69">
        <f t="shared" si="14"/>
        <v>-13550625.000000002</v>
      </c>
      <c r="O11" s="69">
        <f t="shared" si="14"/>
        <v>-13550625.000000002</v>
      </c>
      <c r="P11" s="69">
        <f t="shared" si="14"/>
        <v>-13550625.000000002</v>
      </c>
      <c r="Q11" s="69">
        <f t="shared" si="14"/>
        <v>-13550625.000000002</v>
      </c>
      <c r="R11" s="69">
        <f t="shared" ref="R11:AC11" si="15">(($B$29*(1+$B$10))*(((($B$5*0.5)*(1-$B$9))*($B$8))))*-1</f>
        <v>-14092650.000000002</v>
      </c>
      <c r="S11" s="69">
        <f t="shared" si="15"/>
        <v>-14092650.000000002</v>
      </c>
      <c r="T11" s="69">
        <f t="shared" si="15"/>
        <v>-14092650.000000002</v>
      </c>
      <c r="U11" s="69">
        <f t="shared" si="15"/>
        <v>-14092650.000000002</v>
      </c>
      <c r="V11" s="69">
        <f t="shared" si="15"/>
        <v>-14092650.000000002</v>
      </c>
      <c r="W11" s="69">
        <f t="shared" si="15"/>
        <v>-14092650.000000002</v>
      </c>
      <c r="X11" s="69">
        <f t="shared" si="15"/>
        <v>-14092650.000000002</v>
      </c>
      <c r="Y11" s="69">
        <f t="shared" si="15"/>
        <v>-14092650.000000002</v>
      </c>
      <c r="Z11" s="69">
        <f t="shared" si="15"/>
        <v>-14092650.000000002</v>
      </c>
      <c r="AA11" s="69">
        <f t="shared" si="15"/>
        <v>-14092650.000000002</v>
      </c>
      <c r="AB11" s="69">
        <f t="shared" si="15"/>
        <v>-14092650.000000002</v>
      </c>
      <c r="AC11" s="69">
        <f t="shared" si="15"/>
        <v>-14092650.000000002</v>
      </c>
      <c r="AE11" s="65" t="s">
        <v>98</v>
      </c>
      <c r="AF11" s="69">
        <f t="shared" si="3"/>
        <v>-135506250.00000003</v>
      </c>
      <c r="AG11" s="69">
        <f t="shared" si="4"/>
        <v>-169111800.00000003</v>
      </c>
    </row>
    <row r="12" spans="1:33" x14ac:dyDescent="0.25">
      <c r="A12" s="40" t="s">
        <v>139</v>
      </c>
      <c r="B12" s="39">
        <f>8+7+6+5+4+3+2+1</f>
        <v>36</v>
      </c>
      <c r="C12" s="50"/>
      <c r="D12" s="50"/>
      <c r="E12" s="63" t="s">
        <v>114</v>
      </c>
      <c r="F12" s="68">
        <f>SUM(F13:F14)</f>
        <v>-38542470</v>
      </c>
      <c r="G12" s="68">
        <f t="shared" ref="G12:AC12" si="16">SUM(G13:G14)</f>
        <v>-38542470</v>
      </c>
      <c r="H12" s="68">
        <f t="shared" si="16"/>
        <v>-38542470</v>
      </c>
      <c r="I12" s="68">
        <f t="shared" si="16"/>
        <v>-38542470</v>
      </c>
      <c r="J12" s="68">
        <f t="shared" si="16"/>
        <v>-38542470</v>
      </c>
      <c r="K12" s="68">
        <f t="shared" si="16"/>
        <v>-38542470</v>
      </c>
      <c r="L12" s="68">
        <f t="shared" si="16"/>
        <v>-38542470</v>
      </c>
      <c r="M12" s="68">
        <f t="shared" si="16"/>
        <v>-38542470</v>
      </c>
      <c r="N12" s="68">
        <f t="shared" si="16"/>
        <v>-38542470</v>
      </c>
      <c r="O12" s="68">
        <f t="shared" si="16"/>
        <v>-38542470</v>
      </c>
      <c r="P12" s="68">
        <f t="shared" si="16"/>
        <v>-38542470</v>
      </c>
      <c r="Q12" s="68">
        <f t="shared" si="16"/>
        <v>-38542470</v>
      </c>
      <c r="R12" s="68">
        <f t="shared" si="16"/>
        <v>-40084168.799999997</v>
      </c>
      <c r="S12" s="68">
        <f t="shared" si="16"/>
        <v>-40084168.799999997</v>
      </c>
      <c r="T12" s="68">
        <f t="shared" si="16"/>
        <v>-40084168.799999997</v>
      </c>
      <c r="U12" s="68">
        <f t="shared" si="16"/>
        <v>-40084168.799999997</v>
      </c>
      <c r="V12" s="68">
        <f t="shared" si="16"/>
        <v>-40084168.799999997</v>
      </c>
      <c r="W12" s="68">
        <f t="shared" si="16"/>
        <v>-40084168.799999997</v>
      </c>
      <c r="X12" s="68">
        <f t="shared" si="16"/>
        <v>-40084168.799999997</v>
      </c>
      <c r="Y12" s="68">
        <f t="shared" si="16"/>
        <v>-40084168.799999997</v>
      </c>
      <c r="Z12" s="68">
        <f t="shared" si="16"/>
        <v>-40084168.799999997</v>
      </c>
      <c r="AA12" s="68">
        <f t="shared" si="16"/>
        <v>-40084168.799999997</v>
      </c>
      <c r="AB12" s="68">
        <f t="shared" si="16"/>
        <v>-40084168.799999997</v>
      </c>
      <c r="AC12" s="68">
        <f t="shared" si="16"/>
        <v>-40084168.799999997</v>
      </c>
      <c r="AE12" s="63" t="s">
        <v>114</v>
      </c>
      <c r="AF12" s="68">
        <f t="shared" si="3"/>
        <v>-462509640</v>
      </c>
      <c r="AG12" s="68">
        <f t="shared" si="4"/>
        <v>-481010025.60000008</v>
      </c>
    </row>
    <row r="13" spans="1:33" x14ac:dyDescent="0.25">
      <c r="A13" s="40" t="s">
        <v>140</v>
      </c>
      <c r="B13" s="39"/>
      <c r="C13" s="50"/>
      <c r="D13" s="50"/>
      <c r="E13" s="64" t="s">
        <v>0</v>
      </c>
      <c r="F13" s="69">
        <f>-$B$31</f>
        <v>-4942469.9999999991</v>
      </c>
      <c r="G13" s="69">
        <f t="shared" ref="G13:Q13" si="17">($B$31)*-1</f>
        <v>-4942469.9999999991</v>
      </c>
      <c r="H13" s="69">
        <f t="shared" si="17"/>
        <v>-4942469.9999999991</v>
      </c>
      <c r="I13" s="69">
        <f t="shared" si="17"/>
        <v>-4942469.9999999991</v>
      </c>
      <c r="J13" s="69">
        <f t="shared" si="17"/>
        <v>-4942469.9999999991</v>
      </c>
      <c r="K13" s="69">
        <f t="shared" si="17"/>
        <v>-4942469.9999999991</v>
      </c>
      <c r="L13" s="69">
        <f t="shared" si="17"/>
        <v>-4942469.9999999991</v>
      </c>
      <c r="M13" s="69">
        <f t="shared" si="17"/>
        <v>-4942469.9999999991</v>
      </c>
      <c r="N13" s="69">
        <f t="shared" si="17"/>
        <v>-4942469.9999999991</v>
      </c>
      <c r="O13" s="69">
        <f t="shared" si="17"/>
        <v>-4942469.9999999991</v>
      </c>
      <c r="P13" s="69">
        <f t="shared" si="17"/>
        <v>-4942469.9999999991</v>
      </c>
      <c r="Q13" s="69">
        <f t="shared" si="17"/>
        <v>-4942469.9999999991</v>
      </c>
      <c r="R13" s="69">
        <f t="shared" ref="R13:AC13" si="18">($B$31*(1+$B$10))*-1</f>
        <v>-5140168.7999999989</v>
      </c>
      <c r="S13" s="69">
        <f t="shared" si="18"/>
        <v>-5140168.7999999989</v>
      </c>
      <c r="T13" s="69">
        <f t="shared" si="18"/>
        <v>-5140168.7999999989</v>
      </c>
      <c r="U13" s="69">
        <f t="shared" si="18"/>
        <v>-5140168.7999999989</v>
      </c>
      <c r="V13" s="69">
        <f t="shared" si="18"/>
        <v>-5140168.7999999989</v>
      </c>
      <c r="W13" s="69">
        <f t="shared" si="18"/>
        <v>-5140168.7999999989</v>
      </c>
      <c r="X13" s="69">
        <f t="shared" si="18"/>
        <v>-5140168.7999999989</v>
      </c>
      <c r="Y13" s="69">
        <f t="shared" si="18"/>
        <v>-5140168.7999999989</v>
      </c>
      <c r="Z13" s="69">
        <f t="shared" si="18"/>
        <v>-5140168.7999999989</v>
      </c>
      <c r="AA13" s="69">
        <f t="shared" si="18"/>
        <v>-5140168.7999999989</v>
      </c>
      <c r="AB13" s="69">
        <f t="shared" si="18"/>
        <v>-5140168.7999999989</v>
      </c>
      <c r="AC13" s="69">
        <f t="shared" si="18"/>
        <v>-5140168.7999999989</v>
      </c>
      <c r="AE13" s="64" t="s">
        <v>0</v>
      </c>
      <c r="AF13" s="69">
        <f t="shared" si="3"/>
        <v>-59309639.999999993</v>
      </c>
      <c r="AG13" s="69">
        <f t="shared" si="4"/>
        <v>-61682025.599999972</v>
      </c>
    </row>
    <row r="14" spans="1:33" x14ac:dyDescent="0.25">
      <c r="A14" s="44" t="s">
        <v>90</v>
      </c>
      <c r="B14" s="29"/>
      <c r="C14" s="50"/>
      <c r="D14" s="50"/>
      <c r="E14" s="64" t="s">
        <v>105</v>
      </c>
      <c r="F14" s="69">
        <f t="shared" ref="F14:G14" si="19">($B$34)*-1</f>
        <v>-33600000</v>
      </c>
      <c r="G14" s="69">
        <f t="shared" si="19"/>
        <v>-33600000</v>
      </c>
      <c r="H14" s="69">
        <f t="shared" ref="H14:Q14" si="20">($B$34)*-1</f>
        <v>-33600000</v>
      </c>
      <c r="I14" s="69">
        <f t="shared" si="20"/>
        <v>-33600000</v>
      </c>
      <c r="J14" s="69">
        <f t="shared" si="20"/>
        <v>-33600000</v>
      </c>
      <c r="K14" s="69">
        <f t="shared" si="20"/>
        <v>-33600000</v>
      </c>
      <c r="L14" s="69">
        <f t="shared" si="20"/>
        <v>-33600000</v>
      </c>
      <c r="M14" s="69">
        <f t="shared" si="20"/>
        <v>-33600000</v>
      </c>
      <c r="N14" s="69">
        <f t="shared" si="20"/>
        <v>-33600000</v>
      </c>
      <c r="O14" s="69">
        <f t="shared" si="20"/>
        <v>-33600000</v>
      </c>
      <c r="P14" s="69">
        <f t="shared" si="20"/>
        <v>-33600000</v>
      </c>
      <c r="Q14" s="69">
        <f t="shared" si="20"/>
        <v>-33600000</v>
      </c>
      <c r="R14" s="69">
        <f t="shared" ref="R14:AC14" si="21">($B$34*(1+$B$10))*-1</f>
        <v>-34944000</v>
      </c>
      <c r="S14" s="69">
        <f t="shared" si="21"/>
        <v>-34944000</v>
      </c>
      <c r="T14" s="69">
        <f t="shared" si="21"/>
        <v>-34944000</v>
      </c>
      <c r="U14" s="69">
        <f t="shared" si="21"/>
        <v>-34944000</v>
      </c>
      <c r="V14" s="69">
        <f t="shared" si="21"/>
        <v>-34944000</v>
      </c>
      <c r="W14" s="69">
        <f t="shared" si="21"/>
        <v>-34944000</v>
      </c>
      <c r="X14" s="69">
        <f t="shared" si="21"/>
        <v>-34944000</v>
      </c>
      <c r="Y14" s="69">
        <f t="shared" si="21"/>
        <v>-34944000</v>
      </c>
      <c r="Z14" s="69">
        <f t="shared" si="21"/>
        <v>-34944000</v>
      </c>
      <c r="AA14" s="69">
        <f t="shared" si="21"/>
        <v>-34944000</v>
      </c>
      <c r="AB14" s="69">
        <f t="shared" si="21"/>
        <v>-34944000</v>
      </c>
      <c r="AC14" s="69">
        <f t="shared" si="21"/>
        <v>-34944000</v>
      </c>
      <c r="AE14" s="64" t="s">
        <v>105</v>
      </c>
      <c r="AF14" s="69">
        <f t="shared" si="3"/>
        <v>-403200000</v>
      </c>
      <c r="AG14" s="69">
        <f t="shared" si="4"/>
        <v>-419328000</v>
      </c>
    </row>
    <row r="15" spans="1:33" x14ac:dyDescent="0.25">
      <c r="A15" s="40" t="s">
        <v>85</v>
      </c>
      <c r="B15" s="39">
        <v>5000</v>
      </c>
      <c r="C15" s="50"/>
      <c r="D15" s="50"/>
      <c r="E15" s="62" t="s">
        <v>118</v>
      </c>
      <c r="F15" s="67">
        <f>F4+F5</f>
        <v>-781152243.8509891</v>
      </c>
      <c r="G15" s="67">
        <f t="shared" ref="G15:AC15" si="22">G4+G5</f>
        <v>-978987155.78945053</v>
      </c>
      <c r="H15" s="67">
        <f t="shared" si="22"/>
        <v>-1190372692.7279122</v>
      </c>
      <c r="I15" s="67">
        <f>I4+I5</f>
        <v>174963959.05714273</v>
      </c>
      <c r="J15" s="67">
        <f>J4+J5</f>
        <v>174963959.05714273</v>
      </c>
      <c r="K15" s="67">
        <f t="shared" si="22"/>
        <v>174963959.05714273</v>
      </c>
      <c r="L15" s="67">
        <f t="shared" si="22"/>
        <v>174963959.05714273</v>
      </c>
      <c r="M15" s="67">
        <f t="shared" si="22"/>
        <v>174963959.05714273</v>
      </c>
      <c r="N15" s="67">
        <f t="shared" si="22"/>
        <v>174963959.05714273</v>
      </c>
      <c r="O15" s="67">
        <f t="shared" si="22"/>
        <v>174963959.05714273</v>
      </c>
      <c r="P15" s="67">
        <f t="shared" si="22"/>
        <v>174963959.05714273</v>
      </c>
      <c r="Q15" s="67">
        <f t="shared" si="22"/>
        <v>174963959.05714273</v>
      </c>
      <c r="R15" s="67">
        <f t="shared" si="22"/>
        <v>181962517.41942835</v>
      </c>
      <c r="S15" s="67">
        <f t="shared" si="22"/>
        <v>181962517.41942835</v>
      </c>
      <c r="T15" s="67">
        <f t="shared" si="22"/>
        <v>181962517.41942835</v>
      </c>
      <c r="U15" s="67">
        <f t="shared" si="22"/>
        <v>181962517.41942835</v>
      </c>
      <c r="V15" s="67">
        <f t="shared" si="22"/>
        <v>181962517.41942835</v>
      </c>
      <c r="W15" s="67">
        <f t="shared" si="22"/>
        <v>181962517.41942835</v>
      </c>
      <c r="X15" s="67">
        <f t="shared" si="22"/>
        <v>181962517.41942835</v>
      </c>
      <c r="Y15" s="67">
        <f t="shared" si="22"/>
        <v>181962517.41942835</v>
      </c>
      <c r="Z15" s="67">
        <f t="shared" si="22"/>
        <v>181962517.41942835</v>
      </c>
      <c r="AA15" s="67">
        <f t="shared" si="22"/>
        <v>965455390.61494493</v>
      </c>
      <c r="AB15" s="67">
        <f t="shared" si="22"/>
        <v>1160709231.124835</v>
      </c>
      <c r="AC15" s="67">
        <f t="shared" si="22"/>
        <v>1355963071.6347251</v>
      </c>
      <c r="AE15" s="62" t="s">
        <v>118</v>
      </c>
      <c r="AF15" s="67">
        <f t="shared" si="3"/>
        <v>-1375836460.8540673</v>
      </c>
      <c r="AG15" s="67">
        <f t="shared" si="4"/>
        <v>5119790350.1493607</v>
      </c>
    </row>
    <row r="16" spans="1:33" x14ac:dyDescent="0.25">
      <c r="A16" s="40" t="s">
        <v>64</v>
      </c>
      <c r="B16" s="29">
        <v>115</v>
      </c>
      <c r="C16" s="54"/>
      <c r="D16" s="54"/>
      <c r="E16" s="62" t="s">
        <v>112</v>
      </c>
      <c r="F16" s="67">
        <f>SUM(F17:F21)</f>
        <v>-20389670.329670332</v>
      </c>
      <c r="G16" s="67">
        <f t="shared" ref="G16:AC16" si="23">SUM(G17:G21)</f>
        <v>-21972087.912087914</v>
      </c>
      <c r="H16" s="67">
        <f t="shared" si="23"/>
        <v>-23554505.494505495</v>
      </c>
      <c r="I16" s="67">
        <f t="shared" si="23"/>
        <v>-24517142.857142858</v>
      </c>
      <c r="J16" s="67">
        <f t="shared" si="23"/>
        <v>-24517142.857142858</v>
      </c>
      <c r="K16" s="67">
        <f t="shared" si="23"/>
        <v>-24517142.857142858</v>
      </c>
      <c r="L16" s="67">
        <f t="shared" si="23"/>
        <v>-24517142.857142858</v>
      </c>
      <c r="M16" s="67">
        <f t="shared" si="23"/>
        <v>-24517142.857142858</v>
      </c>
      <c r="N16" s="67">
        <f t="shared" si="23"/>
        <v>-24517142.857142858</v>
      </c>
      <c r="O16" s="67">
        <f t="shared" si="23"/>
        <v>-24517142.857142858</v>
      </c>
      <c r="P16" s="67">
        <f t="shared" si="23"/>
        <v>-24517142.857142858</v>
      </c>
      <c r="Q16" s="67">
        <f t="shared" si="23"/>
        <v>-24517142.857142858</v>
      </c>
      <c r="R16" s="67">
        <f t="shared" si="23"/>
        <v>-25135828.571428575</v>
      </c>
      <c r="S16" s="67">
        <f t="shared" si="23"/>
        <v>-25135828.571428575</v>
      </c>
      <c r="T16" s="67">
        <f t="shared" si="23"/>
        <v>-25135828.571428575</v>
      </c>
      <c r="U16" s="67">
        <f t="shared" si="23"/>
        <v>-25135828.571428575</v>
      </c>
      <c r="V16" s="67">
        <f t="shared" si="23"/>
        <v>-25135828.571428575</v>
      </c>
      <c r="W16" s="67">
        <f t="shared" si="23"/>
        <v>-25135828.571428575</v>
      </c>
      <c r="X16" s="67">
        <f t="shared" si="23"/>
        <v>-25135828.571428575</v>
      </c>
      <c r="Y16" s="67">
        <f t="shared" si="23"/>
        <v>-25135828.571428575</v>
      </c>
      <c r="Z16" s="67">
        <f t="shared" si="23"/>
        <v>-25135828.571428575</v>
      </c>
      <c r="AA16" s="67">
        <f t="shared" si="23"/>
        <v>-25135828.571428575</v>
      </c>
      <c r="AB16" s="67">
        <f t="shared" si="23"/>
        <v>-25135828.571428575</v>
      </c>
      <c r="AC16" s="67">
        <f t="shared" si="23"/>
        <v>-25135828.571428575</v>
      </c>
      <c r="AE16" s="62" t="s">
        <v>112</v>
      </c>
      <c r="AF16" s="67">
        <f t="shared" si="3"/>
        <v>-286570549.45054948</v>
      </c>
      <c r="AG16" s="67">
        <f t="shared" si="4"/>
        <v>-301629942.85714287</v>
      </c>
    </row>
    <row r="17" spans="1:33" x14ac:dyDescent="0.25">
      <c r="A17" s="45" t="s">
        <v>89</v>
      </c>
      <c r="B17" s="29"/>
      <c r="C17" s="50"/>
      <c r="D17" s="50"/>
      <c r="E17" s="64" t="s">
        <v>36</v>
      </c>
      <c r="F17" s="69">
        <f>-(($B$5*B64)*$B$23)*$B$36</f>
        <v>-1015384.6153846155</v>
      </c>
      <c r="G17" s="69">
        <f t="shared" ref="G17:H17" si="24">-(($B$5*C64)*$B$23)*$B$36</f>
        <v>-2597802.1978021981</v>
      </c>
      <c r="H17" s="69">
        <f t="shared" si="24"/>
        <v>-4180219.7802197803</v>
      </c>
      <c r="I17" s="69">
        <f t="shared" ref="I17:Q17" si="25">-(($B$5*$E$64)*$B$23)*$B$36</f>
        <v>-5142857.1428571437</v>
      </c>
      <c r="J17" s="69">
        <f t="shared" si="25"/>
        <v>-5142857.1428571437</v>
      </c>
      <c r="K17" s="69">
        <f t="shared" si="25"/>
        <v>-5142857.1428571437</v>
      </c>
      <c r="L17" s="69">
        <f t="shared" si="25"/>
        <v>-5142857.1428571437</v>
      </c>
      <c r="M17" s="69">
        <f t="shared" si="25"/>
        <v>-5142857.1428571437</v>
      </c>
      <c r="N17" s="69">
        <f t="shared" si="25"/>
        <v>-5142857.1428571437</v>
      </c>
      <c r="O17" s="69">
        <f t="shared" si="25"/>
        <v>-5142857.1428571437</v>
      </c>
      <c r="P17" s="69">
        <f t="shared" si="25"/>
        <v>-5142857.1428571437</v>
      </c>
      <c r="Q17" s="69">
        <f t="shared" si="25"/>
        <v>-5142857.1428571437</v>
      </c>
      <c r="R17" s="69">
        <f>-(($B$5*$E$64)*$B$23)*($B$36*(1+$B$10))</f>
        <v>-5348571.4285714291</v>
      </c>
      <c r="S17" s="69">
        <f t="shared" ref="S17:AC17" si="26">-(($B$5*$E$64)*$B$23)*($B$36*(1+$B$10))</f>
        <v>-5348571.4285714291</v>
      </c>
      <c r="T17" s="69">
        <f t="shared" si="26"/>
        <v>-5348571.4285714291</v>
      </c>
      <c r="U17" s="69">
        <f t="shared" si="26"/>
        <v>-5348571.4285714291</v>
      </c>
      <c r="V17" s="69">
        <f t="shared" si="26"/>
        <v>-5348571.4285714291</v>
      </c>
      <c r="W17" s="69">
        <f t="shared" si="26"/>
        <v>-5348571.4285714291</v>
      </c>
      <c r="X17" s="69">
        <f t="shared" si="26"/>
        <v>-5348571.4285714291</v>
      </c>
      <c r="Y17" s="69">
        <f t="shared" si="26"/>
        <v>-5348571.4285714291</v>
      </c>
      <c r="Z17" s="69">
        <f t="shared" si="26"/>
        <v>-5348571.4285714291</v>
      </c>
      <c r="AA17" s="69">
        <f t="shared" si="26"/>
        <v>-5348571.4285714291</v>
      </c>
      <c r="AB17" s="69">
        <f t="shared" si="26"/>
        <v>-5348571.4285714291</v>
      </c>
      <c r="AC17" s="69">
        <f t="shared" si="26"/>
        <v>-5348571.4285714291</v>
      </c>
      <c r="AE17" s="64" t="s">
        <v>36</v>
      </c>
      <c r="AF17" s="69">
        <f t="shared" si="3"/>
        <v>-54079120.879120871</v>
      </c>
      <c r="AG17" s="69">
        <f t="shared" si="4"/>
        <v>-64182857.142857164</v>
      </c>
    </row>
    <row r="18" spans="1:33" x14ac:dyDescent="0.25">
      <c r="A18" s="46" t="s">
        <v>93</v>
      </c>
      <c r="B18" s="29"/>
      <c r="C18" s="55"/>
      <c r="D18" s="55"/>
      <c r="E18" s="64" t="s">
        <v>115</v>
      </c>
      <c r="F18" s="69">
        <f t="shared" ref="F18:Q18" si="27">-(($B$5*$B$8)*$B$38)</f>
        <v>0</v>
      </c>
      <c r="G18" s="69">
        <f t="shared" si="27"/>
        <v>0</v>
      </c>
      <c r="H18" s="69">
        <f t="shared" si="27"/>
        <v>0</v>
      </c>
      <c r="I18" s="69">
        <f t="shared" si="27"/>
        <v>0</v>
      </c>
      <c r="J18" s="69">
        <f t="shared" si="27"/>
        <v>0</v>
      </c>
      <c r="K18" s="69">
        <f t="shared" si="27"/>
        <v>0</v>
      </c>
      <c r="L18" s="69">
        <f t="shared" si="27"/>
        <v>0</v>
      </c>
      <c r="M18" s="69">
        <f t="shared" si="27"/>
        <v>0</v>
      </c>
      <c r="N18" s="69">
        <f t="shared" si="27"/>
        <v>0</v>
      </c>
      <c r="O18" s="69">
        <f t="shared" si="27"/>
        <v>0</v>
      </c>
      <c r="P18" s="69">
        <f t="shared" si="27"/>
        <v>0</v>
      </c>
      <c r="Q18" s="69">
        <f t="shared" si="27"/>
        <v>0</v>
      </c>
      <c r="R18" s="69">
        <f t="shared" ref="R18:AC18" si="28">-(($B$5*$B$8)*(($B$38*(1+$B$10))))</f>
        <v>0</v>
      </c>
      <c r="S18" s="69">
        <f t="shared" si="28"/>
        <v>0</v>
      </c>
      <c r="T18" s="69">
        <f t="shared" si="28"/>
        <v>0</v>
      </c>
      <c r="U18" s="69">
        <f t="shared" si="28"/>
        <v>0</v>
      </c>
      <c r="V18" s="69">
        <f t="shared" si="28"/>
        <v>0</v>
      </c>
      <c r="W18" s="69">
        <f t="shared" si="28"/>
        <v>0</v>
      </c>
      <c r="X18" s="69">
        <f t="shared" si="28"/>
        <v>0</v>
      </c>
      <c r="Y18" s="69">
        <f t="shared" si="28"/>
        <v>0</v>
      </c>
      <c r="Z18" s="69">
        <f t="shared" si="28"/>
        <v>0</v>
      </c>
      <c r="AA18" s="69">
        <f t="shared" si="28"/>
        <v>0</v>
      </c>
      <c r="AB18" s="69">
        <f t="shared" si="28"/>
        <v>0</v>
      </c>
      <c r="AC18" s="69">
        <f t="shared" si="28"/>
        <v>0</v>
      </c>
      <c r="AE18" s="64" t="s">
        <v>115</v>
      </c>
      <c r="AF18" s="69">
        <f t="shared" si="3"/>
        <v>0</v>
      </c>
      <c r="AG18" s="69">
        <f t="shared" si="4"/>
        <v>0</v>
      </c>
    </row>
    <row r="19" spans="1:33" x14ac:dyDescent="0.25">
      <c r="A19" s="42" t="s">
        <v>86</v>
      </c>
      <c r="B19" s="29"/>
      <c r="C19" s="54"/>
      <c r="D19" s="54"/>
      <c r="E19" s="64" t="s">
        <v>116</v>
      </c>
      <c r="F19" s="69">
        <f t="shared" ref="F19:Q19" si="29">-((($B$5*(1-$B$9))*($B$8*$F$2))*$B$37)</f>
        <v>-10324285.714285716</v>
      </c>
      <c r="G19" s="69">
        <f t="shared" si="29"/>
        <v>-10324285.714285716</v>
      </c>
      <c r="H19" s="69">
        <f t="shared" si="29"/>
        <v>-10324285.714285716</v>
      </c>
      <c r="I19" s="69">
        <f t="shared" si="29"/>
        <v>-10324285.714285716</v>
      </c>
      <c r="J19" s="69">
        <f t="shared" si="29"/>
        <v>-10324285.714285716</v>
      </c>
      <c r="K19" s="69">
        <f t="shared" si="29"/>
        <v>-10324285.714285716</v>
      </c>
      <c r="L19" s="69">
        <f t="shared" si="29"/>
        <v>-10324285.714285716</v>
      </c>
      <c r="M19" s="69">
        <f t="shared" si="29"/>
        <v>-10324285.714285716</v>
      </c>
      <c r="N19" s="69">
        <f t="shared" si="29"/>
        <v>-10324285.714285716</v>
      </c>
      <c r="O19" s="69">
        <f t="shared" si="29"/>
        <v>-10324285.714285716</v>
      </c>
      <c r="P19" s="69">
        <f t="shared" si="29"/>
        <v>-10324285.714285716</v>
      </c>
      <c r="Q19" s="69">
        <f t="shared" si="29"/>
        <v>-10324285.714285716</v>
      </c>
      <c r="R19" s="69">
        <f t="shared" ref="R19:AC19" si="30">-((($B$5*(1-$B$9))*($B$8*$F$2))*(($B$37*(1+$B$10))))</f>
        <v>-10737257.142857144</v>
      </c>
      <c r="S19" s="69">
        <f t="shared" si="30"/>
        <v>-10737257.142857144</v>
      </c>
      <c r="T19" s="69">
        <f t="shared" si="30"/>
        <v>-10737257.142857144</v>
      </c>
      <c r="U19" s="69">
        <f t="shared" si="30"/>
        <v>-10737257.142857144</v>
      </c>
      <c r="V19" s="69">
        <f t="shared" si="30"/>
        <v>-10737257.142857144</v>
      </c>
      <c r="W19" s="69">
        <f t="shared" si="30"/>
        <v>-10737257.142857144</v>
      </c>
      <c r="X19" s="69">
        <f t="shared" si="30"/>
        <v>-10737257.142857144</v>
      </c>
      <c r="Y19" s="69">
        <f t="shared" si="30"/>
        <v>-10737257.142857144</v>
      </c>
      <c r="Z19" s="69">
        <f t="shared" si="30"/>
        <v>-10737257.142857144</v>
      </c>
      <c r="AA19" s="69">
        <f t="shared" si="30"/>
        <v>-10737257.142857144</v>
      </c>
      <c r="AB19" s="69">
        <f t="shared" si="30"/>
        <v>-10737257.142857144</v>
      </c>
      <c r="AC19" s="69">
        <f t="shared" si="30"/>
        <v>-10737257.142857144</v>
      </c>
      <c r="AE19" s="64" t="s">
        <v>116</v>
      </c>
      <c r="AF19" s="69">
        <f t="shared" si="3"/>
        <v>-123891428.5714286</v>
      </c>
      <c r="AG19" s="69">
        <f t="shared" si="4"/>
        <v>-128847085.71428575</v>
      </c>
    </row>
    <row r="20" spans="1:33" x14ac:dyDescent="0.25">
      <c r="A20" s="40" t="s">
        <v>87</v>
      </c>
      <c r="B20" s="30">
        <f>Concentrado!H18</f>
        <v>1233.8957976666666</v>
      </c>
      <c r="C20" s="50"/>
      <c r="D20" s="50"/>
      <c r="E20" s="64" t="s">
        <v>99</v>
      </c>
      <c r="F20" s="69">
        <f>-(($B$3*$C$11)*$B$39)/12</f>
        <v>-1300000</v>
      </c>
      <c r="G20" s="69">
        <f t="shared" ref="G20:AC20" si="31">-(($B$3*$C$11)*$B$39)/12</f>
        <v>-1300000</v>
      </c>
      <c r="H20" s="69">
        <f t="shared" si="31"/>
        <v>-1300000</v>
      </c>
      <c r="I20" s="69">
        <f t="shared" si="31"/>
        <v>-1300000</v>
      </c>
      <c r="J20" s="69">
        <f t="shared" si="31"/>
        <v>-1300000</v>
      </c>
      <c r="K20" s="69">
        <f t="shared" si="31"/>
        <v>-1300000</v>
      </c>
      <c r="L20" s="69">
        <f t="shared" si="31"/>
        <v>-1300000</v>
      </c>
      <c r="M20" s="69">
        <f t="shared" si="31"/>
        <v>-1300000</v>
      </c>
      <c r="N20" s="69">
        <f t="shared" si="31"/>
        <v>-1300000</v>
      </c>
      <c r="O20" s="69">
        <f t="shared" si="31"/>
        <v>-1300000</v>
      </c>
      <c r="P20" s="69">
        <f t="shared" si="31"/>
        <v>-1300000</v>
      </c>
      <c r="Q20" s="69">
        <f t="shared" si="31"/>
        <v>-1300000</v>
      </c>
      <c r="R20" s="69">
        <f t="shared" si="31"/>
        <v>-1300000</v>
      </c>
      <c r="S20" s="69">
        <f t="shared" si="31"/>
        <v>-1300000</v>
      </c>
      <c r="T20" s="69">
        <f t="shared" si="31"/>
        <v>-1300000</v>
      </c>
      <c r="U20" s="69">
        <f t="shared" si="31"/>
        <v>-1300000</v>
      </c>
      <c r="V20" s="69">
        <f t="shared" si="31"/>
        <v>-1300000</v>
      </c>
      <c r="W20" s="69">
        <f t="shared" si="31"/>
        <v>-1300000</v>
      </c>
      <c r="X20" s="69">
        <f t="shared" si="31"/>
        <v>-1300000</v>
      </c>
      <c r="Y20" s="69">
        <f t="shared" si="31"/>
        <v>-1300000</v>
      </c>
      <c r="Z20" s="69">
        <f t="shared" si="31"/>
        <v>-1300000</v>
      </c>
      <c r="AA20" s="69">
        <f t="shared" si="31"/>
        <v>-1300000</v>
      </c>
      <c r="AB20" s="69">
        <f t="shared" si="31"/>
        <v>-1300000</v>
      </c>
      <c r="AC20" s="69">
        <f t="shared" si="31"/>
        <v>-1300000</v>
      </c>
      <c r="AE20" s="64" t="s">
        <v>99</v>
      </c>
      <c r="AF20" s="69">
        <f t="shared" si="3"/>
        <v>-15600000</v>
      </c>
      <c r="AG20" s="69">
        <f t="shared" si="4"/>
        <v>-15600000</v>
      </c>
    </row>
    <row r="21" spans="1:33" x14ac:dyDescent="0.25">
      <c r="A21" s="40" t="s">
        <v>88</v>
      </c>
      <c r="B21" s="29">
        <v>200</v>
      </c>
      <c r="C21" s="54"/>
      <c r="D21" s="54"/>
      <c r="E21" s="64" t="s">
        <v>100</v>
      </c>
      <c r="F21" s="69">
        <f>-$B$40</f>
        <v>-7750000</v>
      </c>
      <c r="G21" s="69">
        <f t="shared" ref="G21:AC21" si="32">-$B$40</f>
        <v>-7750000</v>
      </c>
      <c r="H21" s="69">
        <f t="shared" si="32"/>
        <v>-7750000</v>
      </c>
      <c r="I21" s="69">
        <f t="shared" si="32"/>
        <v>-7750000</v>
      </c>
      <c r="J21" s="69">
        <f t="shared" si="32"/>
        <v>-7750000</v>
      </c>
      <c r="K21" s="69">
        <f t="shared" si="32"/>
        <v>-7750000</v>
      </c>
      <c r="L21" s="69">
        <f t="shared" si="32"/>
        <v>-7750000</v>
      </c>
      <c r="M21" s="69">
        <f t="shared" si="32"/>
        <v>-7750000</v>
      </c>
      <c r="N21" s="69">
        <f t="shared" si="32"/>
        <v>-7750000</v>
      </c>
      <c r="O21" s="69">
        <f t="shared" si="32"/>
        <v>-7750000</v>
      </c>
      <c r="P21" s="69">
        <f t="shared" si="32"/>
        <v>-7750000</v>
      </c>
      <c r="Q21" s="69">
        <f t="shared" si="32"/>
        <v>-7750000</v>
      </c>
      <c r="R21" s="69">
        <f t="shared" si="32"/>
        <v>-7750000</v>
      </c>
      <c r="S21" s="69">
        <f t="shared" si="32"/>
        <v>-7750000</v>
      </c>
      <c r="T21" s="69">
        <f t="shared" si="32"/>
        <v>-7750000</v>
      </c>
      <c r="U21" s="69">
        <f t="shared" si="32"/>
        <v>-7750000</v>
      </c>
      <c r="V21" s="69">
        <f t="shared" si="32"/>
        <v>-7750000</v>
      </c>
      <c r="W21" s="69">
        <f t="shared" si="32"/>
        <v>-7750000</v>
      </c>
      <c r="X21" s="69">
        <f t="shared" si="32"/>
        <v>-7750000</v>
      </c>
      <c r="Y21" s="69">
        <f t="shared" si="32"/>
        <v>-7750000</v>
      </c>
      <c r="Z21" s="69">
        <f t="shared" si="32"/>
        <v>-7750000</v>
      </c>
      <c r="AA21" s="69">
        <f t="shared" si="32"/>
        <v>-7750000</v>
      </c>
      <c r="AB21" s="69">
        <f t="shared" si="32"/>
        <v>-7750000</v>
      </c>
      <c r="AC21" s="69">
        <f t="shared" si="32"/>
        <v>-7750000</v>
      </c>
      <c r="AE21" s="64" t="s">
        <v>100</v>
      </c>
      <c r="AF21" s="69">
        <f t="shared" si="3"/>
        <v>-93000000</v>
      </c>
      <c r="AG21" s="69">
        <f t="shared" si="4"/>
        <v>-93000000</v>
      </c>
    </row>
    <row r="22" spans="1:33" x14ac:dyDescent="0.25">
      <c r="A22" s="41" t="s">
        <v>60</v>
      </c>
      <c r="B22" s="33">
        <f>B21/B4</f>
        <v>15.384615384615385</v>
      </c>
      <c r="C22" s="50"/>
      <c r="D22" s="50"/>
      <c r="E22" s="62" t="s">
        <v>117</v>
      </c>
      <c r="F22" s="67">
        <f>F15+F16</f>
        <v>-801541914.18065941</v>
      </c>
      <c r="G22" s="67">
        <f t="shared" ref="G22:AC22" si="33">G15+G16</f>
        <v>-1000959243.7015384</v>
      </c>
      <c r="H22" s="67">
        <f t="shared" si="33"/>
        <v>-1213927198.2224176</v>
      </c>
      <c r="I22" s="67">
        <f t="shared" si="33"/>
        <v>150446816.19999987</v>
      </c>
      <c r="J22" s="67">
        <f t="shared" si="33"/>
        <v>150446816.19999987</v>
      </c>
      <c r="K22" s="67">
        <f t="shared" si="33"/>
        <v>150446816.19999987</v>
      </c>
      <c r="L22" s="67">
        <f t="shared" si="33"/>
        <v>150446816.19999987</v>
      </c>
      <c r="M22" s="67">
        <f t="shared" si="33"/>
        <v>150446816.19999987</v>
      </c>
      <c r="N22" s="67">
        <f t="shared" si="33"/>
        <v>150446816.19999987</v>
      </c>
      <c r="O22" s="67">
        <f t="shared" si="33"/>
        <v>150446816.19999987</v>
      </c>
      <c r="P22" s="67">
        <f t="shared" si="33"/>
        <v>150446816.19999987</v>
      </c>
      <c r="Q22" s="67">
        <f t="shared" si="33"/>
        <v>150446816.19999987</v>
      </c>
      <c r="R22" s="67">
        <f t="shared" si="33"/>
        <v>156826688.84799978</v>
      </c>
      <c r="S22" s="67">
        <f t="shared" si="33"/>
        <v>156826688.84799978</v>
      </c>
      <c r="T22" s="67">
        <f t="shared" si="33"/>
        <v>156826688.84799978</v>
      </c>
      <c r="U22" s="67">
        <f t="shared" si="33"/>
        <v>156826688.84799978</v>
      </c>
      <c r="V22" s="67">
        <f t="shared" si="33"/>
        <v>156826688.84799978</v>
      </c>
      <c r="W22" s="67">
        <f t="shared" si="33"/>
        <v>156826688.84799978</v>
      </c>
      <c r="X22" s="67">
        <f t="shared" si="33"/>
        <v>156826688.84799978</v>
      </c>
      <c r="Y22" s="67">
        <f t="shared" si="33"/>
        <v>156826688.84799978</v>
      </c>
      <c r="Z22" s="67">
        <f t="shared" si="33"/>
        <v>156826688.84799978</v>
      </c>
      <c r="AA22" s="67">
        <f t="shared" si="33"/>
        <v>940319562.0435164</v>
      </c>
      <c r="AB22" s="67">
        <f t="shared" si="33"/>
        <v>1135573402.5534065</v>
      </c>
      <c r="AC22" s="67">
        <f t="shared" si="33"/>
        <v>1330827243.0632966</v>
      </c>
      <c r="AE22" s="62" t="s">
        <v>117</v>
      </c>
      <c r="AF22" s="67">
        <f t="shared" si="3"/>
        <v>-1662407010.3046169</v>
      </c>
      <c r="AG22" s="67">
        <f t="shared" si="4"/>
        <v>4818160407.2922173</v>
      </c>
    </row>
    <row r="23" spans="1:33" x14ac:dyDescent="0.25">
      <c r="A23" s="41" t="s">
        <v>141</v>
      </c>
      <c r="B23" s="80">
        <f>B21/91</f>
        <v>2.197802197802198</v>
      </c>
      <c r="C23" s="55"/>
      <c r="D23" s="55"/>
      <c r="E23" s="64" t="s">
        <v>110</v>
      </c>
      <c r="F23" s="69">
        <f>-IF(F22&gt;0,F22*$B$41,0)</f>
        <v>0</v>
      </c>
      <c r="G23" s="69">
        <f t="shared" ref="G23:AC23" si="34">-IF(G22&gt;0,G22*$B$41,0)</f>
        <v>0</v>
      </c>
      <c r="H23" s="69">
        <f t="shared" si="34"/>
        <v>0</v>
      </c>
      <c r="I23" s="69">
        <f t="shared" si="34"/>
        <v>-49647449.345999956</v>
      </c>
      <c r="J23" s="69">
        <f t="shared" si="34"/>
        <v>-49647449.345999956</v>
      </c>
      <c r="K23" s="69">
        <f t="shared" si="34"/>
        <v>-49647449.345999956</v>
      </c>
      <c r="L23" s="69">
        <f t="shared" si="34"/>
        <v>-49647449.345999956</v>
      </c>
      <c r="M23" s="69">
        <f t="shared" si="34"/>
        <v>-49647449.345999956</v>
      </c>
      <c r="N23" s="69">
        <f t="shared" si="34"/>
        <v>-49647449.345999956</v>
      </c>
      <c r="O23" s="69">
        <f t="shared" si="34"/>
        <v>-49647449.345999956</v>
      </c>
      <c r="P23" s="69">
        <f t="shared" si="34"/>
        <v>-49647449.345999956</v>
      </c>
      <c r="Q23" s="69">
        <f t="shared" si="34"/>
        <v>-49647449.345999956</v>
      </c>
      <c r="R23" s="69">
        <f t="shared" si="34"/>
        <v>-51752807.319839932</v>
      </c>
      <c r="S23" s="69">
        <f t="shared" si="34"/>
        <v>-51752807.319839932</v>
      </c>
      <c r="T23" s="69">
        <f t="shared" si="34"/>
        <v>-51752807.319839932</v>
      </c>
      <c r="U23" s="69">
        <f t="shared" si="34"/>
        <v>-51752807.319839932</v>
      </c>
      <c r="V23" s="69">
        <f t="shared" si="34"/>
        <v>-51752807.319839932</v>
      </c>
      <c r="W23" s="69">
        <f t="shared" si="34"/>
        <v>-51752807.319839932</v>
      </c>
      <c r="X23" s="69">
        <f t="shared" si="34"/>
        <v>-51752807.319839932</v>
      </c>
      <c r="Y23" s="69">
        <f t="shared" si="34"/>
        <v>-51752807.319839932</v>
      </c>
      <c r="Z23" s="69">
        <f t="shared" si="34"/>
        <v>-51752807.319839932</v>
      </c>
      <c r="AA23" s="69">
        <f t="shared" si="34"/>
        <v>-310305455.47436041</v>
      </c>
      <c r="AB23" s="69">
        <f t="shared" si="34"/>
        <v>-374739222.84262413</v>
      </c>
      <c r="AC23" s="69">
        <f t="shared" si="34"/>
        <v>-439172990.21088791</v>
      </c>
      <c r="AE23" s="64" t="s">
        <v>110</v>
      </c>
      <c r="AF23" s="69">
        <f t="shared" si="3"/>
        <v>-446827044.11399961</v>
      </c>
      <c r="AG23" s="69">
        <f t="shared" si="4"/>
        <v>-1589992934.4064319</v>
      </c>
    </row>
    <row r="24" spans="1:33" x14ac:dyDescent="0.25">
      <c r="A24" s="42" t="s">
        <v>65</v>
      </c>
      <c r="B24" s="30"/>
      <c r="C24" s="55"/>
      <c r="D24" s="55"/>
      <c r="E24" s="62" t="s">
        <v>123</v>
      </c>
      <c r="F24" s="67">
        <f>F22+F23</f>
        <v>-801541914.18065941</v>
      </c>
      <c r="G24" s="67">
        <f t="shared" ref="G24:AC24" si="35">G22+G23</f>
        <v>-1000959243.7015384</v>
      </c>
      <c r="H24" s="67">
        <f t="shared" si="35"/>
        <v>-1213927198.2224176</v>
      </c>
      <c r="I24" s="67">
        <f t="shared" si="35"/>
        <v>100799366.85399991</v>
      </c>
      <c r="J24" s="67">
        <f t="shared" si="35"/>
        <v>100799366.85399991</v>
      </c>
      <c r="K24" s="67">
        <f t="shared" si="35"/>
        <v>100799366.85399991</v>
      </c>
      <c r="L24" s="67">
        <f t="shared" si="35"/>
        <v>100799366.85399991</v>
      </c>
      <c r="M24" s="67">
        <f t="shared" si="35"/>
        <v>100799366.85399991</v>
      </c>
      <c r="N24" s="67">
        <f t="shared" si="35"/>
        <v>100799366.85399991</v>
      </c>
      <c r="O24" s="67">
        <f t="shared" si="35"/>
        <v>100799366.85399991</v>
      </c>
      <c r="P24" s="67">
        <f t="shared" si="35"/>
        <v>100799366.85399991</v>
      </c>
      <c r="Q24" s="67">
        <f t="shared" si="35"/>
        <v>100799366.85399991</v>
      </c>
      <c r="R24" s="67">
        <f t="shared" si="35"/>
        <v>105073881.52815986</v>
      </c>
      <c r="S24" s="67">
        <f t="shared" si="35"/>
        <v>105073881.52815986</v>
      </c>
      <c r="T24" s="67">
        <f t="shared" si="35"/>
        <v>105073881.52815986</v>
      </c>
      <c r="U24" s="67">
        <f t="shared" si="35"/>
        <v>105073881.52815986</v>
      </c>
      <c r="V24" s="67">
        <f t="shared" si="35"/>
        <v>105073881.52815986</v>
      </c>
      <c r="W24" s="67">
        <f t="shared" si="35"/>
        <v>105073881.52815986</v>
      </c>
      <c r="X24" s="67">
        <f t="shared" si="35"/>
        <v>105073881.52815986</v>
      </c>
      <c r="Y24" s="67">
        <f t="shared" si="35"/>
        <v>105073881.52815986</v>
      </c>
      <c r="Z24" s="67">
        <f t="shared" si="35"/>
        <v>105073881.52815986</v>
      </c>
      <c r="AA24" s="67">
        <f t="shared" si="35"/>
        <v>630014106.56915593</v>
      </c>
      <c r="AB24" s="67">
        <f t="shared" si="35"/>
        <v>760834179.71078229</v>
      </c>
      <c r="AC24" s="67">
        <f t="shared" si="35"/>
        <v>891654252.85240865</v>
      </c>
      <c r="AE24" s="62" t="s">
        <v>123</v>
      </c>
      <c r="AF24" s="67">
        <f t="shared" si="3"/>
        <v>-2109234054.4186146</v>
      </c>
      <c r="AG24" s="67">
        <f t="shared" si="4"/>
        <v>3228167472.8857851</v>
      </c>
    </row>
    <row r="25" spans="1:33" x14ac:dyDescent="0.25">
      <c r="A25" s="29" t="s">
        <v>91</v>
      </c>
      <c r="B25" s="29">
        <v>27</v>
      </c>
      <c r="C25" s="55"/>
      <c r="D25" s="55"/>
      <c r="E25" s="61" t="s">
        <v>120</v>
      </c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E25" s="61" t="s">
        <v>120</v>
      </c>
      <c r="AF25" s="66">
        <f t="shared" si="3"/>
        <v>0</v>
      </c>
      <c r="AG25" s="66">
        <f t="shared" si="4"/>
        <v>0</v>
      </c>
    </row>
    <row r="26" spans="1:33" x14ac:dyDescent="0.25">
      <c r="A26" s="29" t="s">
        <v>92</v>
      </c>
      <c r="B26" s="30">
        <f>VLOOKUP(B25,Lechon!A7:C27,3,1)</f>
        <v>235791</v>
      </c>
      <c r="C26" s="55"/>
      <c r="D26" s="55"/>
      <c r="F26">
        <v>0</v>
      </c>
      <c r="G26">
        <v>1</v>
      </c>
      <c r="H26">
        <v>2</v>
      </c>
      <c r="I26">
        <v>3</v>
      </c>
      <c r="J26">
        <v>4</v>
      </c>
      <c r="K26">
        <v>5</v>
      </c>
      <c r="L26">
        <v>6</v>
      </c>
      <c r="M26">
        <v>7</v>
      </c>
      <c r="N26">
        <v>8</v>
      </c>
      <c r="O26">
        <v>9</v>
      </c>
      <c r="P26">
        <v>10</v>
      </c>
      <c r="Q26">
        <v>11</v>
      </c>
      <c r="R26">
        <v>12</v>
      </c>
      <c r="S26">
        <v>13</v>
      </c>
      <c r="T26">
        <v>14</v>
      </c>
      <c r="U26">
        <v>15</v>
      </c>
      <c r="V26">
        <v>16</v>
      </c>
      <c r="W26">
        <v>17</v>
      </c>
      <c r="X26">
        <v>18</v>
      </c>
      <c r="Y26">
        <v>19</v>
      </c>
      <c r="Z26">
        <v>20</v>
      </c>
      <c r="AA26">
        <v>21</v>
      </c>
      <c r="AB26">
        <v>22</v>
      </c>
      <c r="AC26">
        <v>23</v>
      </c>
    </row>
    <row r="27" spans="1:33" x14ac:dyDescent="0.25">
      <c r="A27" s="42" t="s">
        <v>62</v>
      </c>
      <c r="B27" s="29"/>
      <c r="C27" s="55"/>
      <c r="D27" s="55"/>
    </row>
    <row r="28" spans="1:33" x14ac:dyDescent="0.25">
      <c r="A28" s="29" t="s">
        <v>96</v>
      </c>
      <c r="B28" s="30">
        <f>O.Gastos!C9</f>
        <v>1000</v>
      </c>
      <c r="C28" s="55"/>
      <c r="D28" s="55"/>
      <c r="E28" t="s">
        <v>125</v>
      </c>
      <c r="F28" s="72">
        <f>F25+F3</f>
        <v>-801541914.18065941</v>
      </c>
      <c r="G28" s="72">
        <f t="shared" ref="G28:AC28" si="36">G25+G3</f>
        <v>-1000959243.7015384</v>
      </c>
      <c r="H28" s="72">
        <f t="shared" si="36"/>
        <v>-1213927198.2224176</v>
      </c>
      <c r="I28" s="72">
        <f t="shared" si="36"/>
        <v>100799366.85399991</v>
      </c>
      <c r="J28" s="72">
        <f t="shared" si="36"/>
        <v>100799366.85399991</v>
      </c>
      <c r="K28" s="72">
        <f t="shared" si="36"/>
        <v>100799366.85399991</v>
      </c>
      <c r="L28" s="72">
        <f t="shared" si="36"/>
        <v>100799366.85399991</v>
      </c>
      <c r="M28" s="72">
        <f t="shared" si="36"/>
        <v>100799366.85399991</v>
      </c>
      <c r="N28" s="72">
        <f t="shared" si="36"/>
        <v>100799366.85399991</v>
      </c>
      <c r="O28" s="72">
        <f t="shared" si="36"/>
        <v>100799366.85399991</v>
      </c>
      <c r="P28" s="72">
        <f t="shared" si="36"/>
        <v>100799366.85399991</v>
      </c>
      <c r="Q28" s="72">
        <f t="shared" si="36"/>
        <v>100799366.85399991</v>
      </c>
      <c r="R28" s="72">
        <f t="shared" si="36"/>
        <v>105073881.52815986</v>
      </c>
      <c r="S28" s="72">
        <f t="shared" si="36"/>
        <v>105073881.52815986</v>
      </c>
      <c r="T28" s="72">
        <f t="shared" si="36"/>
        <v>105073881.52815986</v>
      </c>
      <c r="U28" s="72">
        <f t="shared" si="36"/>
        <v>105073881.52815986</v>
      </c>
      <c r="V28" s="72">
        <f t="shared" si="36"/>
        <v>105073881.52815986</v>
      </c>
      <c r="W28" s="72">
        <f t="shared" si="36"/>
        <v>105073881.52815986</v>
      </c>
      <c r="X28" s="72">
        <f t="shared" si="36"/>
        <v>105073881.52815986</v>
      </c>
      <c r="Y28" s="72">
        <f t="shared" si="36"/>
        <v>105073881.52815986</v>
      </c>
      <c r="Z28" s="72">
        <f t="shared" si="36"/>
        <v>105073881.52815986</v>
      </c>
      <c r="AA28" s="72">
        <f t="shared" si="36"/>
        <v>630014106.56915593</v>
      </c>
      <c r="AB28" s="72">
        <f t="shared" si="36"/>
        <v>760834179.71078229</v>
      </c>
      <c r="AC28" s="72">
        <f t="shared" si="36"/>
        <v>891654252.85240865</v>
      </c>
      <c r="AE28" t="s">
        <v>125</v>
      </c>
      <c r="AF28" s="72">
        <f>AF3+AF25</f>
        <v>-2109234054.4186146</v>
      </c>
      <c r="AG28" s="72">
        <f>AG3+AG25</f>
        <v>3228167472.8857851</v>
      </c>
    </row>
    <row r="29" spans="1:33" x14ac:dyDescent="0.25">
      <c r="A29" s="29" t="s">
        <v>102</v>
      </c>
      <c r="B29" s="30">
        <v>10500</v>
      </c>
      <c r="C29" s="55"/>
      <c r="D29" s="55"/>
      <c r="E29" t="s">
        <v>126</v>
      </c>
      <c r="F29" s="72">
        <f>-PV($B$43,F26,,F28)</f>
        <v>-801541914.18065941</v>
      </c>
      <c r="G29" s="72">
        <f t="shared" ref="G29:AC29" si="37">-PV($B$43,G26,,G28)</f>
        <v>-993675161.30010235</v>
      </c>
      <c r="H29" s="72">
        <f t="shared" si="37"/>
        <v>-1196323739.3979084</v>
      </c>
      <c r="I29" s="72">
        <f t="shared" si="37"/>
        <v>98614760.078748405</v>
      </c>
      <c r="J29" s="72">
        <f t="shared" si="37"/>
        <v>97897130.422065154</v>
      </c>
      <c r="K29" s="72">
        <f t="shared" si="37"/>
        <v>97184723.02951093</v>
      </c>
      <c r="L29" s="72">
        <f t="shared" si="37"/>
        <v>96477499.898137569</v>
      </c>
      <c r="M29" s="72">
        <f t="shared" si="37"/>
        <v>95775423.301548272</v>
      </c>
      <c r="N29" s="72">
        <f t="shared" si="37"/>
        <v>95078455.787885025</v>
      </c>
      <c r="O29" s="72">
        <f t="shared" si="37"/>
        <v>94386560.177830815</v>
      </c>
      <c r="P29" s="72">
        <f t="shared" si="37"/>
        <v>93699699.562626362</v>
      </c>
      <c r="Q29" s="72">
        <f t="shared" si="37"/>
        <v>93017837.302101135</v>
      </c>
      <c r="R29" s="72">
        <f t="shared" si="37"/>
        <v>96256762.118138313</v>
      </c>
      <c r="S29" s="72">
        <f t="shared" si="37"/>
        <v>95556291.852864444</v>
      </c>
      <c r="T29" s="72">
        <f t="shared" si="37"/>
        <v>94860918.981079981</v>
      </c>
      <c r="U29" s="72">
        <f t="shared" si="37"/>
        <v>94170606.408533141</v>
      </c>
      <c r="V29" s="72">
        <f t="shared" si="37"/>
        <v>93485317.310910791</v>
      </c>
      <c r="W29" s="72">
        <f t="shared" si="37"/>
        <v>92805015.131874114</v>
      </c>
      <c r="X29" s="72">
        <f t="shared" si="37"/>
        <v>92129663.581108406</v>
      </c>
      <c r="Y29" s="72">
        <f t="shared" si="37"/>
        <v>91459226.63238737</v>
      </c>
      <c r="Z29" s="72">
        <f t="shared" si="37"/>
        <v>90793668.521651164</v>
      </c>
      <c r="AA29" s="72">
        <f t="shared" si="37"/>
        <v>540429567.27489889</v>
      </c>
      <c r="AB29" s="72">
        <f t="shared" si="37"/>
        <v>647898361.71165287</v>
      </c>
      <c r="AC29" s="72">
        <f t="shared" si="37"/>
        <v>753774414.31209719</v>
      </c>
      <c r="AE29" t="s">
        <v>126</v>
      </c>
      <c r="AF29" s="85">
        <f>-PV($B$42,AF2,,AF28)</f>
        <v>-1932240797.3787236</v>
      </c>
      <c r="AG29" s="85">
        <f>-PV($B$42,AG2,,AG28)</f>
        <v>2709124745.7396655</v>
      </c>
    </row>
    <row r="30" spans="1:33" x14ac:dyDescent="0.25">
      <c r="A30" s="47" t="s">
        <v>103</v>
      </c>
      <c r="B30" s="29"/>
      <c r="E30" t="s">
        <v>127</v>
      </c>
      <c r="F30" s="72">
        <f>F29</f>
        <v>-801541914.18065941</v>
      </c>
      <c r="G30" s="72">
        <f>F30+G29</f>
        <v>-1795217075.4807618</v>
      </c>
      <c r="H30" s="72">
        <f t="shared" ref="H30:AC30" si="38">G30+H29</f>
        <v>-2991540814.8786702</v>
      </c>
      <c r="I30" s="72">
        <f t="shared" si="38"/>
        <v>-2892926054.799922</v>
      </c>
      <c r="J30" s="72">
        <f t="shared" si="38"/>
        <v>-2795028924.3778567</v>
      </c>
      <c r="K30" s="72">
        <f t="shared" si="38"/>
        <v>-2697844201.3483458</v>
      </c>
      <c r="L30" s="72">
        <f t="shared" si="38"/>
        <v>-2601366701.4502082</v>
      </c>
      <c r="M30" s="72">
        <f t="shared" si="38"/>
        <v>-2505591278.1486597</v>
      </c>
      <c r="N30" s="72">
        <f t="shared" si="38"/>
        <v>-2410512822.3607745</v>
      </c>
      <c r="O30" s="72">
        <f t="shared" si="38"/>
        <v>-2316126262.1829438</v>
      </c>
      <c r="P30" s="72">
        <f t="shared" si="38"/>
        <v>-2222426562.6203175</v>
      </c>
      <c r="Q30" s="72">
        <f t="shared" si="38"/>
        <v>-2129408725.3182163</v>
      </c>
      <c r="R30" s="72">
        <f t="shared" si="38"/>
        <v>-2033151963.200078</v>
      </c>
      <c r="S30" s="72">
        <f t="shared" si="38"/>
        <v>-1937595671.3472135</v>
      </c>
      <c r="T30" s="72">
        <f t="shared" si="38"/>
        <v>-1842734752.3661335</v>
      </c>
      <c r="U30" s="72">
        <f t="shared" si="38"/>
        <v>-1748564145.9576004</v>
      </c>
      <c r="V30" s="72">
        <f t="shared" si="38"/>
        <v>-1655078828.6466897</v>
      </c>
      <c r="W30" s="72">
        <f t="shared" si="38"/>
        <v>-1562273813.5148156</v>
      </c>
      <c r="X30" s="72">
        <f t="shared" si="38"/>
        <v>-1470144149.9337072</v>
      </c>
      <c r="Y30" s="72">
        <f t="shared" si="38"/>
        <v>-1378684923.3013198</v>
      </c>
      <c r="Z30" s="72">
        <f t="shared" si="38"/>
        <v>-1287891254.7796686</v>
      </c>
      <c r="AA30" s="72">
        <f t="shared" si="38"/>
        <v>-747461687.50476968</v>
      </c>
      <c r="AB30" s="72">
        <f t="shared" si="38"/>
        <v>-99563325.793116808</v>
      </c>
      <c r="AC30" s="72">
        <f t="shared" si="38"/>
        <v>654211088.51898038</v>
      </c>
      <c r="AE30" t="s">
        <v>134</v>
      </c>
      <c r="AF30" s="85">
        <f>AF29</f>
        <v>-1932240797.3787236</v>
      </c>
      <c r="AG30" s="85">
        <f>AF30+AG29</f>
        <v>776883948.36094189</v>
      </c>
    </row>
    <row r="31" spans="1:33" x14ac:dyDescent="0.25">
      <c r="A31" s="42" t="s">
        <v>106</v>
      </c>
      <c r="B31" s="48">
        <f>B32*B33</f>
        <v>4942469.9999999991</v>
      </c>
      <c r="C31" s="56"/>
      <c r="D31" s="56"/>
    </row>
    <row r="32" spans="1:33" x14ac:dyDescent="0.25">
      <c r="A32" s="29" t="s">
        <v>67</v>
      </c>
      <c r="B32" s="33">
        <f>B3/B6</f>
        <v>3.9</v>
      </c>
      <c r="C32" s="55"/>
      <c r="D32" s="55"/>
      <c r="E32" s="59" t="s">
        <v>131</v>
      </c>
      <c r="F32" s="77">
        <f>NPV($B$43,G28:AC28)+F28</f>
        <v>654211088.51897967</v>
      </c>
      <c r="AE32" t="s">
        <v>131</v>
      </c>
      <c r="AF32" s="74">
        <f>NPV(B42,AF28:AG28)</f>
        <v>776883948.36094177</v>
      </c>
    </row>
    <row r="33" spans="1:32" x14ac:dyDescent="0.25">
      <c r="A33" s="29" t="s">
        <v>104</v>
      </c>
      <c r="B33" s="30">
        <f>(760000*1.15)*1.45</f>
        <v>1267299.9999999998</v>
      </c>
      <c r="C33" s="54"/>
      <c r="D33" s="54"/>
      <c r="E33" s="59" t="s">
        <v>132</v>
      </c>
      <c r="F33" s="83">
        <f>IRR(F28:AC28)</f>
        <v>2.0093010688249091E-2</v>
      </c>
      <c r="AE33" t="s">
        <v>132</v>
      </c>
      <c r="AF33" s="37">
        <f>IRR(AF28:AG28)</f>
        <v>0.53049277111903592</v>
      </c>
    </row>
    <row r="34" spans="1:32" x14ac:dyDescent="0.25">
      <c r="A34" s="49" t="s">
        <v>58</v>
      </c>
      <c r="B34" s="48">
        <f>(B5*(B4+1))*B7</f>
        <v>33600000</v>
      </c>
      <c r="C34" s="56"/>
      <c r="D34" s="56"/>
      <c r="E34" s="59" t="s">
        <v>133</v>
      </c>
      <c r="F34" s="83">
        <f>MIRR(F28:AC28,,B43)</f>
        <v>1.5663779067969896E-2</v>
      </c>
      <c r="AE34" t="s">
        <v>134</v>
      </c>
      <c r="AF34" s="8">
        <f>AF2+(-AF30/AG29)</f>
        <v>1.7132343390304712</v>
      </c>
    </row>
    <row r="35" spans="1:32" x14ac:dyDescent="0.25">
      <c r="A35" s="47" t="s">
        <v>112</v>
      </c>
      <c r="B35" s="29"/>
      <c r="E35" s="59" t="s">
        <v>134</v>
      </c>
      <c r="F35" s="78">
        <f>AB2+(-AB30/AC29)</f>
        <v>23.132086369479627</v>
      </c>
    </row>
    <row r="36" spans="1:32" x14ac:dyDescent="0.25">
      <c r="A36" s="29" t="s">
        <v>61</v>
      </c>
      <c r="B36" s="30">
        <v>10</v>
      </c>
    </row>
    <row r="37" spans="1:32" x14ac:dyDescent="0.25">
      <c r="A37" s="29" t="s">
        <v>37</v>
      </c>
      <c r="B37" s="30">
        <v>4000</v>
      </c>
    </row>
    <row r="38" spans="1:32" x14ac:dyDescent="0.25">
      <c r="A38" s="43" t="s">
        <v>97</v>
      </c>
      <c r="B38" s="30">
        <v>0</v>
      </c>
    </row>
    <row r="39" spans="1:32" x14ac:dyDescent="0.25">
      <c r="A39" s="31" t="s">
        <v>101</v>
      </c>
      <c r="B39" s="30">
        <f>O.Gastos!C12</f>
        <v>500</v>
      </c>
    </row>
    <row r="40" spans="1:32" x14ac:dyDescent="0.25">
      <c r="A40" s="31" t="s">
        <v>149</v>
      </c>
      <c r="B40" s="30">
        <f>SUM(B68:B70)</f>
        <v>7750000</v>
      </c>
    </row>
    <row r="41" spans="1:32" x14ac:dyDescent="0.25">
      <c r="A41" s="46" t="s">
        <v>110</v>
      </c>
      <c r="B41" s="32">
        <v>0.33</v>
      </c>
    </row>
    <row r="42" spans="1:32" x14ac:dyDescent="0.25">
      <c r="A42" s="43" t="s">
        <v>128</v>
      </c>
      <c r="B42" s="73">
        <v>9.1600000000000001E-2</v>
      </c>
      <c r="C42" t="s">
        <v>129</v>
      </c>
    </row>
    <row r="43" spans="1:32" x14ac:dyDescent="0.25">
      <c r="A43" s="43" t="s">
        <v>128</v>
      </c>
      <c r="B43" s="9">
        <f>(((1+B42)^(1/12))-1)</f>
        <v>7.3304462918302171E-3</v>
      </c>
      <c r="C43" t="s">
        <v>130</v>
      </c>
    </row>
    <row r="44" spans="1:32" x14ac:dyDescent="0.25">
      <c r="A44">
        <v>27</v>
      </c>
      <c r="B44" s="37">
        <v>0.33</v>
      </c>
      <c r="C44" s="71">
        <f>((A44*B44)+(A45*B45)+(A46*B46))</f>
        <v>67.814999999999998</v>
      </c>
      <c r="D44" s="71" t="s">
        <v>124</v>
      </c>
    </row>
    <row r="45" spans="1:32" x14ac:dyDescent="0.25">
      <c r="A45">
        <f>(A44+A46)/2</f>
        <v>68.5</v>
      </c>
      <c r="B45" s="37">
        <v>0.33</v>
      </c>
    </row>
    <row r="46" spans="1:32" x14ac:dyDescent="0.25">
      <c r="A46">
        <v>110</v>
      </c>
      <c r="B46" s="37">
        <v>0.33</v>
      </c>
    </row>
    <row r="49" spans="1:5" x14ac:dyDescent="0.25">
      <c r="A49" s="121" t="s">
        <v>144</v>
      </c>
      <c r="B49" s="121"/>
      <c r="C49" s="121"/>
      <c r="D49" s="121"/>
      <c r="E49" s="121"/>
    </row>
    <row r="50" spans="1:5" x14ac:dyDescent="0.25">
      <c r="A50" s="29" t="s">
        <v>143</v>
      </c>
      <c r="B50" s="81" t="s">
        <v>72</v>
      </c>
      <c r="C50" s="81" t="s">
        <v>71</v>
      </c>
      <c r="D50" s="81" t="s">
        <v>70</v>
      </c>
      <c r="E50" s="82" t="s">
        <v>69</v>
      </c>
    </row>
    <row r="51" spans="1:5" x14ac:dyDescent="0.25">
      <c r="A51" s="29">
        <v>1</v>
      </c>
      <c r="B51" s="29">
        <v>30</v>
      </c>
      <c r="C51" s="29">
        <v>30</v>
      </c>
      <c r="D51" s="29">
        <v>30</v>
      </c>
      <c r="E51" s="29">
        <v>30</v>
      </c>
    </row>
    <row r="52" spans="1:5" x14ac:dyDescent="0.25">
      <c r="A52" s="29">
        <v>2</v>
      </c>
      <c r="B52" s="29">
        <v>23</v>
      </c>
      <c r="C52" s="29">
        <v>30</v>
      </c>
      <c r="D52" s="29">
        <v>30</v>
      </c>
      <c r="E52" s="29">
        <v>30</v>
      </c>
    </row>
    <row r="53" spans="1:5" x14ac:dyDescent="0.25">
      <c r="A53" s="29">
        <v>3</v>
      </c>
      <c r="B53" s="29">
        <v>16</v>
      </c>
      <c r="C53" s="29">
        <v>30</v>
      </c>
      <c r="D53" s="29">
        <v>30</v>
      </c>
      <c r="E53" s="29">
        <v>30</v>
      </c>
    </row>
    <row r="54" spans="1:5" x14ac:dyDescent="0.25">
      <c r="A54" s="29">
        <v>4</v>
      </c>
      <c r="B54" s="29">
        <v>7</v>
      </c>
      <c r="C54" s="29">
        <v>30</v>
      </c>
      <c r="D54" s="29">
        <v>30</v>
      </c>
      <c r="E54" s="29">
        <v>30</v>
      </c>
    </row>
    <row r="55" spans="1:5" x14ac:dyDescent="0.25">
      <c r="A55" s="29">
        <v>5</v>
      </c>
      <c r="B55" s="29">
        <v>1</v>
      </c>
      <c r="C55" s="29">
        <v>30</v>
      </c>
      <c r="D55" s="29">
        <v>30</v>
      </c>
      <c r="E55" s="29">
        <v>30</v>
      </c>
    </row>
    <row r="56" spans="1:5" x14ac:dyDescent="0.25">
      <c r="A56" s="29">
        <v>6</v>
      </c>
      <c r="B56" s="29"/>
      <c r="C56" s="29">
        <v>23</v>
      </c>
      <c r="D56" s="29">
        <v>30</v>
      </c>
      <c r="E56" s="29">
        <v>30</v>
      </c>
    </row>
    <row r="57" spans="1:5" x14ac:dyDescent="0.25">
      <c r="A57" s="29">
        <v>7</v>
      </c>
      <c r="B57" s="29"/>
      <c r="C57" s="29">
        <v>16</v>
      </c>
      <c r="D57" s="29">
        <v>30</v>
      </c>
      <c r="E57" s="29">
        <v>30</v>
      </c>
    </row>
    <row r="58" spans="1:5" x14ac:dyDescent="0.25">
      <c r="A58" s="29">
        <v>8</v>
      </c>
      <c r="B58" s="29"/>
      <c r="C58" s="29">
        <v>7</v>
      </c>
      <c r="D58" s="29">
        <v>30</v>
      </c>
      <c r="E58" s="29">
        <v>30</v>
      </c>
    </row>
    <row r="59" spans="1:5" x14ac:dyDescent="0.25">
      <c r="A59" s="29">
        <v>9</v>
      </c>
      <c r="B59" s="29"/>
      <c r="C59" s="29">
        <v>1</v>
      </c>
      <c r="D59" s="29">
        <v>30</v>
      </c>
      <c r="E59" s="29">
        <v>30</v>
      </c>
    </row>
    <row r="60" spans="1:5" x14ac:dyDescent="0.25">
      <c r="A60" s="29">
        <v>10</v>
      </c>
      <c r="B60" s="29"/>
      <c r="C60" s="29"/>
      <c r="D60" s="29">
        <v>23</v>
      </c>
      <c r="E60" s="29">
        <v>30</v>
      </c>
    </row>
    <row r="61" spans="1:5" x14ac:dyDescent="0.25">
      <c r="A61" s="29">
        <v>11</v>
      </c>
      <c r="B61" s="29"/>
      <c r="C61" s="29"/>
      <c r="D61" s="29">
        <v>16</v>
      </c>
      <c r="E61" s="29">
        <v>30</v>
      </c>
    </row>
    <row r="62" spans="1:5" x14ac:dyDescent="0.25">
      <c r="A62" s="29">
        <v>12</v>
      </c>
      <c r="B62" s="29"/>
      <c r="C62" s="29"/>
      <c r="D62" s="29">
        <v>7</v>
      </c>
      <c r="E62" s="29">
        <v>30</v>
      </c>
    </row>
    <row r="63" spans="1:5" x14ac:dyDescent="0.25">
      <c r="A63" s="29">
        <v>13</v>
      </c>
      <c r="B63" s="29"/>
      <c r="C63" s="29"/>
      <c r="D63" s="29">
        <v>1</v>
      </c>
      <c r="E63" s="29">
        <v>30</v>
      </c>
    </row>
    <row r="64" spans="1:5" x14ac:dyDescent="0.25">
      <c r="A64" s="34" t="s">
        <v>1</v>
      </c>
      <c r="B64" s="34">
        <f>SUM(B51:B63)</f>
        <v>77</v>
      </c>
      <c r="C64" s="34">
        <f t="shared" ref="C64:E64" si="39">SUM(C51:C63)</f>
        <v>197</v>
      </c>
      <c r="D64" s="34">
        <f t="shared" si="39"/>
        <v>317</v>
      </c>
      <c r="E64" s="34">
        <f t="shared" si="39"/>
        <v>390</v>
      </c>
    </row>
    <row r="66" spans="1:2" x14ac:dyDescent="0.25">
      <c r="A66" s="121" t="s">
        <v>100</v>
      </c>
      <c r="B66" s="121"/>
    </row>
    <row r="67" spans="1:2" x14ac:dyDescent="0.25">
      <c r="A67" s="29" t="s">
        <v>148</v>
      </c>
      <c r="B67" s="29" t="s">
        <v>66</v>
      </c>
    </row>
    <row r="68" spans="1:2" x14ac:dyDescent="0.25">
      <c r="A68" s="29" t="s">
        <v>145</v>
      </c>
      <c r="B68" s="39">
        <f>3000000*1.45</f>
        <v>4350000</v>
      </c>
    </row>
    <row r="69" spans="1:2" x14ac:dyDescent="0.25">
      <c r="A69" s="29" t="s">
        <v>146</v>
      </c>
      <c r="B69" s="39">
        <f>2000000*1.45</f>
        <v>2900000</v>
      </c>
    </row>
    <row r="70" spans="1:2" x14ac:dyDescent="0.25">
      <c r="A70" s="29" t="s">
        <v>147</v>
      </c>
      <c r="B70" s="39">
        <v>500000</v>
      </c>
    </row>
  </sheetData>
  <mergeCells count="8">
    <mergeCell ref="R1:AC1"/>
    <mergeCell ref="AE1:AE2"/>
    <mergeCell ref="AF1:AG1"/>
    <mergeCell ref="A49:E49"/>
    <mergeCell ref="A66:B66"/>
    <mergeCell ref="A1:B1"/>
    <mergeCell ref="E1:E2"/>
    <mergeCell ref="F1:Q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9"/>
  <sheetViews>
    <sheetView topLeftCell="A8" workbookViewId="0">
      <selection activeCell="F18" sqref="F18"/>
    </sheetView>
  </sheetViews>
  <sheetFormatPr baseColWidth="10" defaultColWidth="10.875" defaultRowHeight="15.75" x14ac:dyDescent="0.25"/>
  <cols>
    <col min="1" max="1" width="11.75" bestFit="1" customWidth="1"/>
    <col min="5" max="5" width="9.5" bestFit="1" customWidth="1"/>
    <col min="9" max="9" width="13.375" bestFit="1" customWidth="1"/>
  </cols>
  <sheetData>
    <row r="1" spans="1:17" x14ac:dyDescent="0.25">
      <c r="A1" t="s">
        <v>80</v>
      </c>
      <c r="B1" s="79">
        <f>'Flujo de Caja'!B26</f>
        <v>235791</v>
      </c>
      <c r="D1" t="s">
        <v>135</v>
      </c>
      <c r="E1" t="s">
        <v>79</v>
      </c>
      <c r="F1" t="s">
        <v>78</v>
      </c>
      <c r="G1" t="s">
        <v>77</v>
      </c>
    </row>
    <row r="2" spans="1:17" x14ac:dyDescent="0.25">
      <c r="D2">
        <v>9</v>
      </c>
      <c r="E2" s="76">
        <v>85.7</v>
      </c>
      <c r="F2" s="7">
        <f t="shared" ref="F2:F9" si="0">$B$1/E2</f>
        <v>2751.3535589264875</v>
      </c>
      <c r="G2" s="11">
        <f>Lechon!F17/Lechon!K17</f>
        <v>1.9991539763113368</v>
      </c>
    </row>
    <row r="3" spans="1:17" x14ac:dyDescent="0.25">
      <c r="D3">
        <v>10</v>
      </c>
      <c r="E3" s="76">
        <v>92.8</v>
      </c>
      <c r="F3" s="7">
        <f t="shared" si="0"/>
        <v>2540.8512931034484</v>
      </c>
      <c r="G3" s="11">
        <f>Lechon!F18/Lechon!K18</f>
        <v>2.0635951661631422</v>
      </c>
    </row>
    <row r="4" spans="1:17" x14ac:dyDescent="0.25">
      <c r="D4">
        <v>11</v>
      </c>
      <c r="E4" s="76">
        <v>100</v>
      </c>
      <c r="F4" s="7">
        <f t="shared" si="0"/>
        <v>2357.91</v>
      </c>
      <c r="G4" s="11">
        <f>Lechon!F19/Lechon!K19</f>
        <v>2.1202997275204361</v>
      </c>
    </row>
    <row r="5" spans="1:17" x14ac:dyDescent="0.25">
      <c r="D5">
        <v>12</v>
      </c>
      <c r="E5" s="76">
        <v>107.5</v>
      </c>
      <c r="F5" s="7">
        <f t="shared" si="0"/>
        <v>2193.4046511627907</v>
      </c>
      <c r="G5" s="11">
        <f>Lechon!F20/Lechon!K20</f>
        <v>2.1919653893695923</v>
      </c>
    </row>
    <row r="6" spans="1:17" x14ac:dyDescent="0.25">
      <c r="D6">
        <v>13</v>
      </c>
      <c r="E6" s="76">
        <v>115.1</v>
      </c>
      <c r="F6" s="7">
        <f t="shared" si="0"/>
        <v>2048.5751520417029</v>
      </c>
      <c r="G6" s="11">
        <f>Lechon!F21/Lechon!K21</f>
        <v>2.2636158192090399</v>
      </c>
    </row>
    <row r="7" spans="1:17" x14ac:dyDescent="0.25">
      <c r="D7">
        <v>14</v>
      </c>
      <c r="E7" s="76">
        <v>122.69999999999999</v>
      </c>
      <c r="F7" s="7">
        <f t="shared" si="0"/>
        <v>1921.6870415647923</v>
      </c>
      <c r="G7" s="11">
        <f>Lechon!F22/Lechon!K22</f>
        <v>2.3374609781477633</v>
      </c>
    </row>
    <row r="8" spans="1:17" x14ac:dyDescent="0.25">
      <c r="D8">
        <v>15</v>
      </c>
      <c r="E8" s="76">
        <v>130.29999999999998</v>
      </c>
      <c r="F8" s="7">
        <f t="shared" si="0"/>
        <v>1809.6009209516503</v>
      </c>
      <c r="G8" s="11">
        <f>Lechon!F23/Lechon!K23</f>
        <v>2.416875602700097</v>
      </c>
      <c r="O8" s="76">
        <f>E4</f>
        <v>100</v>
      </c>
      <c r="P8">
        <f>G4</f>
        <v>2.1202997275204361</v>
      </c>
    </row>
    <row r="9" spans="1:17" x14ac:dyDescent="0.25">
      <c r="D9">
        <v>16</v>
      </c>
      <c r="E9" s="76">
        <v>137.89999999999998</v>
      </c>
      <c r="F9" s="7">
        <f t="shared" si="0"/>
        <v>1709.8694706308922</v>
      </c>
      <c r="G9" s="11">
        <f>Lechon!F24/Lechon!K24</f>
        <v>2.4989218328840974</v>
      </c>
      <c r="O9">
        <v>90</v>
      </c>
      <c r="P9" t="s">
        <v>137</v>
      </c>
    </row>
    <row r="10" spans="1:17" x14ac:dyDescent="0.25">
      <c r="E10" s="36"/>
      <c r="Q10">
        <f>(P8*O9)/O8</f>
        <v>1.9082697547683924</v>
      </c>
    </row>
    <row r="11" spans="1:17" x14ac:dyDescent="0.25">
      <c r="E11" s="36"/>
    </row>
    <row r="12" spans="1:17" x14ac:dyDescent="0.25">
      <c r="E12" s="36"/>
    </row>
    <row r="13" spans="1:17" x14ac:dyDescent="0.25">
      <c r="E13" s="36"/>
    </row>
    <row r="14" spans="1:17" x14ac:dyDescent="0.25">
      <c r="E14" s="36"/>
    </row>
    <row r="15" spans="1:17" x14ac:dyDescent="0.25">
      <c r="E15" s="36"/>
    </row>
    <row r="16" spans="1:17" x14ac:dyDescent="0.25">
      <c r="E16" s="36"/>
    </row>
    <row r="17" spans="1:15" x14ac:dyDescent="0.25">
      <c r="B17" s="96" t="s">
        <v>167</v>
      </c>
      <c r="C17" s="96" t="s">
        <v>168</v>
      </c>
      <c r="D17" s="96" t="s">
        <v>13</v>
      </c>
      <c r="E17" s="105" t="s">
        <v>169</v>
      </c>
      <c r="F17" s="96" t="s">
        <v>170</v>
      </c>
      <c r="G17" s="96" t="s">
        <v>49</v>
      </c>
      <c r="H17" s="96" t="s">
        <v>50</v>
      </c>
      <c r="I17" s="96" t="s">
        <v>48</v>
      </c>
      <c r="J17" s="96" t="s">
        <v>46</v>
      </c>
      <c r="K17" s="96" t="s">
        <v>51</v>
      </c>
    </row>
    <row r="18" spans="1:15" x14ac:dyDescent="0.25">
      <c r="E18" s="36"/>
    </row>
    <row r="19" spans="1:15" x14ac:dyDescent="0.25">
      <c r="A19">
        <v>0</v>
      </c>
      <c r="B19" s="97">
        <v>7</v>
      </c>
      <c r="E19" s="36"/>
    </row>
    <row r="20" spans="1:15" x14ac:dyDescent="0.25">
      <c r="A20">
        <v>0</v>
      </c>
      <c r="B20" s="97">
        <v>8.4</v>
      </c>
      <c r="E20" s="36"/>
      <c r="N20" t="s">
        <v>79</v>
      </c>
      <c r="O20" t="s">
        <v>77</v>
      </c>
    </row>
    <row r="21" spans="1:15" x14ac:dyDescent="0.25">
      <c r="A21">
        <v>1</v>
      </c>
      <c r="B21" s="97">
        <v>8.4499999999999993</v>
      </c>
      <c r="C21" s="8">
        <v>8.4499999999999993</v>
      </c>
      <c r="D21" s="98">
        <v>4.2180402336145353E-2</v>
      </c>
      <c r="E21" s="8">
        <v>27</v>
      </c>
      <c r="F21" s="8">
        <v>32.6</v>
      </c>
      <c r="G21">
        <v>6</v>
      </c>
      <c r="H21">
        <v>6</v>
      </c>
      <c r="I21" s="11">
        <v>1.4083333333333332</v>
      </c>
      <c r="J21" s="11">
        <v>0.8571428571428571</v>
      </c>
      <c r="K21" s="2">
        <v>272207.41949028336</v>
      </c>
      <c r="N21">
        <v>84</v>
      </c>
      <c r="O21" s="36">
        <v>1.9594974796983931</v>
      </c>
    </row>
    <row r="22" spans="1:15" x14ac:dyDescent="0.25">
      <c r="A22">
        <v>2</v>
      </c>
      <c r="B22" s="97">
        <v>10</v>
      </c>
      <c r="C22" s="8">
        <v>18.45</v>
      </c>
      <c r="D22" s="98">
        <v>4.9917635900763736E-2</v>
      </c>
      <c r="E22" s="8">
        <v>32.6</v>
      </c>
      <c r="F22" s="8">
        <v>38.800000000000004</v>
      </c>
      <c r="G22">
        <v>6.2</v>
      </c>
      <c r="H22">
        <v>12.2</v>
      </c>
      <c r="I22" s="11">
        <v>1.6129032258064515</v>
      </c>
      <c r="J22" s="11">
        <v>0.88571428571428579</v>
      </c>
      <c r="K22" s="2">
        <v>284546.37746694998</v>
      </c>
      <c r="N22">
        <v>86</v>
      </c>
      <c r="O22" s="36">
        <v>2.006152181595974</v>
      </c>
    </row>
    <row r="23" spans="1:15" x14ac:dyDescent="0.25">
      <c r="A23">
        <v>3</v>
      </c>
      <c r="B23" s="97">
        <v>11</v>
      </c>
      <c r="C23" s="8">
        <v>29.45</v>
      </c>
      <c r="D23" s="98">
        <v>5.4909399490840109E-2</v>
      </c>
      <c r="E23" s="8">
        <v>38.800000000000004</v>
      </c>
      <c r="F23" s="8">
        <v>45.2</v>
      </c>
      <c r="G23">
        <v>6.4</v>
      </c>
      <c r="H23">
        <v>18.600000000000001</v>
      </c>
      <c r="I23" s="11">
        <v>1.71875</v>
      </c>
      <c r="J23" s="11">
        <v>0.91428571428571437</v>
      </c>
      <c r="K23" s="2">
        <v>298119.23124128336</v>
      </c>
      <c r="N23">
        <v>88</v>
      </c>
      <c r="O23" s="36">
        <v>2.0528068834935547</v>
      </c>
    </row>
    <row r="24" spans="1:15" x14ac:dyDescent="0.25">
      <c r="A24">
        <v>4</v>
      </c>
      <c r="B24" s="97">
        <v>12.5</v>
      </c>
      <c r="C24" s="8">
        <v>41.95</v>
      </c>
      <c r="D24" s="98">
        <v>6.2397044875954669E-2</v>
      </c>
      <c r="E24" s="8">
        <v>45.2</v>
      </c>
      <c r="F24" s="8">
        <v>51.7</v>
      </c>
      <c r="G24">
        <v>6.5</v>
      </c>
      <c r="H24">
        <v>25.1</v>
      </c>
      <c r="I24" s="11">
        <v>1.9230769230769231</v>
      </c>
      <c r="J24" s="11">
        <v>0.9285714285714286</v>
      </c>
      <c r="K24" s="2">
        <v>313542.92871211667</v>
      </c>
      <c r="N24">
        <v>90</v>
      </c>
      <c r="O24" s="36">
        <v>1.9082697547683924</v>
      </c>
    </row>
    <row r="25" spans="1:15" x14ac:dyDescent="0.25">
      <c r="A25">
        <v>5</v>
      </c>
      <c r="B25" s="97">
        <v>13.7</v>
      </c>
      <c r="C25" s="8">
        <v>55.650000000000006</v>
      </c>
      <c r="D25" s="98">
        <v>6.8387161184046322E-2</v>
      </c>
      <c r="E25" s="8">
        <v>51.7</v>
      </c>
      <c r="F25" s="8">
        <v>58.300000000000004</v>
      </c>
      <c r="G25">
        <v>6.6</v>
      </c>
      <c r="H25">
        <v>31.700000000000003</v>
      </c>
      <c r="I25" s="11">
        <v>2.0757575757575757</v>
      </c>
      <c r="J25" s="11">
        <v>0.94285714285714284</v>
      </c>
      <c r="K25" s="2">
        <v>330447.30114015</v>
      </c>
      <c r="N25">
        <v>92</v>
      </c>
      <c r="O25" s="36">
        <v>1.9506757493188014</v>
      </c>
    </row>
    <row r="26" spans="1:15" x14ac:dyDescent="0.25">
      <c r="A26">
        <v>6</v>
      </c>
      <c r="B26" s="97">
        <v>14.4</v>
      </c>
      <c r="C26" s="8">
        <v>70.050000000000011</v>
      </c>
      <c r="D26" s="98">
        <v>7.1881395697099781E-2</v>
      </c>
      <c r="E26" s="8">
        <v>58.300000000000004</v>
      </c>
      <c r="F26" s="8">
        <v>65</v>
      </c>
      <c r="G26">
        <v>6.7</v>
      </c>
      <c r="H26">
        <v>38.400000000000006</v>
      </c>
      <c r="I26" s="11">
        <v>2.1492537313432836</v>
      </c>
      <c r="J26" s="11">
        <v>0.95714285714285718</v>
      </c>
      <c r="K26" s="2">
        <v>348215.40062655002</v>
      </c>
      <c r="N26">
        <v>94</v>
      </c>
      <c r="O26" s="36"/>
    </row>
    <row r="27" spans="1:15" x14ac:dyDescent="0.25">
      <c r="A27">
        <v>7</v>
      </c>
      <c r="B27" s="97">
        <v>15.1</v>
      </c>
      <c r="C27" s="8">
        <v>85.15</v>
      </c>
      <c r="D27" s="98">
        <v>7.5375630210153241E-2</v>
      </c>
      <c r="E27" s="8">
        <v>65</v>
      </c>
      <c r="F27" s="8">
        <v>71.8</v>
      </c>
      <c r="G27">
        <v>6.8</v>
      </c>
      <c r="H27">
        <v>45.2</v>
      </c>
      <c r="I27" s="11">
        <v>2.2205882352941178</v>
      </c>
      <c r="J27" s="11">
        <v>0.97142857142857142</v>
      </c>
      <c r="K27" s="2">
        <v>366847.22717131668</v>
      </c>
      <c r="N27">
        <v>96</v>
      </c>
      <c r="O27" s="36"/>
    </row>
    <row r="28" spans="1:15" x14ac:dyDescent="0.25">
      <c r="A28">
        <v>8</v>
      </c>
      <c r="B28" s="97">
        <v>16.149999999999999</v>
      </c>
      <c r="C28" s="8">
        <v>101.30000000000001</v>
      </c>
      <c r="D28" s="98">
        <v>8.0616981979733424E-2</v>
      </c>
      <c r="E28" s="8">
        <v>71.8</v>
      </c>
      <c r="F28" s="8">
        <v>78.7</v>
      </c>
      <c r="G28">
        <v>6.9</v>
      </c>
      <c r="H28">
        <v>52.1</v>
      </c>
      <c r="I28" s="11">
        <v>2.3405797101449273</v>
      </c>
      <c r="J28" s="11">
        <v>0.98571428571428577</v>
      </c>
      <c r="K28" s="2">
        <v>386774.64430363337</v>
      </c>
      <c r="N28">
        <v>98</v>
      </c>
      <c r="O28" s="36"/>
    </row>
    <row r="29" spans="1:15" x14ac:dyDescent="0.25">
      <c r="A29">
        <v>9</v>
      </c>
      <c r="B29" s="97">
        <v>16.850000000000001</v>
      </c>
      <c r="C29" s="8">
        <v>118.15</v>
      </c>
      <c r="D29" s="98">
        <v>8.4111216492786897E-2</v>
      </c>
      <c r="E29" s="8">
        <v>78.7</v>
      </c>
      <c r="F29" s="8">
        <v>85.7</v>
      </c>
      <c r="G29">
        <v>7</v>
      </c>
      <c r="H29">
        <v>59.1</v>
      </c>
      <c r="I29" s="11">
        <v>2.4071428571428575</v>
      </c>
      <c r="J29" s="11">
        <v>1</v>
      </c>
      <c r="K29" s="2">
        <v>407565.78849431663</v>
      </c>
      <c r="N29">
        <v>100</v>
      </c>
      <c r="O29" s="36"/>
    </row>
    <row r="30" spans="1:15" x14ac:dyDescent="0.25">
      <c r="A30">
        <v>10</v>
      </c>
      <c r="B30" s="97">
        <v>18.46</v>
      </c>
      <c r="C30" s="8">
        <v>136.61000000000001</v>
      </c>
      <c r="D30" s="98">
        <v>9.2147955872809856E-2</v>
      </c>
      <c r="E30" s="8">
        <v>85.7</v>
      </c>
      <c r="F30" s="8">
        <v>92.8</v>
      </c>
      <c r="G30">
        <v>7.1</v>
      </c>
      <c r="H30">
        <v>66.2</v>
      </c>
      <c r="I30" s="11">
        <v>2.6</v>
      </c>
      <c r="J30" s="11">
        <v>1.0142857142857142</v>
      </c>
      <c r="K30" s="2">
        <v>430343.50491924334</v>
      </c>
      <c r="N30">
        <v>102</v>
      </c>
      <c r="O30" s="36"/>
    </row>
    <row r="31" spans="1:15" x14ac:dyDescent="0.25">
      <c r="A31">
        <v>11</v>
      </c>
      <c r="B31" s="97">
        <v>19.02</v>
      </c>
      <c r="C31" s="8">
        <v>155.63000000000002</v>
      </c>
      <c r="D31" s="98">
        <v>9.4943343483252632E-2</v>
      </c>
      <c r="E31" s="8">
        <v>92.8</v>
      </c>
      <c r="F31" s="8">
        <v>100</v>
      </c>
      <c r="G31">
        <v>7.2</v>
      </c>
      <c r="H31">
        <v>73.400000000000006</v>
      </c>
      <c r="I31" s="11">
        <v>2.6416666666666666</v>
      </c>
      <c r="J31" s="11">
        <v>1.0285714285714287</v>
      </c>
      <c r="K31" s="2">
        <v>453812.20299086336</v>
      </c>
      <c r="N31">
        <v>104</v>
      </c>
      <c r="O31" s="36"/>
    </row>
    <row r="32" spans="1:15" x14ac:dyDescent="0.25">
      <c r="A32">
        <v>12</v>
      </c>
      <c r="B32" s="97">
        <v>21.7</v>
      </c>
      <c r="C32" s="8">
        <v>177.33</v>
      </c>
      <c r="D32" s="98">
        <v>0.10832126990465731</v>
      </c>
      <c r="E32" s="8">
        <v>100</v>
      </c>
      <c r="F32" s="8">
        <v>107.5</v>
      </c>
      <c r="G32">
        <v>7.5</v>
      </c>
      <c r="H32">
        <v>80.900000000000006</v>
      </c>
      <c r="I32" s="11">
        <v>2.8933333333333331</v>
      </c>
      <c r="J32" s="11">
        <v>1.0714285714285714</v>
      </c>
      <c r="K32" s="2">
        <v>480587.74180023</v>
      </c>
      <c r="N32">
        <v>106</v>
      </c>
      <c r="O32" s="36"/>
    </row>
    <row r="33" spans="1:15" x14ac:dyDescent="0.25">
      <c r="A33" s="99">
        <v>13</v>
      </c>
      <c r="B33" s="100">
        <v>23</v>
      </c>
      <c r="C33" s="101">
        <v>200.33</v>
      </c>
      <c r="D33" s="102">
        <v>0.11481056257175659</v>
      </c>
      <c r="E33" s="101">
        <v>107.5</v>
      </c>
      <c r="F33" s="101">
        <v>115.1</v>
      </c>
      <c r="G33" s="99">
        <v>7.6</v>
      </c>
      <c r="H33" s="99">
        <v>88.5</v>
      </c>
      <c r="I33" s="103">
        <v>3.0263157894736845</v>
      </c>
      <c r="J33" s="103">
        <v>1.0857142857142856</v>
      </c>
      <c r="K33" s="104">
        <v>508967.34514656337</v>
      </c>
      <c r="N33">
        <v>108</v>
      </c>
      <c r="O33" s="36"/>
    </row>
    <row r="34" spans="1:15" x14ac:dyDescent="0.25">
      <c r="A34">
        <v>14</v>
      </c>
      <c r="B34" s="97">
        <v>24.3</v>
      </c>
      <c r="C34" s="8">
        <v>224.63000000000002</v>
      </c>
      <c r="D34" s="98">
        <v>0.12129985523885588</v>
      </c>
      <c r="E34" s="8">
        <v>115.1</v>
      </c>
      <c r="F34" s="8">
        <v>122.69999999999999</v>
      </c>
      <c r="G34">
        <v>7.6</v>
      </c>
      <c r="H34">
        <v>96.1</v>
      </c>
      <c r="I34" s="11">
        <v>3.1973684210526319</v>
      </c>
      <c r="J34" s="11">
        <v>1.0857142857142856</v>
      </c>
      <c r="K34" s="2">
        <v>538951.01302986336</v>
      </c>
      <c r="N34">
        <v>110</v>
      </c>
      <c r="O34" s="36"/>
    </row>
    <row r="35" spans="1:15" x14ac:dyDescent="0.25">
      <c r="A35">
        <v>15</v>
      </c>
      <c r="B35" s="97">
        <v>26</v>
      </c>
      <c r="C35" s="8">
        <v>250.63000000000002</v>
      </c>
      <c r="D35" s="98">
        <v>0.12978585334198572</v>
      </c>
      <c r="E35" s="8">
        <v>122.69999999999999</v>
      </c>
      <c r="F35" s="8">
        <v>130.29999999999998</v>
      </c>
      <c r="G35">
        <v>7.6</v>
      </c>
      <c r="H35">
        <v>103.69999999999999</v>
      </c>
      <c r="I35" s="11">
        <v>3.4210526315789473</v>
      </c>
      <c r="J35" s="11">
        <v>1.0857142857142856</v>
      </c>
      <c r="K35" s="2">
        <v>571032.30376919662</v>
      </c>
      <c r="N35">
        <v>112</v>
      </c>
      <c r="O35" s="36"/>
    </row>
    <row r="36" spans="1:15" x14ac:dyDescent="0.25">
      <c r="A36">
        <v>16</v>
      </c>
      <c r="B36" s="97">
        <v>27.5</v>
      </c>
      <c r="C36" s="8">
        <v>278.13</v>
      </c>
      <c r="D36" s="98">
        <v>0.13727349872710026</v>
      </c>
      <c r="E36" s="8">
        <v>130.29999999999998</v>
      </c>
      <c r="F36" s="8">
        <v>137.89999999999998</v>
      </c>
      <c r="G36">
        <v>7.6</v>
      </c>
      <c r="H36">
        <v>111.29999999999998</v>
      </c>
      <c r="I36" s="11">
        <v>3.6184210526315792</v>
      </c>
      <c r="J36" s="11">
        <v>1.0857142857142856</v>
      </c>
      <c r="K36" s="2">
        <v>604964.43820503005</v>
      </c>
      <c r="N36">
        <v>114</v>
      </c>
      <c r="O36" s="36"/>
    </row>
    <row r="37" spans="1:15" x14ac:dyDescent="0.25">
      <c r="N37">
        <v>116</v>
      </c>
      <c r="O37" s="36"/>
    </row>
    <row r="38" spans="1:15" x14ac:dyDescent="0.25">
      <c r="N38">
        <v>118</v>
      </c>
      <c r="O38" s="36"/>
    </row>
    <row r="39" spans="1:15" x14ac:dyDescent="0.25">
      <c r="N39">
        <v>120</v>
      </c>
      <c r="O39" s="3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V24"/>
  <sheetViews>
    <sheetView showGridLines="0" workbookViewId="0">
      <selection activeCell="B6" sqref="B6"/>
    </sheetView>
  </sheetViews>
  <sheetFormatPr baseColWidth="10" defaultColWidth="10.875" defaultRowHeight="15.75" x14ac:dyDescent="0.25"/>
  <cols>
    <col min="1" max="1" width="21" bestFit="1" customWidth="1"/>
    <col min="2" max="2" width="15" bestFit="1" customWidth="1"/>
    <col min="3" max="4" width="12.75" customWidth="1"/>
    <col min="5" max="5" width="23.5" bestFit="1" customWidth="1"/>
    <col min="6" max="6" width="13.75" bestFit="1" customWidth="1"/>
    <col min="7" max="15" width="3.375" bestFit="1" customWidth="1"/>
    <col min="16" max="17" width="11.375" bestFit="1" customWidth="1"/>
    <col min="18" max="18" width="13.75" bestFit="1" customWidth="1"/>
    <col min="19" max="29" width="12.375" bestFit="1" customWidth="1"/>
    <col min="30" max="30" width="13.75" bestFit="1" customWidth="1"/>
    <col min="31" max="125" width="12.375" bestFit="1" customWidth="1"/>
    <col min="126" max="126" width="13.75" bestFit="1" customWidth="1"/>
  </cols>
  <sheetData>
    <row r="1" spans="1:126" x14ac:dyDescent="0.25">
      <c r="E1" s="29"/>
      <c r="F1" s="121" t="s">
        <v>122</v>
      </c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</row>
    <row r="2" spans="1:126" x14ac:dyDescent="0.25">
      <c r="E2" s="29"/>
      <c r="F2" s="29">
        <v>0</v>
      </c>
      <c r="G2" s="29">
        <v>1</v>
      </c>
      <c r="H2" s="29">
        <v>2</v>
      </c>
      <c r="I2" s="29">
        <v>3</v>
      </c>
      <c r="J2" s="29">
        <v>4</v>
      </c>
      <c r="K2" s="29">
        <v>5</v>
      </c>
      <c r="L2" s="29">
        <v>6</v>
      </c>
      <c r="M2" s="29">
        <v>7</v>
      </c>
      <c r="N2" s="29">
        <v>8</v>
      </c>
      <c r="O2" s="29">
        <v>9</v>
      </c>
      <c r="P2" s="29">
        <v>10</v>
      </c>
      <c r="Q2" s="29">
        <v>11</v>
      </c>
      <c r="R2" s="29">
        <v>12</v>
      </c>
      <c r="S2" s="29">
        <v>13</v>
      </c>
      <c r="T2" s="29">
        <v>14</v>
      </c>
      <c r="U2" s="29">
        <v>15</v>
      </c>
      <c r="V2" s="29">
        <v>16</v>
      </c>
      <c r="W2" s="29">
        <v>17</v>
      </c>
      <c r="X2" s="29">
        <v>18</v>
      </c>
      <c r="Y2" s="29">
        <v>19</v>
      </c>
      <c r="Z2" s="29">
        <v>20</v>
      </c>
      <c r="AA2" s="29">
        <v>21</v>
      </c>
      <c r="AB2" s="29">
        <v>22</v>
      </c>
      <c r="AC2" s="29">
        <v>23</v>
      </c>
      <c r="AD2" s="29">
        <v>24</v>
      </c>
      <c r="AE2" s="29">
        <v>25</v>
      </c>
      <c r="AF2" s="29">
        <v>26</v>
      </c>
      <c r="AG2" s="29">
        <v>27</v>
      </c>
      <c r="AH2" s="29">
        <v>28</v>
      </c>
      <c r="AI2" s="29">
        <v>29</v>
      </c>
      <c r="AJ2" s="29">
        <v>30</v>
      </c>
      <c r="AK2" s="29">
        <v>31</v>
      </c>
      <c r="AL2" s="29">
        <v>32</v>
      </c>
      <c r="AM2" s="29">
        <v>33</v>
      </c>
      <c r="AN2" s="29">
        <v>34</v>
      </c>
      <c r="AO2" s="29">
        <v>35</v>
      </c>
      <c r="AP2" s="29">
        <v>36</v>
      </c>
      <c r="AQ2" s="29">
        <v>37</v>
      </c>
      <c r="AR2" s="29">
        <v>38</v>
      </c>
      <c r="AS2" s="29">
        <v>39</v>
      </c>
      <c r="AT2" s="29">
        <v>40</v>
      </c>
      <c r="AU2" s="29">
        <v>41</v>
      </c>
      <c r="AV2" s="29">
        <v>42</v>
      </c>
      <c r="AW2" s="29">
        <v>43</v>
      </c>
      <c r="AX2" s="29">
        <v>44</v>
      </c>
      <c r="AY2" s="29">
        <v>45</v>
      </c>
      <c r="AZ2" s="29">
        <v>46</v>
      </c>
      <c r="BA2" s="29">
        <v>47</v>
      </c>
      <c r="BB2" s="29">
        <v>48</v>
      </c>
      <c r="BC2" s="29">
        <v>49</v>
      </c>
      <c r="BD2" s="29">
        <v>50</v>
      </c>
      <c r="BE2" s="29">
        <v>51</v>
      </c>
      <c r="BF2" s="29">
        <v>52</v>
      </c>
      <c r="BG2" s="29">
        <v>53</v>
      </c>
      <c r="BH2" s="29">
        <v>54</v>
      </c>
      <c r="BI2" s="29">
        <v>55</v>
      </c>
      <c r="BJ2" s="29">
        <v>56</v>
      </c>
      <c r="BK2" s="29">
        <v>57</v>
      </c>
      <c r="BL2" s="29">
        <v>58</v>
      </c>
      <c r="BM2" s="29">
        <v>59</v>
      </c>
      <c r="BN2" s="29">
        <v>60</v>
      </c>
      <c r="BO2" s="29">
        <v>61</v>
      </c>
      <c r="BP2" s="29">
        <v>62</v>
      </c>
      <c r="BQ2" s="29">
        <v>63</v>
      </c>
      <c r="BR2" s="29">
        <v>64</v>
      </c>
      <c r="BS2" s="29">
        <v>65</v>
      </c>
      <c r="BT2" s="29">
        <v>66</v>
      </c>
      <c r="BU2" s="29">
        <v>67</v>
      </c>
      <c r="BV2" s="29">
        <v>68</v>
      </c>
      <c r="BW2" s="29">
        <v>69</v>
      </c>
      <c r="BX2" s="29">
        <v>70</v>
      </c>
      <c r="BY2" s="29">
        <v>71</v>
      </c>
      <c r="BZ2" s="29">
        <v>72</v>
      </c>
      <c r="CA2" s="29">
        <v>73</v>
      </c>
      <c r="CB2" s="29">
        <v>74</v>
      </c>
      <c r="CC2" s="29">
        <v>75</v>
      </c>
      <c r="CD2" s="29">
        <v>76</v>
      </c>
      <c r="CE2" s="29">
        <v>77</v>
      </c>
      <c r="CF2" s="29">
        <v>78</v>
      </c>
      <c r="CG2" s="29">
        <v>79</v>
      </c>
      <c r="CH2" s="29">
        <v>80</v>
      </c>
      <c r="CI2" s="29">
        <v>81</v>
      </c>
      <c r="CJ2" s="29">
        <v>82</v>
      </c>
      <c r="CK2" s="29">
        <v>83</v>
      </c>
      <c r="CL2" s="29">
        <v>84</v>
      </c>
      <c r="CM2" s="29">
        <v>85</v>
      </c>
      <c r="CN2" s="29">
        <v>86</v>
      </c>
      <c r="CO2" s="29">
        <v>87</v>
      </c>
      <c r="CP2" s="29">
        <v>88</v>
      </c>
      <c r="CQ2" s="29">
        <v>89</v>
      </c>
      <c r="CR2" s="29">
        <v>90</v>
      </c>
      <c r="CS2" s="29">
        <v>91</v>
      </c>
      <c r="CT2" s="29">
        <v>92</v>
      </c>
      <c r="CU2" s="29">
        <v>93</v>
      </c>
      <c r="CV2" s="29">
        <v>94</v>
      </c>
      <c r="CW2" s="29">
        <v>95</v>
      </c>
      <c r="CX2" s="29">
        <v>96</v>
      </c>
      <c r="CY2" s="29">
        <v>97</v>
      </c>
      <c r="CZ2" s="29">
        <v>98</v>
      </c>
      <c r="DA2" s="29">
        <v>99</v>
      </c>
      <c r="DB2" s="29">
        <v>100</v>
      </c>
      <c r="DC2" s="29">
        <v>101</v>
      </c>
      <c r="DD2" s="29">
        <v>102</v>
      </c>
      <c r="DE2" s="29">
        <v>103</v>
      </c>
      <c r="DF2" s="29">
        <v>104</v>
      </c>
      <c r="DG2" s="29">
        <v>105</v>
      </c>
      <c r="DH2" s="29">
        <v>106</v>
      </c>
      <c r="DI2" s="29">
        <v>107</v>
      </c>
      <c r="DJ2" s="29">
        <v>108</v>
      </c>
      <c r="DK2" s="29">
        <v>109</v>
      </c>
      <c r="DL2" s="29">
        <v>110</v>
      </c>
      <c r="DM2" s="29">
        <v>111</v>
      </c>
      <c r="DN2" s="29">
        <v>112</v>
      </c>
      <c r="DO2" s="29">
        <v>113</v>
      </c>
      <c r="DP2" s="29">
        <v>114</v>
      </c>
      <c r="DQ2" s="29">
        <v>115</v>
      </c>
      <c r="DR2" s="29">
        <v>116</v>
      </c>
      <c r="DS2" s="29">
        <v>117</v>
      </c>
      <c r="DT2" s="29">
        <v>118</v>
      </c>
      <c r="DU2" s="29">
        <v>119</v>
      </c>
      <c r="DV2" s="29">
        <v>120</v>
      </c>
    </row>
    <row r="3" spans="1:126" x14ac:dyDescent="0.25">
      <c r="A3" t="s">
        <v>150</v>
      </c>
      <c r="B3">
        <v>220</v>
      </c>
      <c r="E3" s="88" t="s">
        <v>153</v>
      </c>
      <c r="F3" s="94">
        <f>-$B$5/3</f>
        <v>-880000000</v>
      </c>
      <c r="G3" s="89"/>
      <c r="H3" s="89"/>
      <c r="I3" s="95"/>
      <c r="J3" s="95"/>
      <c r="K3" s="95"/>
      <c r="L3" s="95"/>
      <c r="M3" s="95"/>
      <c r="N3" s="95"/>
      <c r="O3" s="95"/>
      <c r="P3" s="95"/>
      <c r="Q3" s="95"/>
      <c r="R3" s="94">
        <f>-$B$5/3-((B5+F3)*6%)</f>
        <v>-985600000</v>
      </c>
      <c r="S3" s="95"/>
      <c r="T3" s="95"/>
      <c r="U3" s="95"/>
      <c r="V3" s="89"/>
      <c r="W3" s="89"/>
      <c r="X3" s="89"/>
      <c r="Y3" s="89"/>
      <c r="Z3" s="89"/>
      <c r="AA3" s="89"/>
      <c r="AB3" s="89"/>
      <c r="AC3" s="89"/>
      <c r="AD3" s="94">
        <f>-$B$5/3-((B5+(F3*2))*6%)</f>
        <v>-932800000</v>
      </c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</row>
    <row r="4" spans="1:126" x14ac:dyDescent="0.25">
      <c r="A4" t="s">
        <v>151</v>
      </c>
      <c r="B4" s="38">
        <v>12000000</v>
      </c>
      <c r="E4" s="88" t="s">
        <v>111</v>
      </c>
      <c r="F4" s="89"/>
      <c r="G4" s="89">
        <f>G5+G9</f>
        <v>0</v>
      </c>
      <c r="H4" s="89">
        <f t="shared" ref="H4:BS4" si="0">H5+H9</f>
        <v>0</v>
      </c>
      <c r="I4" s="89">
        <f t="shared" si="0"/>
        <v>0</v>
      </c>
      <c r="J4" s="89">
        <f t="shared" si="0"/>
        <v>0</v>
      </c>
      <c r="K4" s="89">
        <f t="shared" si="0"/>
        <v>0</v>
      </c>
      <c r="L4" s="89">
        <f t="shared" si="0"/>
        <v>0</v>
      </c>
      <c r="M4" s="89">
        <f t="shared" si="0"/>
        <v>0</v>
      </c>
      <c r="N4" s="89">
        <f t="shared" si="0"/>
        <v>0</v>
      </c>
      <c r="O4" s="89">
        <f t="shared" si="0"/>
        <v>0</v>
      </c>
      <c r="P4" s="89">
        <f t="shared" si="0"/>
        <v>3628927.1899999976</v>
      </c>
      <c r="Q4" s="89">
        <f t="shared" si="0"/>
        <v>3628927.1899999976</v>
      </c>
      <c r="R4" s="89">
        <f t="shared" si="0"/>
        <v>3628927.1899999976</v>
      </c>
      <c r="S4" s="89">
        <f t="shared" si="0"/>
        <v>15250557.352387339</v>
      </c>
      <c r="T4" s="89">
        <f t="shared" si="0"/>
        <v>15250557.352387339</v>
      </c>
      <c r="U4" s="89">
        <f t="shared" si="0"/>
        <v>15250557.352387339</v>
      </c>
      <c r="V4" s="89">
        <f t="shared" si="0"/>
        <v>15250557.352387339</v>
      </c>
      <c r="W4" s="89">
        <f t="shared" si="0"/>
        <v>15250557.352387339</v>
      </c>
      <c r="X4" s="89">
        <f t="shared" si="0"/>
        <v>15250557.352387339</v>
      </c>
      <c r="Y4" s="89">
        <f t="shared" si="0"/>
        <v>15250557.352387339</v>
      </c>
      <c r="Z4" s="89">
        <f t="shared" si="0"/>
        <v>15250557.352387339</v>
      </c>
      <c r="AA4" s="89">
        <f t="shared" si="0"/>
        <v>15250557.352387339</v>
      </c>
      <c r="AB4" s="89">
        <f t="shared" si="0"/>
        <v>15250557.352387339</v>
      </c>
      <c r="AC4" s="89">
        <f t="shared" si="0"/>
        <v>15250557.352387339</v>
      </c>
      <c r="AD4" s="89">
        <f t="shared" si="0"/>
        <v>15250557.352387339</v>
      </c>
      <c r="AE4" s="89">
        <f t="shared" si="0"/>
        <v>15250557.352387339</v>
      </c>
      <c r="AF4" s="89">
        <f t="shared" si="0"/>
        <v>15250557.352387339</v>
      </c>
      <c r="AG4" s="89">
        <f t="shared" si="0"/>
        <v>15250557.352387339</v>
      </c>
      <c r="AH4" s="89">
        <f t="shared" si="0"/>
        <v>15250557.352387339</v>
      </c>
      <c r="AI4" s="89">
        <f t="shared" si="0"/>
        <v>15250557.352387339</v>
      </c>
      <c r="AJ4" s="89">
        <f t="shared" si="0"/>
        <v>15250557.352387339</v>
      </c>
      <c r="AK4" s="89">
        <f t="shared" si="0"/>
        <v>15250557.352387339</v>
      </c>
      <c r="AL4" s="89">
        <f t="shared" si="0"/>
        <v>15250557.352387339</v>
      </c>
      <c r="AM4" s="89">
        <f t="shared" si="0"/>
        <v>15250557.352387339</v>
      </c>
      <c r="AN4" s="89">
        <f t="shared" si="0"/>
        <v>15250557.352387339</v>
      </c>
      <c r="AO4" s="89">
        <f t="shared" si="0"/>
        <v>15250557.352387339</v>
      </c>
      <c r="AP4" s="89">
        <f t="shared" si="0"/>
        <v>15250557.352387339</v>
      </c>
      <c r="AQ4" s="89">
        <f t="shared" si="0"/>
        <v>15250557.352387339</v>
      </c>
      <c r="AR4" s="89">
        <f t="shared" si="0"/>
        <v>15250557.352387339</v>
      </c>
      <c r="AS4" s="89">
        <f t="shared" si="0"/>
        <v>15250557.352387339</v>
      </c>
      <c r="AT4" s="89">
        <f t="shared" si="0"/>
        <v>15250557.352387339</v>
      </c>
      <c r="AU4" s="89">
        <f t="shared" si="0"/>
        <v>15250557.352387339</v>
      </c>
      <c r="AV4" s="89">
        <f t="shared" si="0"/>
        <v>15250557.352387339</v>
      </c>
      <c r="AW4" s="89">
        <f t="shared" si="0"/>
        <v>15250557.352387339</v>
      </c>
      <c r="AX4" s="89">
        <f t="shared" si="0"/>
        <v>15250557.352387339</v>
      </c>
      <c r="AY4" s="89">
        <f t="shared" si="0"/>
        <v>15250557.352387339</v>
      </c>
      <c r="AZ4" s="89">
        <f t="shared" si="0"/>
        <v>15250557.352387339</v>
      </c>
      <c r="BA4" s="89">
        <f t="shared" si="0"/>
        <v>15250557.352387339</v>
      </c>
      <c r="BB4" s="89">
        <f t="shared" si="0"/>
        <v>15250557.352387339</v>
      </c>
      <c r="BC4" s="89">
        <f t="shared" si="0"/>
        <v>15250557.352387339</v>
      </c>
      <c r="BD4" s="89">
        <f t="shared" si="0"/>
        <v>15250557.352387339</v>
      </c>
      <c r="BE4" s="89">
        <f t="shared" si="0"/>
        <v>15250557.352387339</v>
      </c>
      <c r="BF4" s="89">
        <f t="shared" si="0"/>
        <v>15250557.352387339</v>
      </c>
      <c r="BG4" s="89">
        <f t="shared" si="0"/>
        <v>15250557.352387339</v>
      </c>
      <c r="BH4" s="89">
        <f t="shared" si="0"/>
        <v>15250557.352387339</v>
      </c>
      <c r="BI4" s="89">
        <f t="shared" si="0"/>
        <v>15250557.352387339</v>
      </c>
      <c r="BJ4" s="89">
        <f t="shared" si="0"/>
        <v>15250557.352387339</v>
      </c>
      <c r="BK4" s="89">
        <f t="shared" si="0"/>
        <v>15250557.352387339</v>
      </c>
      <c r="BL4" s="89">
        <f t="shared" si="0"/>
        <v>15250557.352387339</v>
      </c>
      <c r="BM4" s="89">
        <f t="shared" si="0"/>
        <v>15250557.352387339</v>
      </c>
      <c r="BN4" s="89">
        <f t="shared" si="0"/>
        <v>15250557.352387339</v>
      </c>
      <c r="BO4" s="89">
        <f t="shared" si="0"/>
        <v>15250557.352387339</v>
      </c>
      <c r="BP4" s="89">
        <f t="shared" si="0"/>
        <v>15250557.352387339</v>
      </c>
      <c r="BQ4" s="89">
        <f t="shared" si="0"/>
        <v>15250557.352387339</v>
      </c>
      <c r="BR4" s="89">
        <f t="shared" si="0"/>
        <v>15250557.352387339</v>
      </c>
      <c r="BS4" s="89">
        <f t="shared" si="0"/>
        <v>15250557.352387339</v>
      </c>
      <c r="BT4" s="89">
        <f t="shared" ref="BT4:DV4" si="1">BT5+BT9</f>
        <v>15250557.352387339</v>
      </c>
      <c r="BU4" s="89">
        <f t="shared" si="1"/>
        <v>15250557.352387339</v>
      </c>
      <c r="BV4" s="89">
        <f t="shared" si="1"/>
        <v>15250557.352387339</v>
      </c>
      <c r="BW4" s="89">
        <f t="shared" si="1"/>
        <v>15250557.352387339</v>
      </c>
      <c r="BX4" s="89">
        <f t="shared" si="1"/>
        <v>15250557.352387339</v>
      </c>
      <c r="BY4" s="89">
        <f t="shared" si="1"/>
        <v>15250557.352387339</v>
      </c>
      <c r="BZ4" s="89">
        <f t="shared" si="1"/>
        <v>15250557.352387339</v>
      </c>
      <c r="CA4" s="89">
        <f t="shared" si="1"/>
        <v>15250557.352387339</v>
      </c>
      <c r="CB4" s="89">
        <f t="shared" si="1"/>
        <v>15250557.352387339</v>
      </c>
      <c r="CC4" s="89">
        <f t="shared" si="1"/>
        <v>15250557.352387339</v>
      </c>
      <c r="CD4" s="89">
        <f t="shared" si="1"/>
        <v>15250557.352387339</v>
      </c>
      <c r="CE4" s="89">
        <f t="shared" si="1"/>
        <v>15250557.352387339</v>
      </c>
      <c r="CF4" s="89">
        <f t="shared" si="1"/>
        <v>15250557.352387339</v>
      </c>
      <c r="CG4" s="89">
        <f t="shared" si="1"/>
        <v>15250557.352387339</v>
      </c>
      <c r="CH4" s="89">
        <f t="shared" si="1"/>
        <v>15250557.352387339</v>
      </c>
      <c r="CI4" s="89">
        <f t="shared" si="1"/>
        <v>15250557.352387339</v>
      </c>
      <c r="CJ4" s="89">
        <f t="shared" si="1"/>
        <v>15250557.352387339</v>
      </c>
      <c r="CK4" s="89">
        <f t="shared" si="1"/>
        <v>15250557.352387339</v>
      </c>
      <c r="CL4" s="89">
        <f t="shared" si="1"/>
        <v>15250557.352387339</v>
      </c>
      <c r="CM4" s="89">
        <f t="shared" si="1"/>
        <v>15250557.352387339</v>
      </c>
      <c r="CN4" s="89">
        <f t="shared" si="1"/>
        <v>15250557.352387339</v>
      </c>
      <c r="CO4" s="89">
        <f t="shared" si="1"/>
        <v>15250557.352387339</v>
      </c>
      <c r="CP4" s="89">
        <f t="shared" si="1"/>
        <v>15250557.352387339</v>
      </c>
      <c r="CQ4" s="89">
        <f t="shared" si="1"/>
        <v>15250557.352387339</v>
      </c>
      <c r="CR4" s="89">
        <f t="shared" si="1"/>
        <v>15250557.352387339</v>
      </c>
      <c r="CS4" s="89">
        <f t="shared" si="1"/>
        <v>15250557.352387339</v>
      </c>
      <c r="CT4" s="89">
        <f t="shared" si="1"/>
        <v>15250557.352387339</v>
      </c>
      <c r="CU4" s="89">
        <f t="shared" si="1"/>
        <v>15250557.352387339</v>
      </c>
      <c r="CV4" s="89">
        <f t="shared" si="1"/>
        <v>15250557.352387339</v>
      </c>
      <c r="CW4" s="89">
        <f t="shared" si="1"/>
        <v>15250557.352387339</v>
      </c>
      <c r="CX4" s="89">
        <f t="shared" si="1"/>
        <v>15250557.352387339</v>
      </c>
      <c r="CY4" s="89">
        <f t="shared" si="1"/>
        <v>15250557.352387339</v>
      </c>
      <c r="CZ4" s="89">
        <f t="shared" si="1"/>
        <v>15250557.352387339</v>
      </c>
      <c r="DA4" s="89">
        <f t="shared" si="1"/>
        <v>15250557.352387339</v>
      </c>
      <c r="DB4" s="89">
        <f t="shared" si="1"/>
        <v>15250557.352387339</v>
      </c>
      <c r="DC4" s="89">
        <f t="shared" si="1"/>
        <v>15250557.352387339</v>
      </c>
      <c r="DD4" s="89">
        <f t="shared" si="1"/>
        <v>15250557.352387339</v>
      </c>
      <c r="DE4" s="89">
        <f t="shared" si="1"/>
        <v>15250557.352387339</v>
      </c>
      <c r="DF4" s="89">
        <f t="shared" si="1"/>
        <v>15250557.352387339</v>
      </c>
      <c r="DG4" s="89">
        <f t="shared" si="1"/>
        <v>15250557.352387339</v>
      </c>
      <c r="DH4" s="89">
        <f t="shared" si="1"/>
        <v>15250557.352387339</v>
      </c>
      <c r="DI4" s="89">
        <f t="shared" si="1"/>
        <v>15250557.352387339</v>
      </c>
      <c r="DJ4" s="89">
        <f t="shared" si="1"/>
        <v>15250557.352387339</v>
      </c>
      <c r="DK4" s="89">
        <f t="shared" si="1"/>
        <v>15250557.352387339</v>
      </c>
      <c r="DL4" s="89">
        <f t="shared" si="1"/>
        <v>15250557.352387339</v>
      </c>
      <c r="DM4" s="89">
        <f t="shared" si="1"/>
        <v>15250557.352387339</v>
      </c>
      <c r="DN4" s="89">
        <f t="shared" si="1"/>
        <v>15250557.352387339</v>
      </c>
      <c r="DO4" s="89">
        <f t="shared" si="1"/>
        <v>15250557.352387339</v>
      </c>
      <c r="DP4" s="89">
        <f t="shared" si="1"/>
        <v>15250557.352387339</v>
      </c>
      <c r="DQ4" s="89">
        <f t="shared" si="1"/>
        <v>15250557.352387339</v>
      </c>
      <c r="DR4" s="89">
        <f t="shared" si="1"/>
        <v>15250557.352387339</v>
      </c>
      <c r="DS4" s="89">
        <f t="shared" si="1"/>
        <v>15250557.352387339</v>
      </c>
      <c r="DT4" s="89">
        <f t="shared" si="1"/>
        <v>15250557.352387339</v>
      </c>
      <c r="DU4" s="89">
        <f t="shared" si="1"/>
        <v>15250557.352387339</v>
      </c>
      <c r="DV4" s="89">
        <f t="shared" si="1"/>
        <v>-334749442.64761269</v>
      </c>
    </row>
    <row r="5" spans="1:126" x14ac:dyDescent="0.25">
      <c r="A5" t="s">
        <v>152</v>
      </c>
      <c r="B5" s="79">
        <f>B4*B3</f>
        <v>2640000000</v>
      </c>
      <c r="E5" s="90" t="s">
        <v>84</v>
      </c>
      <c r="F5" s="91"/>
      <c r="G5" s="91">
        <f>SUM(G6+G7+G8)</f>
        <v>0</v>
      </c>
      <c r="H5" s="91">
        <f t="shared" ref="H5:BS5" si="2">SUM(H6+H7+H8)</f>
        <v>0</v>
      </c>
      <c r="I5" s="91">
        <f t="shared" si="2"/>
        <v>0</v>
      </c>
      <c r="J5" s="91">
        <f t="shared" si="2"/>
        <v>0</v>
      </c>
      <c r="K5" s="91">
        <f t="shared" si="2"/>
        <v>0</v>
      </c>
      <c r="L5" s="91">
        <f t="shared" si="2"/>
        <v>0</v>
      </c>
      <c r="M5" s="91">
        <f t="shared" si="2"/>
        <v>0</v>
      </c>
      <c r="N5" s="91">
        <f t="shared" si="2"/>
        <v>0</v>
      </c>
      <c r="O5" s="91">
        <f t="shared" si="2"/>
        <v>0</v>
      </c>
      <c r="P5" s="91">
        <f t="shared" si="2"/>
        <v>55100000</v>
      </c>
      <c r="Q5" s="91">
        <f t="shared" si="2"/>
        <v>55100000</v>
      </c>
      <c r="R5" s="91">
        <f t="shared" si="2"/>
        <v>55100000</v>
      </c>
      <c r="S5" s="91">
        <f t="shared" si="2"/>
        <v>66721630.162387341</v>
      </c>
      <c r="T5" s="91">
        <f t="shared" si="2"/>
        <v>66721630.162387341</v>
      </c>
      <c r="U5" s="91">
        <f t="shared" si="2"/>
        <v>66721630.162387341</v>
      </c>
      <c r="V5" s="91">
        <f t="shared" si="2"/>
        <v>66721630.162387341</v>
      </c>
      <c r="W5" s="91">
        <f t="shared" si="2"/>
        <v>66721630.162387341</v>
      </c>
      <c r="X5" s="91">
        <f t="shared" si="2"/>
        <v>66721630.162387341</v>
      </c>
      <c r="Y5" s="91">
        <f t="shared" si="2"/>
        <v>66721630.162387341</v>
      </c>
      <c r="Z5" s="91">
        <f t="shared" si="2"/>
        <v>66721630.162387341</v>
      </c>
      <c r="AA5" s="91">
        <f t="shared" si="2"/>
        <v>66721630.162387341</v>
      </c>
      <c r="AB5" s="91">
        <f t="shared" si="2"/>
        <v>66721630.162387341</v>
      </c>
      <c r="AC5" s="91">
        <f t="shared" si="2"/>
        <v>66721630.162387341</v>
      </c>
      <c r="AD5" s="91">
        <f t="shared" si="2"/>
        <v>66721630.162387341</v>
      </c>
      <c r="AE5" s="91">
        <f t="shared" si="2"/>
        <v>66721630.162387341</v>
      </c>
      <c r="AF5" s="91">
        <f t="shared" si="2"/>
        <v>66721630.162387341</v>
      </c>
      <c r="AG5" s="91">
        <f t="shared" si="2"/>
        <v>66721630.162387341</v>
      </c>
      <c r="AH5" s="91">
        <f t="shared" si="2"/>
        <v>66721630.162387341</v>
      </c>
      <c r="AI5" s="91">
        <f t="shared" si="2"/>
        <v>66721630.162387341</v>
      </c>
      <c r="AJ5" s="91">
        <f t="shared" si="2"/>
        <v>66721630.162387341</v>
      </c>
      <c r="AK5" s="91">
        <f t="shared" si="2"/>
        <v>66721630.162387341</v>
      </c>
      <c r="AL5" s="91">
        <f t="shared" si="2"/>
        <v>66721630.162387341</v>
      </c>
      <c r="AM5" s="91">
        <f t="shared" si="2"/>
        <v>66721630.162387341</v>
      </c>
      <c r="AN5" s="91">
        <f t="shared" si="2"/>
        <v>66721630.162387341</v>
      </c>
      <c r="AO5" s="91">
        <f t="shared" si="2"/>
        <v>66721630.162387341</v>
      </c>
      <c r="AP5" s="91">
        <f t="shared" si="2"/>
        <v>66721630.162387341</v>
      </c>
      <c r="AQ5" s="91">
        <f t="shared" si="2"/>
        <v>66721630.162387341</v>
      </c>
      <c r="AR5" s="91">
        <f t="shared" si="2"/>
        <v>66721630.162387341</v>
      </c>
      <c r="AS5" s="91">
        <f t="shared" si="2"/>
        <v>66721630.162387341</v>
      </c>
      <c r="AT5" s="91">
        <f t="shared" si="2"/>
        <v>66721630.162387341</v>
      </c>
      <c r="AU5" s="91">
        <f t="shared" si="2"/>
        <v>66721630.162387341</v>
      </c>
      <c r="AV5" s="91">
        <f t="shared" si="2"/>
        <v>66721630.162387341</v>
      </c>
      <c r="AW5" s="91">
        <f t="shared" si="2"/>
        <v>66721630.162387341</v>
      </c>
      <c r="AX5" s="91">
        <f t="shared" si="2"/>
        <v>66721630.162387341</v>
      </c>
      <c r="AY5" s="91">
        <f t="shared" si="2"/>
        <v>66721630.162387341</v>
      </c>
      <c r="AZ5" s="91">
        <f t="shared" si="2"/>
        <v>66721630.162387341</v>
      </c>
      <c r="BA5" s="91">
        <f t="shared" si="2"/>
        <v>66721630.162387341</v>
      </c>
      <c r="BB5" s="91">
        <f t="shared" si="2"/>
        <v>66721630.162387341</v>
      </c>
      <c r="BC5" s="91">
        <f t="shared" si="2"/>
        <v>66721630.162387341</v>
      </c>
      <c r="BD5" s="91">
        <f t="shared" si="2"/>
        <v>66721630.162387341</v>
      </c>
      <c r="BE5" s="91">
        <f t="shared" si="2"/>
        <v>66721630.162387341</v>
      </c>
      <c r="BF5" s="91">
        <f t="shared" si="2"/>
        <v>66721630.162387341</v>
      </c>
      <c r="BG5" s="91">
        <f t="shared" si="2"/>
        <v>66721630.162387341</v>
      </c>
      <c r="BH5" s="91">
        <f t="shared" si="2"/>
        <v>66721630.162387341</v>
      </c>
      <c r="BI5" s="91">
        <f t="shared" si="2"/>
        <v>66721630.162387341</v>
      </c>
      <c r="BJ5" s="91">
        <f t="shared" si="2"/>
        <v>66721630.162387341</v>
      </c>
      <c r="BK5" s="91">
        <f t="shared" si="2"/>
        <v>66721630.162387341</v>
      </c>
      <c r="BL5" s="91">
        <f t="shared" si="2"/>
        <v>66721630.162387341</v>
      </c>
      <c r="BM5" s="91">
        <f t="shared" si="2"/>
        <v>66721630.162387341</v>
      </c>
      <c r="BN5" s="91">
        <f t="shared" si="2"/>
        <v>66721630.162387341</v>
      </c>
      <c r="BO5" s="91">
        <f t="shared" si="2"/>
        <v>66721630.162387341</v>
      </c>
      <c r="BP5" s="91">
        <f t="shared" si="2"/>
        <v>66721630.162387341</v>
      </c>
      <c r="BQ5" s="91">
        <f t="shared" si="2"/>
        <v>66721630.162387341</v>
      </c>
      <c r="BR5" s="91">
        <f t="shared" si="2"/>
        <v>66721630.162387341</v>
      </c>
      <c r="BS5" s="91">
        <f t="shared" si="2"/>
        <v>66721630.162387341</v>
      </c>
      <c r="BT5" s="91">
        <f t="shared" ref="BT5:DV5" si="3">SUM(BT6+BT7+BT8)</f>
        <v>66721630.162387341</v>
      </c>
      <c r="BU5" s="91">
        <f t="shared" si="3"/>
        <v>66721630.162387341</v>
      </c>
      <c r="BV5" s="91">
        <f t="shared" si="3"/>
        <v>66721630.162387341</v>
      </c>
      <c r="BW5" s="91">
        <f t="shared" si="3"/>
        <v>66721630.162387341</v>
      </c>
      <c r="BX5" s="91">
        <f t="shared" si="3"/>
        <v>66721630.162387341</v>
      </c>
      <c r="BY5" s="91">
        <f t="shared" si="3"/>
        <v>66721630.162387341</v>
      </c>
      <c r="BZ5" s="91">
        <f t="shared" si="3"/>
        <v>66721630.162387341</v>
      </c>
      <c r="CA5" s="91">
        <f t="shared" si="3"/>
        <v>66721630.162387341</v>
      </c>
      <c r="CB5" s="91">
        <f t="shared" si="3"/>
        <v>66721630.162387341</v>
      </c>
      <c r="CC5" s="91">
        <f t="shared" si="3"/>
        <v>66721630.162387341</v>
      </c>
      <c r="CD5" s="91">
        <f t="shared" si="3"/>
        <v>66721630.162387341</v>
      </c>
      <c r="CE5" s="91">
        <f t="shared" si="3"/>
        <v>66721630.162387341</v>
      </c>
      <c r="CF5" s="91">
        <f t="shared" si="3"/>
        <v>66721630.162387341</v>
      </c>
      <c r="CG5" s="91">
        <f t="shared" si="3"/>
        <v>66721630.162387341</v>
      </c>
      <c r="CH5" s="91">
        <f t="shared" si="3"/>
        <v>66721630.162387341</v>
      </c>
      <c r="CI5" s="91">
        <f t="shared" si="3"/>
        <v>66721630.162387341</v>
      </c>
      <c r="CJ5" s="91">
        <f t="shared" si="3"/>
        <v>66721630.162387341</v>
      </c>
      <c r="CK5" s="91">
        <f t="shared" si="3"/>
        <v>66721630.162387341</v>
      </c>
      <c r="CL5" s="91">
        <f t="shared" si="3"/>
        <v>66721630.162387341</v>
      </c>
      <c r="CM5" s="91">
        <f t="shared" si="3"/>
        <v>66721630.162387341</v>
      </c>
      <c r="CN5" s="91">
        <f t="shared" si="3"/>
        <v>66721630.162387341</v>
      </c>
      <c r="CO5" s="91">
        <f t="shared" si="3"/>
        <v>66721630.162387341</v>
      </c>
      <c r="CP5" s="91">
        <f t="shared" si="3"/>
        <v>66721630.162387341</v>
      </c>
      <c r="CQ5" s="91">
        <f t="shared" si="3"/>
        <v>66721630.162387341</v>
      </c>
      <c r="CR5" s="91">
        <f t="shared" si="3"/>
        <v>66721630.162387341</v>
      </c>
      <c r="CS5" s="91">
        <f t="shared" si="3"/>
        <v>66721630.162387341</v>
      </c>
      <c r="CT5" s="91">
        <f t="shared" si="3"/>
        <v>66721630.162387341</v>
      </c>
      <c r="CU5" s="91">
        <f t="shared" si="3"/>
        <v>66721630.162387341</v>
      </c>
      <c r="CV5" s="91">
        <f t="shared" si="3"/>
        <v>66721630.162387341</v>
      </c>
      <c r="CW5" s="91">
        <f t="shared" si="3"/>
        <v>66721630.162387341</v>
      </c>
      <c r="CX5" s="91">
        <f t="shared" si="3"/>
        <v>66721630.162387341</v>
      </c>
      <c r="CY5" s="91">
        <f t="shared" si="3"/>
        <v>66721630.162387341</v>
      </c>
      <c r="CZ5" s="91">
        <f t="shared" si="3"/>
        <v>66721630.162387341</v>
      </c>
      <c r="DA5" s="91">
        <f t="shared" si="3"/>
        <v>66721630.162387341</v>
      </c>
      <c r="DB5" s="91">
        <f t="shared" si="3"/>
        <v>66721630.162387341</v>
      </c>
      <c r="DC5" s="91">
        <f t="shared" si="3"/>
        <v>66721630.162387341</v>
      </c>
      <c r="DD5" s="91">
        <f t="shared" si="3"/>
        <v>66721630.162387341</v>
      </c>
      <c r="DE5" s="91">
        <f t="shared" si="3"/>
        <v>66721630.162387341</v>
      </c>
      <c r="DF5" s="91">
        <f t="shared" si="3"/>
        <v>66721630.162387341</v>
      </c>
      <c r="DG5" s="91">
        <f t="shared" si="3"/>
        <v>66721630.162387341</v>
      </c>
      <c r="DH5" s="91">
        <f t="shared" si="3"/>
        <v>66721630.162387341</v>
      </c>
      <c r="DI5" s="91">
        <f t="shared" si="3"/>
        <v>66721630.162387341</v>
      </c>
      <c r="DJ5" s="91">
        <f t="shared" si="3"/>
        <v>66721630.162387341</v>
      </c>
      <c r="DK5" s="91">
        <f t="shared" si="3"/>
        <v>66721630.162387341</v>
      </c>
      <c r="DL5" s="91">
        <f t="shared" si="3"/>
        <v>66721630.162387341</v>
      </c>
      <c r="DM5" s="91">
        <f t="shared" si="3"/>
        <v>66721630.162387341</v>
      </c>
      <c r="DN5" s="91">
        <f t="shared" si="3"/>
        <v>66721630.162387341</v>
      </c>
      <c r="DO5" s="91">
        <f t="shared" si="3"/>
        <v>66721630.162387341</v>
      </c>
      <c r="DP5" s="91">
        <f t="shared" si="3"/>
        <v>66721630.162387341</v>
      </c>
      <c r="DQ5" s="91">
        <f t="shared" si="3"/>
        <v>66721630.162387341</v>
      </c>
      <c r="DR5" s="91">
        <f t="shared" si="3"/>
        <v>66721630.162387341</v>
      </c>
      <c r="DS5" s="91">
        <f t="shared" si="3"/>
        <v>66721630.162387341</v>
      </c>
      <c r="DT5" s="91">
        <f t="shared" si="3"/>
        <v>66721630.162387341</v>
      </c>
      <c r="DU5" s="91">
        <f t="shared" si="3"/>
        <v>66721630.162387341</v>
      </c>
      <c r="DV5" s="91">
        <f t="shared" si="3"/>
        <v>66721630.162387341</v>
      </c>
    </row>
    <row r="6" spans="1:126" x14ac:dyDescent="0.25">
      <c r="A6" t="s">
        <v>58</v>
      </c>
      <c r="B6" s="3">
        <f>VLOOKUP(A6,'Flujo de Caja'!A1:B41,2,0)</f>
        <v>35100000</v>
      </c>
      <c r="E6" s="92" t="s">
        <v>105</v>
      </c>
      <c r="F6" s="93"/>
      <c r="G6" s="93"/>
      <c r="H6" s="93"/>
      <c r="I6" s="93"/>
      <c r="J6" s="93"/>
      <c r="K6" s="93"/>
      <c r="L6" s="93"/>
      <c r="M6" s="93"/>
      <c r="N6" s="93"/>
      <c r="O6" s="93"/>
      <c r="P6" s="93">
        <f t="shared" ref="P6:AU6" si="4">$B$6</f>
        <v>35100000</v>
      </c>
      <c r="Q6" s="93">
        <f t="shared" si="4"/>
        <v>35100000</v>
      </c>
      <c r="R6" s="93">
        <f t="shared" si="4"/>
        <v>35100000</v>
      </c>
      <c r="S6" s="93">
        <f t="shared" si="4"/>
        <v>35100000</v>
      </c>
      <c r="T6" s="93">
        <f t="shared" si="4"/>
        <v>35100000</v>
      </c>
      <c r="U6" s="93">
        <f t="shared" si="4"/>
        <v>35100000</v>
      </c>
      <c r="V6" s="93">
        <f t="shared" si="4"/>
        <v>35100000</v>
      </c>
      <c r="W6" s="93">
        <f t="shared" si="4"/>
        <v>35100000</v>
      </c>
      <c r="X6" s="93">
        <f t="shared" si="4"/>
        <v>35100000</v>
      </c>
      <c r="Y6" s="93">
        <f t="shared" si="4"/>
        <v>35100000</v>
      </c>
      <c r="Z6" s="93">
        <f t="shared" si="4"/>
        <v>35100000</v>
      </c>
      <c r="AA6" s="93">
        <f t="shared" si="4"/>
        <v>35100000</v>
      </c>
      <c r="AB6" s="93">
        <f t="shared" si="4"/>
        <v>35100000</v>
      </c>
      <c r="AC6" s="93">
        <f t="shared" si="4"/>
        <v>35100000</v>
      </c>
      <c r="AD6" s="93">
        <f t="shared" si="4"/>
        <v>35100000</v>
      </c>
      <c r="AE6" s="93">
        <f t="shared" si="4"/>
        <v>35100000</v>
      </c>
      <c r="AF6" s="93">
        <f t="shared" si="4"/>
        <v>35100000</v>
      </c>
      <c r="AG6" s="93">
        <f t="shared" si="4"/>
        <v>35100000</v>
      </c>
      <c r="AH6" s="93">
        <f t="shared" si="4"/>
        <v>35100000</v>
      </c>
      <c r="AI6" s="93">
        <f t="shared" si="4"/>
        <v>35100000</v>
      </c>
      <c r="AJ6" s="93">
        <f t="shared" si="4"/>
        <v>35100000</v>
      </c>
      <c r="AK6" s="93">
        <f t="shared" si="4"/>
        <v>35100000</v>
      </c>
      <c r="AL6" s="93">
        <f t="shared" si="4"/>
        <v>35100000</v>
      </c>
      <c r="AM6" s="93">
        <f t="shared" si="4"/>
        <v>35100000</v>
      </c>
      <c r="AN6" s="93">
        <f t="shared" si="4"/>
        <v>35100000</v>
      </c>
      <c r="AO6" s="93">
        <f t="shared" si="4"/>
        <v>35100000</v>
      </c>
      <c r="AP6" s="93">
        <f t="shared" si="4"/>
        <v>35100000</v>
      </c>
      <c r="AQ6" s="93">
        <f t="shared" si="4"/>
        <v>35100000</v>
      </c>
      <c r="AR6" s="93">
        <f t="shared" si="4"/>
        <v>35100000</v>
      </c>
      <c r="AS6" s="93">
        <f t="shared" si="4"/>
        <v>35100000</v>
      </c>
      <c r="AT6" s="93">
        <f t="shared" si="4"/>
        <v>35100000</v>
      </c>
      <c r="AU6" s="93">
        <f t="shared" si="4"/>
        <v>35100000</v>
      </c>
      <c r="AV6" s="93">
        <f t="shared" ref="AV6:CA6" si="5">$B$6</f>
        <v>35100000</v>
      </c>
      <c r="AW6" s="93">
        <f t="shared" si="5"/>
        <v>35100000</v>
      </c>
      <c r="AX6" s="93">
        <f t="shared" si="5"/>
        <v>35100000</v>
      </c>
      <c r="AY6" s="93">
        <f t="shared" si="5"/>
        <v>35100000</v>
      </c>
      <c r="AZ6" s="93">
        <f t="shared" si="5"/>
        <v>35100000</v>
      </c>
      <c r="BA6" s="93">
        <f t="shared" si="5"/>
        <v>35100000</v>
      </c>
      <c r="BB6" s="93">
        <f t="shared" si="5"/>
        <v>35100000</v>
      </c>
      <c r="BC6" s="93">
        <f t="shared" si="5"/>
        <v>35100000</v>
      </c>
      <c r="BD6" s="93">
        <f t="shared" si="5"/>
        <v>35100000</v>
      </c>
      <c r="BE6" s="93">
        <f t="shared" si="5"/>
        <v>35100000</v>
      </c>
      <c r="BF6" s="93">
        <f t="shared" si="5"/>
        <v>35100000</v>
      </c>
      <c r="BG6" s="93">
        <f t="shared" si="5"/>
        <v>35100000</v>
      </c>
      <c r="BH6" s="93">
        <f t="shared" si="5"/>
        <v>35100000</v>
      </c>
      <c r="BI6" s="93">
        <f t="shared" si="5"/>
        <v>35100000</v>
      </c>
      <c r="BJ6" s="93">
        <f t="shared" si="5"/>
        <v>35100000</v>
      </c>
      <c r="BK6" s="93">
        <f t="shared" si="5"/>
        <v>35100000</v>
      </c>
      <c r="BL6" s="93">
        <f t="shared" si="5"/>
        <v>35100000</v>
      </c>
      <c r="BM6" s="93">
        <f t="shared" si="5"/>
        <v>35100000</v>
      </c>
      <c r="BN6" s="93">
        <f t="shared" si="5"/>
        <v>35100000</v>
      </c>
      <c r="BO6" s="93">
        <f t="shared" si="5"/>
        <v>35100000</v>
      </c>
      <c r="BP6" s="93">
        <f t="shared" si="5"/>
        <v>35100000</v>
      </c>
      <c r="BQ6" s="93">
        <f t="shared" si="5"/>
        <v>35100000</v>
      </c>
      <c r="BR6" s="93">
        <f t="shared" si="5"/>
        <v>35100000</v>
      </c>
      <c r="BS6" s="93">
        <f t="shared" si="5"/>
        <v>35100000</v>
      </c>
      <c r="BT6" s="93">
        <f t="shared" si="5"/>
        <v>35100000</v>
      </c>
      <c r="BU6" s="93">
        <f t="shared" si="5"/>
        <v>35100000</v>
      </c>
      <c r="BV6" s="93">
        <f t="shared" si="5"/>
        <v>35100000</v>
      </c>
      <c r="BW6" s="93">
        <f t="shared" si="5"/>
        <v>35100000</v>
      </c>
      <c r="BX6" s="93">
        <f t="shared" si="5"/>
        <v>35100000</v>
      </c>
      <c r="BY6" s="93">
        <f t="shared" si="5"/>
        <v>35100000</v>
      </c>
      <c r="BZ6" s="93">
        <f t="shared" si="5"/>
        <v>35100000</v>
      </c>
      <c r="CA6" s="93">
        <f t="shared" si="5"/>
        <v>35100000</v>
      </c>
      <c r="CB6" s="93">
        <f t="shared" ref="CB6:DG6" si="6">$B$6</f>
        <v>35100000</v>
      </c>
      <c r="CC6" s="93">
        <f t="shared" si="6"/>
        <v>35100000</v>
      </c>
      <c r="CD6" s="93">
        <f t="shared" si="6"/>
        <v>35100000</v>
      </c>
      <c r="CE6" s="93">
        <f t="shared" si="6"/>
        <v>35100000</v>
      </c>
      <c r="CF6" s="93">
        <f t="shared" si="6"/>
        <v>35100000</v>
      </c>
      <c r="CG6" s="93">
        <f t="shared" si="6"/>
        <v>35100000</v>
      </c>
      <c r="CH6" s="93">
        <f t="shared" si="6"/>
        <v>35100000</v>
      </c>
      <c r="CI6" s="93">
        <f t="shared" si="6"/>
        <v>35100000</v>
      </c>
      <c r="CJ6" s="93">
        <f t="shared" si="6"/>
        <v>35100000</v>
      </c>
      <c r="CK6" s="93">
        <f t="shared" si="6"/>
        <v>35100000</v>
      </c>
      <c r="CL6" s="93">
        <f t="shared" si="6"/>
        <v>35100000</v>
      </c>
      <c r="CM6" s="93">
        <f t="shared" si="6"/>
        <v>35100000</v>
      </c>
      <c r="CN6" s="93">
        <f t="shared" si="6"/>
        <v>35100000</v>
      </c>
      <c r="CO6" s="93">
        <f t="shared" si="6"/>
        <v>35100000</v>
      </c>
      <c r="CP6" s="93">
        <f t="shared" si="6"/>
        <v>35100000</v>
      </c>
      <c r="CQ6" s="93">
        <f t="shared" si="6"/>
        <v>35100000</v>
      </c>
      <c r="CR6" s="93">
        <f t="shared" si="6"/>
        <v>35100000</v>
      </c>
      <c r="CS6" s="93">
        <f t="shared" si="6"/>
        <v>35100000</v>
      </c>
      <c r="CT6" s="93">
        <f t="shared" si="6"/>
        <v>35100000</v>
      </c>
      <c r="CU6" s="93">
        <f t="shared" si="6"/>
        <v>35100000</v>
      </c>
      <c r="CV6" s="93">
        <f t="shared" si="6"/>
        <v>35100000</v>
      </c>
      <c r="CW6" s="93">
        <f t="shared" si="6"/>
        <v>35100000</v>
      </c>
      <c r="CX6" s="93">
        <f t="shared" si="6"/>
        <v>35100000</v>
      </c>
      <c r="CY6" s="93">
        <f t="shared" si="6"/>
        <v>35100000</v>
      </c>
      <c r="CZ6" s="93">
        <f t="shared" si="6"/>
        <v>35100000</v>
      </c>
      <c r="DA6" s="93">
        <f t="shared" si="6"/>
        <v>35100000</v>
      </c>
      <c r="DB6" s="93">
        <f t="shared" si="6"/>
        <v>35100000</v>
      </c>
      <c r="DC6" s="93">
        <f t="shared" si="6"/>
        <v>35100000</v>
      </c>
      <c r="DD6" s="93">
        <f t="shared" si="6"/>
        <v>35100000</v>
      </c>
      <c r="DE6" s="93">
        <f t="shared" si="6"/>
        <v>35100000</v>
      </c>
      <c r="DF6" s="93">
        <f t="shared" si="6"/>
        <v>35100000</v>
      </c>
      <c r="DG6" s="93">
        <f t="shared" si="6"/>
        <v>35100000</v>
      </c>
      <c r="DH6" s="93">
        <f t="shared" ref="DH6:DV6" si="7">$B$6</f>
        <v>35100000</v>
      </c>
      <c r="DI6" s="93">
        <f t="shared" si="7"/>
        <v>35100000</v>
      </c>
      <c r="DJ6" s="93">
        <f t="shared" si="7"/>
        <v>35100000</v>
      </c>
      <c r="DK6" s="93">
        <f t="shared" si="7"/>
        <v>35100000</v>
      </c>
      <c r="DL6" s="93">
        <f t="shared" si="7"/>
        <v>35100000</v>
      </c>
      <c r="DM6" s="93">
        <f t="shared" si="7"/>
        <v>35100000</v>
      </c>
      <c r="DN6" s="93">
        <f t="shared" si="7"/>
        <v>35100000</v>
      </c>
      <c r="DO6" s="93">
        <f t="shared" si="7"/>
        <v>35100000</v>
      </c>
      <c r="DP6" s="93">
        <f t="shared" si="7"/>
        <v>35100000</v>
      </c>
      <c r="DQ6" s="93">
        <f t="shared" si="7"/>
        <v>35100000</v>
      </c>
      <c r="DR6" s="93">
        <f t="shared" si="7"/>
        <v>35100000</v>
      </c>
      <c r="DS6" s="93">
        <f t="shared" si="7"/>
        <v>35100000</v>
      </c>
      <c r="DT6" s="93">
        <f t="shared" si="7"/>
        <v>35100000</v>
      </c>
      <c r="DU6" s="93">
        <f t="shared" si="7"/>
        <v>35100000</v>
      </c>
      <c r="DV6" s="93">
        <f t="shared" si="7"/>
        <v>35100000</v>
      </c>
    </row>
    <row r="7" spans="1:126" x14ac:dyDescent="0.25">
      <c r="A7" t="s">
        <v>154</v>
      </c>
      <c r="B7" s="3">
        <v>51471072.810000002</v>
      </c>
      <c r="E7" s="92" t="s">
        <v>155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>
        <f>'Flujo de Caja'!$I$3*11.11%</f>
        <v>11621630.162387338</v>
      </c>
      <c r="T7" s="93">
        <f>'Flujo de Caja'!$I$3*11.11%</f>
        <v>11621630.162387338</v>
      </c>
      <c r="U7" s="93">
        <f>'Flujo de Caja'!$I$3*11.11%</f>
        <v>11621630.162387338</v>
      </c>
      <c r="V7" s="93">
        <f>'Flujo de Caja'!$I$3*11.11%</f>
        <v>11621630.162387338</v>
      </c>
      <c r="W7" s="93">
        <f>'Flujo de Caja'!$I$3*11.11%</f>
        <v>11621630.162387338</v>
      </c>
      <c r="X7" s="93">
        <f>'Flujo de Caja'!$I$3*11.11%</f>
        <v>11621630.162387338</v>
      </c>
      <c r="Y7" s="93">
        <f>'Flujo de Caja'!$I$3*11.11%</f>
        <v>11621630.162387338</v>
      </c>
      <c r="Z7" s="93">
        <f>'Flujo de Caja'!$I$3*11.11%</f>
        <v>11621630.162387338</v>
      </c>
      <c r="AA7" s="93">
        <f>'Flujo de Caja'!$I$3*11.11%</f>
        <v>11621630.162387338</v>
      </c>
      <c r="AB7" s="93">
        <f>'Flujo de Caja'!$I$3*11.11%</f>
        <v>11621630.162387338</v>
      </c>
      <c r="AC7" s="93">
        <f>'Flujo de Caja'!$I$3*11.11%</f>
        <v>11621630.162387338</v>
      </c>
      <c r="AD7" s="93">
        <f>'Flujo de Caja'!$I$3*11.11%</f>
        <v>11621630.162387338</v>
      </c>
      <c r="AE7" s="93">
        <f>'Flujo de Caja'!$I$3*11.11%</f>
        <v>11621630.162387338</v>
      </c>
      <c r="AF7" s="93">
        <f>'Flujo de Caja'!$I$3*11.11%</f>
        <v>11621630.162387338</v>
      </c>
      <c r="AG7" s="93">
        <f>'Flujo de Caja'!$I$3*11.11%</f>
        <v>11621630.162387338</v>
      </c>
      <c r="AH7" s="93">
        <f>'Flujo de Caja'!$I$3*11.11%</f>
        <v>11621630.162387338</v>
      </c>
      <c r="AI7" s="93">
        <f>'Flujo de Caja'!$I$3*11.11%</f>
        <v>11621630.162387338</v>
      </c>
      <c r="AJ7" s="93">
        <f>'Flujo de Caja'!$I$3*11.11%</f>
        <v>11621630.162387338</v>
      </c>
      <c r="AK7" s="93">
        <f>'Flujo de Caja'!$I$3*11.11%</f>
        <v>11621630.162387338</v>
      </c>
      <c r="AL7" s="93">
        <f>'Flujo de Caja'!$I$3*11.11%</f>
        <v>11621630.162387338</v>
      </c>
      <c r="AM7" s="93">
        <f>'Flujo de Caja'!$I$3*11.11%</f>
        <v>11621630.162387338</v>
      </c>
      <c r="AN7" s="93">
        <f>'Flujo de Caja'!$I$3*11.11%</f>
        <v>11621630.162387338</v>
      </c>
      <c r="AO7" s="93">
        <f>'Flujo de Caja'!$I$3*11.11%</f>
        <v>11621630.162387338</v>
      </c>
      <c r="AP7" s="93">
        <f>'Flujo de Caja'!$I$3*11.11%</f>
        <v>11621630.162387338</v>
      </c>
      <c r="AQ7" s="93">
        <f>'Flujo de Caja'!$I$3*11.11%</f>
        <v>11621630.162387338</v>
      </c>
      <c r="AR7" s="93">
        <f>'Flujo de Caja'!$I$3*11.11%</f>
        <v>11621630.162387338</v>
      </c>
      <c r="AS7" s="93">
        <f>'Flujo de Caja'!$I$3*11.11%</f>
        <v>11621630.162387338</v>
      </c>
      <c r="AT7" s="93">
        <f>'Flujo de Caja'!$I$3*11.11%</f>
        <v>11621630.162387338</v>
      </c>
      <c r="AU7" s="93">
        <f>'Flujo de Caja'!$I$3*11.11%</f>
        <v>11621630.162387338</v>
      </c>
      <c r="AV7" s="93">
        <f>'Flujo de Caja'!$I$3*11.11%</f>
        <v>11621630.162387338</v>
      </c>
      <c r="AW7" s="93">
        <f>'Flujo de Caja'!$I$3*11.11%</f>
        <v>11621630.162387338</v>
      </c>
      <c r="AX7" s="93">
        <f>'Flujo de Caja'!$I$3*11.11%</f>
        <v>11621630.162387338</v>
      </c>
      <c r="AY7" s="93">
        <f>'Flujo de Caja'!$I$3*11.11%</f>
        <v>11621630.162387338</v>
      </c>
      <c r="AZ7" s="93">
        <f>'Flujo de Caja'!$I$3*11.11%</f>
        <v>11621630.162387338</v>
      </c>
      <c r="BA7" s="93">
        <f>'Flujo de Caja'!$I$3*11.11%</f>
        <v>11621630.162387338</v>
      </c>
      <c r="BB7" s="93">
        <f>'Flujo de Caja'!$I$3*11.11%</f>
        <v>11621630.162387338</v>
      </c>
      <c r="BC7" s="93">
        <f>'Flujo de Caja'!$I$3*11.11%</f>
        <v>11621630.162387338</v>
      </c>
      <c r="BD7" s="93">
        <f>'Flujo de Caja'!$I$3*11.11%</f>
        <v>11621630.162387338</v>
      </c>
      <c r="BE7" s="93">
        <f>'Flujo de Caja'!$I$3*11.11%</f>
        <v>11621630.162387338</v>
      </c>
      <c r="BF7" s="93">
        <f>'Flujo de Caja'!$I$3*11.11%</f>
        <v>11621630.162387338</v>
      </c>
      <c r="BG7" s="93">
        <f>'Flujo de Caja'!$I$3*11.11%</f>
        <v>11621630.162387338</v>
      </c>
      <c r="BH7" s="93">
        <f>'Flujo de Caja'!$I$3*11.11%</f>
        <v>11621630.162387338</v>
      </c>
      <c r="BI7" s="93">
        <f>'Flujo de Caja'!$I$3*11.11%</f>
        <v>11621630.162387338</v>
      </c>
      <c r="BJ7" s="93">
        <f>'Flujo de Caja'!$I$3*11.11%</f>
        <v>11621630.162387338</v>
      </c>
      <c r="BK7" s="93">
        <f>'Flujo de Caja'!$I$3*11.11%</f>
        <v>11621630.162387338</v>
      </c>
      <c r="BL7" s="93">
        <f>'Flujo de Caja'!$I$3*11.11%</f>
        <v>11621630.162387338</v>
      </c>
      <c r="BM7" s="93">
        <f>'Flujo de Caja'!$I$3*11.11%</f>
        <v>11621630.162387338</v>
      </c>
      <c r="BN7" s="93">
        <f>'Flujo de Caja'!$I$3*11.11%</f>
        <v>11621630.162387338</v>
      </c>
      <c r="BO7" s="93">
        <f>'Flujo de Caja'!$I$3*11.11%</f>
        <v>11621630.162387338</v>
      </c>
      <c r="BP7" s="93">
        <f>'Flujo de Caja'!$I$3*11.11%</f>
        <v>11621630.162387338</v>
      </c>
      <c r="BQ7" s="93">
        <f>'Flujo de Caja'!$I$3*11.11%</f>
        <v>11621630.162387338</v>
      </c>
      <c r="BR7" s="93">
        <f>'Flujo de Caja'!$I$3*11.11%</f>
        <v>11621630.162387338</v>
      </c>
      <c r="BS7" s="93">
        <f>'Flujo de Caja'!$I$3*11.11%</f>
        <v>11621630.162387338</v>
      </c>
      <c r="BT7" s="93">
        <f>'Flujo de Caja'!$I$3*11.11%</f>
        <v>11621630.162387338</v>
      </c>
      <c r="BU7" s="93">
        <f>'Flujo de Caja'!$I$3*11.11%</f>
        <v>11621630.162387338</v>
      </c>
      <c r="BV7" s="93">
        <f>'Flujo de Caja'!$I$3*11.11%</f>
        <v>11621630.162387338</v>
      </c>
      <c r="BW7" s="93">
        <f>'Flujo de Caja'!$I$3*11.11%</f>
        <v>11621630.162387338</v>
      </c>
      <c r="BX7" s="93">
        <f>'Flujo de Caja'!$I$3*11.11%</f>
        <v>11621630.162387338</v>
      </c>
      <c r="BY7" s="93">
        <f>'Flujo de Caja'!$I$3*11.11%</f>
        <v>11621630.162387338</v>
      </c>
      <c r="BZ7" s="93">
        <f>'Flujo de Caja'!$I$3*11.11%</f>
        <v>11621630.162387338</v>
      </c>
      <c r="CA7" s="93">
        <f>'Flujo de Caja'!$I$3*11.11%</f>
        <v>11621630.162387338</v>
      </c>
      <c r="CB7" s="93">
        <f>'Flujo de Caja'!$I$3*11.11%</f>
        <v>11621630.162387338</v>
      </c>
      <c r="CC7" s="93">
        <f>'Flujo de Caja'!$I$3*11.11%</f>
        <v>11621630.162387338</v>
      </c>
      <c r="CD7" s="93">
        <f>'Flujo de Caja'!$I$3*11.11%</f>
        <v>11621630.162387338</v>
      </c>
      <c r="CE7" s="93">
        <f>'Flujo de Caja'!$I$3*11.11%</f>
        <v>11621630.162387338</v>
      </c>
      <c r="CF7" s="93">
        <f>'Flujo de Caja'!$I$3*11.11%</f>
        <v>11621630.162387338</v>
      </c>
      <c r="CG7" s="93">
        <f>'Flujo de Caja'!$I$3*11.11%</f>
        <v>11621630.162387338</v>
      </c>
      <c r="CH7" s="93">
        <f>'Flujo de Caja'!$I$3*11.11%</f>
        <v>11621630.162387338</v>
      </c>
      <c r="CI7" s="93">
        <f>'Flujo de Caja'!$I$3*11.11%</f>
        <v>11621630.162387338</v>
      </c>
      <c r="CJ7" s="93">
        <f>'Flujo de Caja'!$I$3*11.11%</f>
        <v>11621630.162387338</v>
      </c>
      <c r="CK7" s="93">
        <f>'Flujo de Caja'!$I$3*11.11%</f>
        <v>11621630.162387338</v>
      </c>
      <c r="CL7" s="93">
        <f>'Flujo de Caja'!$I$3*11.11%</f>
        <v>11621630.162387338</v>
      </c>
      <c r="CM7" s="93">
        <f>'Flujo de Caja'!$I$3*11.11%</f>
        <v>11621630.162387338</v>
      </c>
      <c r="CN7" s="93">
        <f>'Flujo de Caja'!$I$3*11.11%</f>
        <v>11621630.162387338</v>
      </c>
      <c r="CO7" s="93">
        <f>'Flujo de Caja'!$I$3*11.11%</f>
        <v>11621630.162387338</v>
      </c>
      <c r="CP7" s="93">
        <f>'Flujo de Caja'!$I$3*11.11%</f>
        <v>11621630.162387338</v>
      </c>
      <c r="CQ7" s="93">
        <f>'Flujo de Caja'!$I$3*11.11%</f>
        <v>11621630.162387338</v>
      </c>
      <c r="CR7" s="93">
        <f>'Flujo de Caja'!$I$3*11.11%</f>
        <v>11621630.162387338</v>
      </c>
      <c r="CS7" s="93">
        <f>'Flujo de Caja'!$I$3*11.11%</f>
        <v>11621630.162387338</v>
      </c>
      <c r="CT7" s="93">
        <f>'Flujo de Caja'!$I$3*11.11%</f>
        <v>11621630.162387338</v>
      </c>
      <c r="CU7" s="93">
        <f>'Flujo de Caja'!$I$3*11.11%</f>
        <v>11621630.162387338</v>
      </c>
      <c r="CV7" s="93">
        <f>'Flujo de Caja'!$I$3*11.11%</f>
        <v>11621630.162387338</v>
      </c>
      <c r="CW7" s="93">
        <f>'Flujo de Caja'!$I$3*11.11%</f>
        <v>11621630.162387338</v>
      </c>
      <c r="CX7" s="93">
        <f>'Flujo de Caja'!$I$3*11.11%</f>
        <v>11621630.162387338</v>
      </c>
      <c r="CY7" s="93">
        <f>'Flujo de Caja'!$I$3*11.11%</f>
        <v>11621630.162387338</v>
      </c>
      <c r="CZ7" s="93">
        <f>'Flujo de Caja'!$I$3*11.11%</f>
        <v>11621630.162387338</v>
      </c>
      <c r="DA7" s="93">
        <f>'Flujo de Caja'!$I$3*11.11%</f>
        <v>11621630.162387338</v>
      </c>
      <c r="DB7" s="93">
        <f>'Flujo de Caja'!$I$3*11.11%</f>
        <v>11621630.162387338</v>
      </c>
      <c r="DC7" s="93">
        <f>'Flujo de Caja'!$I$3*11.11%</f>
        <v>11621630.162387338</v>
      </c>
      <c r="DD7" s="93">
        <f>'Flujo de Caja'!$I$3*11.11%</f>
        <v>11621630.162387338</v>
      </c>
      <c r="DE7" s="93">
        <f>'Flujo de Caja'!$I$3*11.11%</f>
        <v>11621630.162387338</v>
      </c>
      <c r="DF7" s="93">
        <f>'Flujo de Caja'!$I$3*11.11%</f>
        <v>11621630.162387338</v>
      </c>
      <c r="DG7" s="93">
        <f>'Flujo de Caja'!$I$3*11.11%</f>
        <v>11621630.162387338</v>
      </c>
      <c r="DH7" s="93">
        <f>'Flujo de Caja'!$I$3*11.11%</f>
        <v>11621630.162387338</v>
      </c>
      <c r="DI7" s="93">
        <f>'Flujo de Caja'!$I$3*11.11%</f>
        <v>11621630.162387338</v>
      </c>
      <c r="DJ7" s="93">
        <f>'Flujo de Caja'!$I$3*11.11%</f>
        <v>11621630.162387338</v>
      </c>
      <c r="DK7" s="93">
        <f>'Flujo de Caja'!$I$3*11.11%</f>
        <v>11621630.162387338</v>
      </c>
      <c r="DL7" s="93">
        <f>'Flujo de Caja'!$I$3*11.11%</f>
        <v>11621630.162387338</v>
      </c>
      <c r="DM7" s="93">
        <f>'Flujo de Caja'!$I$3*11.11%</f>
        <v>11621630.162387338</v>
      </c>
      <c r="DN7" s="93">
        <f>'Flujo de Caja'!$I$3*11.11%</f>
        <v>11621630.162387338</v>
      </c>
      <c r="DO7" s="93">
        <f>'Flujo de Caja'!$I$3*11.11%</f>
        <v>11621630.162387338</v>
      </c>
      <c r="DP7" s="93">
        <f>'Flujo de Caja'!$I$3*11.11%</f>
        <v>11621630.162387338</v>
      </c>
      <c r="DQ7" s="93">
        <f>'Flujo de Caja'!$I$3*11.11%</f>
        <v>11621630.162387338</v>
      </c>
      <c r="DR7" s="93">
        <f>'Flujo de Caja'!$I$3*11.11%</f>
        <v>11621630.162387338</v>
      </c>
      <c r="DS7" s="93">
        <f>'Flujo de Caja'!$I$3*11.11%</f>
        <v>11621630.162387338</v>
      </c>
      <c r="DT7" s="93">
        <f>'Flujo de Caja'!$I$3*11.11%</f>
        <v>11621630.162387338</v>
      </c>
      <c r="DU7" s="93">
        <f>'Flujo de Caja'!$I$3*11.11%</f>
        <v>11621630.162387338</v>
      </c>
      <c r="DV7" s="93">
        <f>'Flujo de Caja'!$I$3*11.11%</f>
        <v>11621630.162387338</v>
      </c>
    </row>
    <row r="8" spans="1:126" x14ac:dyDescent="0.25">
      <c r="A8" t="s">
        <v>158</v>
      </c>
      <c r="B8" s="38">
        <v>350000000</v>
      </c>
      <c r="E8" s="92" t="s">
        <v>156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>
        <v>20000000</v>
      </c>
      <c r="Q8" s="93">
        <v>20000000</v>
      </c>
      <c r="R8" s="93">
        <v>20000000</v>
      </c>
      <c r="S8" s="93">
        <v>20000000</v>
      </c>
      <c r="T8" s="93">
        <v>20000000</v>
      </c>
      <c r="U8" s="93">
        <v>20000000</v>
      </c>
      <c r="V8" s="93">
        <v>20000000</v>
      </c>
      <c r="W8" s="93">
        <v>20000000</v>
      </c>
      <c r="X8" s="93">
        <v>20000000</v>
      </c>
      <c r="Y8" s="93">
        <v>20000000</v>
      </c>
      <c r="Z8" s="93">
        <v>20000000</v>
      </c>
      <c r="AA8" s="93">
        <v>20000000</v>
      </c>
      <c r="AB8" s="93">
        <v>20000000</v>
      </c>
      <c r="AC8" s="93">
        <v>20000000</v>
      </c>
      <c r="AD8" s="93">
        <v>20000000</v>
      </c>
      <c r="AE8" s="93">
        <v>20000000</v>
      </c>
      <c r="AF8" s="93">
        <v>20000000</v>
      </c>
      <c r="AG8" s="93">
        <v>20000000</v>
      </c>
      <c r="AH8" s="93">
        <v>20000000</v>
      </c>
      <c r="AI8" s="93">
        <v>20000000</v>
      </c>
      <c r="AJ8" s="93">
        <v>20000000</v>
      </c>
      <c r="AK8" s="93">
        <v>20000000</v>
      </c>
      <c r="AL8" s="93">
        <v>20000000</v>
      </c>
      <c r="AM8" s="93">
        <v>20000000</v>
      </c>
      <c r="AN8" s="93">
        <v>20000000</v>
      </c>
      <c r="AO8" s="93">
        <v>20000000</v>
      </c>
      <c r="AP8" s="93">
        <v>20000000</v>
      </c>
      <c r="AQ8" s="93">
        <v>20000000</v>
      </c>
      <c r="AR8" s="93">
        <v>20000000</v>
      </c>
      <c r="AS8" s="93">
        <v>20000000</v>
      </c>
      <c r="AT8" s="93">
        <v>20000000</v>
      </c>
      <c r="AU8" s="93">
        <v>20000000</v>
      </c>
      <c r="AV8" s="93">
        <v>20000000</v>
      </c>
      <c r="AW8" s="93">
        <v>20000000</v>
      </c>
      <c r="AX8" s="93">
        <v>20000000</v>
      </c>
      <c r="AY8" s="93">
        <v>20000000</v>
      </c>
      <c r="AZ8" s="93">
        <v>20000000</v>
      </c>
      <c r="BA8" s="93">
        <v>20000000</v>
      </c>
      <c r="BB8" s="93">
        <v>20000000</v>
      </c>
      <c r="BC8" s="93">
        <v>20000000</v>
      </c>
      <c r="BD8" s="93">
        <v>20000000</v>
      </c>
      <c r="BE8" s="93">
        <v>20000000</v>
      </c>
      <c r="BF8" s="93">
        <v>20000000</v>
      </c>
      <c r="BG8" s="93">
        <v>20000000</v>
      </c>
      <c r="BH8" s="93">
        <v>20000000</v>
      </c>
      <c r="BI8" s="93">
        <v>20000000</v>
      </c>
      <c r="BJ8" s="93">
        <v>20000000</v>
      </c>
      <c r="BK8" s="93">
        <v>20000000</v>
      </c>
      <c r="BL8" s="93">
        <v>20000000</v>
      </c>
      <c r="BM8" s="93">
        <v>20000000</v>
      </c>
      <c r="BN8" s="93">
        <v>20000000</v>
      </c>
      <c r="BO8" s="93">
        <v>20000000</v>
      </c>
      <c r="BP8" s="93">
        <v>20000000</v>
      </c>
      <c r="BQ8" s="93">
        <v>20000000</v>
      </c>
      <c r="BR8" s="93">
        <v>20000000</v>
      </c>
      <c r="BS8" s="93">
        <v>20000000</v>
      </c>
      <c r="BT8" s="93">
        <v>20000000</v>
      </c>
      <c r="BU8" s="93">
        <v>20000000</v>
      </c>
      <c r="BV8" s="93">
        <v>20000000</v>
      </c>
      <c r="BW8" s="93">
        <v>20000000</v>
      </c>
      <c r="BX8" s="93">
        <v>20000000</v>
      </c>
      <c r="BY8" s="93">
        <v>20000000</v>
      </c>
      <c r="BZ8" s="93">
        <v>20000000</v>
      </c>
      <c r="CA8" s="93">
        <v>20000000</v>
      </c>
      <c r="CB8" s="93">
        <v>20000000</v>
      </c>
      <c r="CC8" s="93">
        <v>20000000</v>
      </c>
      <c r="CD8" s="93">
        <v>20000000</v>
      </c>
      <c r="CE8" s="93">
        <v>20000000</v>
      </c>
      <c r="CF8" s="93">
        <v>20000000</v>
      </c>
      <c r="CG8" s="93">
        <v>20000000</v>
      </c>
      <c r="CH8" s="93">
        <v>20000000</v>
      </c>
      <c r="CI8" s="93">
        <v>20000000</v>
      </c>
      <c r="CJ8" s="93">
        <v>20000000</v>
      </c>
      <c r="CK8" s="93">
        <v>20000000</v>
      </c>
      <c r="CL8" s="93">
        <v>20000000</v>
      </c>
      <c r="CM8" s="93">
        <v>20000000</v>
      </c>
      <c r="CN8" s="93">
        <v>20000000</v>
      </c>
      <c r="CO8" s="93">
        <v>20000000</v>
      </c>
      <c r="CP8" s="93">
        <v>20000000</v>
      </c>
      <c r="CQ8" s="93">
        <v>20000000</v>
      </c>
      <c r="CR8" s="93">
        <v>20000000</v>
      </c>
      <c r="CS8" s="93">
        <v>20000000</v>
      </c>
      <c r="CT8" s="93">
        <v>20000000</v>
      </c>
      <c r="CU8" s="93">
        <v>20000000</v>
      </c>
      <c r="CV8" s="93">
        <v>20000000</v>
      </c>
      <c r="CW8" s="93">
        <v>20000000</v>
      </c>
      <c r="CX8" s="93">
        <v>20000000</v>
      </c>
      <c r="CY8" s="93">
        <v>20000000</v>
      </c>
      <c r="CZ8" s="93">
        <v>20000000</v>
      </c>
      <c r="DA8" s="93">
        <v>20000000</v>
      </c>
      <c r="DB8" s="93">
        <v>20000000</v>
      </c>
      <c r="DC8" s="93">
        <v>20000000</v>
      </c>
      <c r="DD8" s="93">
        <v>20000000</v>
      </c>
      <c r="DE8" s="93">
        <v>20000000</v>
      </c>
      <c r="DF8" s="93">
        <v>20000000</v>
      </c>
      <c r="DG8" s="93">
        <v>20000000</v>
      </c>
      <c r="DH8" s="93">
        <v>20000000</v>
      </c>
      <c r="DI8" s="93">
        <v>20000000</v>
      </c>
      <c r="DJ8" s="93">
        <v>20000000</v>
      </c>
      <c r="DK8" s="93">
        <v>20000000</v>
      </c>
      <c r="DL8" s="93">
        <v>20000000</v>
      </c>
      <c r="DM8" s="93">
        <v>20000000</v>
      </c>
      <c r="DN8" s="93">
        <v>20000000</v>
      </c>
      <c r="DO8" s="93">
        <v>20000000</v>
      </c>
      <c r="DP8" s="93">
        <v>20000000</v>
      </c>
      <c r="DQ8" s="93">
        <v>20000000</v>
      </c>
      <c r="DR8" s="93">
        <v>20000000</v>
      </c>
      <c r="DS8" s="93">
        <v>20000000</v>
      </c>
      <c r="DT8" s="93">
        <v>20000000</v>
      </c>
      <c r="DU8" s="93">
        <v>20000000</v>
      </c>
      <c r="DV8" s="93">
        <v>20000000</v>
      </c>
    </row>
    <row r="9" spans="1:126" x14ac:dyDescent="0.25">
      <c r="A9" t="s">
        <v>128</v>
      </c>
      <c r="B9" s="73">
        <f>'Flujo de Caja'!B42</f>
        <v>9.1600000000000001E-2</v>
      </c>
      <c r="C9" t="s">
        <v>129</v>
      </c>
      <c r="E9" s="90" t="s">
        <v>109</v>
      </c>
      <c r="F9" s="91"/>
      <c r="G9" s="91">
        <f>G10</f>
        <v>0</v>
      </c>
      <c r="H9" s="91">
        <f t="shared" ref="H9:BS9" si="8">H10</f>
        <v>0</v>
      </c>
      <c r="I9" s="91">
        <f t="shared" si="8"/>
        <v>0</v>
      </c>
      <c r="J9" s="91">
        <f t="shared" si="8"/>
        <v>0</v>
      </c>
      <c r="K9" s="91">
        <f t="shared" si="8"/>
        <v>0</v>
      </c>
      <c r="L9" s="91">
        <f t="shared" si="8"/>
        <v>0</v>
      </c>
      <c r="M9" s="91">
        <f t="shared" si="8"/>
        <v>0</v>
      </c>
      <c r="N9" s="91">
        <f t="shared" si="8"/>
        <v>0</v>
      </c>
      <c r="O9" s="91">
        <f t="shared" si="8"/>
        <v>0</v>
      </c>
      <c r="P9" s="91">
        <f t="shared" si="8"/>
        <v>-51471072.810000002</v>
      </c>
      <c r="Q9" s="91">
        <f t="shared" si="8"/>
        <v>-51471072.810000002</v>
      </c>
      <c r="R9" s="91">
        <f t="shared" si="8"/>
        <v>-51471072.810000002</v>
      </c>
      <c r="S9" s="91">
        <f t="shared" si="8"/>
        <v>-51471072.810000002</v>
      </c>
      <c r="T9" s="91">
        <f t="shared" si="8"/>
        <v>-51471072.810000002</v>
      </c>
      <c r="U9" s="91">
        <f t="shared" si="8"/>
        <v>-51471072.810000002</v>
      </c>
      <c r="V9" s="91">
        <f t="shared" si="8"/>
        <v>-51471072.810000002</v>
      </c>
      <c r="W9" s="91">
        <f t="shared" si="8"/>
        <v>-51471072.810000002</v>
      </c>
      <c r="X9" s="91">
        <f t="shared" si="8"/>
        <v>-51471072.810000002</v>
      </c>
      <c r="Y9" s="91">
        <f t="shared" si="8"/>
        <v>-51471072.810000002</v>
      </c>
      <c r="Z9" s="91">
        <f t="shared" si="8"/>
        <v>-51471072.810000002</v>
      </c>
      <c r="AA9" s="91">
        <f t="shared" si="8"/>
        <v>-51471072.810000002</v>
      </c>
      <c r="AB9" s="91">
        <f t="shared" si="8"/>
        <v>-51471072.810000002</v>
      </c>
      <c r="AC9" s="91">
        <f t="shared" si="8"/>
        <v>-51471072.810000002</v>
      </c>
      <c r="AD9" s="91">
        <f t="shared" si="8"/>
        <v>-51471072.810000002</v>
      </c>
      <c r="AE9" s="91">
        <f t="shared" si="8"/>
        <v>-51471072.810000002</v>
      </c>
      <c r="AF9" s="91">
        <f t="shared" si="8"/>
        <v>-51471072.810000002</v>
      </c>
      <c r="AG9" s="91">
        <f t="shared" si="8"/>
        <v>-51471072.810000002</v>
      </c>
      <c r="AH9" s="91">
        <f t="shared" si="8"/>
        <v>-51471072.810000002</v>
      </c>
      <c r="AI9" s="91">
        <f t="shared" si="8"/>
        <v>-51471072.810000002</v>
      </c>
      <c r="AJ9" s="91">
        <f t="shared" si="8"/>
        <v>-51471072.810000002</v>
      </c>
      <c r="AK9" s="91">
        <f t="shared" si="8"/>
        <v>-51471072.810000002</v>
      </c>
      <c r="AL9" s="91">
        <f t="shared" si="8"/>
        <v>-51471072.810000002</v>
      </c>
      <c r="AM9" s="91">
        <f t="shared" si="8"/>
        <v>-51471072.810000002</v>
      </c>
      <c r="AN9" s="91">
        <f t="shared" si="8"/>
        <v>-51471072.810000002</v>
      </c>
      <c r="AO9" s="91">
        <f t="shared" si="8"/>
        <v>-51471072.810000002</v>
      </c>
      <c r="AP9" s="91">
        <f t="shared" si="8"/>
        <v>-51471072.810000002</v>
      </c>
      <c r="AQ9" s="91">
        <f t="shared" si="8"/>
        <v>-51471072.810000002</v>
      </c>
      <c r="AR9" s="91">
        <f t="shared" si="8"/>
        <v>-51471072.810000002</v>
      </c>
      <c r="AS9" s="91">
        <f t="shared" si="8"/>
        <v>-51471072.810000002</v>
      </c>
      <c r="AT9" s="91">
        <f t="shared" si="8"/>
        <v>-51471072.810000002</v>
      </c>
      <c r="AU9" s="91">
        <f t="shared" si="8"/>
        <v>-51471072.810000002</v>
      </c>
      <c r="AV9" s="91">
        <f t="shared" si="8"/>
        <v>-51471072.810000002</v>
      </c>
      <c r="AW9" s="91">
        <f t="shared" si="8"/>
        <v>-51471072.810000002</v>
      </c>
      <c r="AX9" s="91">
        <f t="shared" si="8"/>
        <v>-51471072.810000002</v>
      </c>
      <c r="AY9" s="91">
        <f t="shared" si="8"/>
        <v>-51471072.810000002</v>
      </c>
      <c r="AZ9" s="91">
        <f t="shared" si="8"/>
        <v>-51471072.810000002</v>
      </c>
      <c r="BA9" s="91">
        <f t="shared" si="8"/>
        <v>-51471072.810000002</v>
      </c>
      <c r="BB9" s="91">
        <f t="shared" si="8"/>
        <v>-51471072.810000002</v>
      </c>
      <c r="BC9" s="91">
        <f t="shared" si="8"/>
        <v>-51471072.810000002</v>
      </c>
      <c r="BD9" s="91">
        <f t="shared" si="8"/>
        <v>-51471072.810000002</v>
      </c>
      <c r="BE9" s="91">
        <f t="shared" si="8"/>
        <v>-51471072.810000002</v>
      </c>
      <c r="BF9" s="91">
        <f t="shared" si="8"/>
        <v>-51471072.810000002</v>
      </c>
      <c r="BG9" s="91">
        <f t="shared" si="8"/>
        <v>-51471072.810000002</v>
      </c>
      <c r="BH9" s="91">
        <f t="shared" si="8"/>
        <v>-51471072.810000002</v>
      </c>
      <c r="BI9" s="91">
        <f t="shared" si="8"/>
        <v>-51471072.810000002</v>
      </c>
      <c r="BJ9" s="91">
        <f t="shared" si="8"/>
        <v>-51471072.810000002</v>
      </c>
      <c r="BK9" s="91">
        <f t="shared" si="8"/>
        <v>-51471072.810000002</v>
      </c>
      <c r="BL9" s="91">
        <f t="shared" si="8"/>
        <v>-51471072.810000002</v>
      </c>
      <c r="BM9" s="91">
        <f t="shared" si="8"/>
        <v>-51471072.810000002</v>
      </c>
      <c r="BN9" s="91">
        <f t="shared" si="8"/>
        <v>-51471072.810000002</v>
      </c>
      <c r="BO9" s="91">
        <f t="shared" si="8"/>
        <v>-51471072.810000002</v>
      </c>
      <c r="BP9" s="91">
        <f t="shared" si="8"/>
        <v>-51471072.810000002</v>
      </c>
      <c r="BQ9" s="91">
        <f t="shared" si="8"/>
        <v>-51471072.810000002</v>
      </c>
      <c r="BR9" s="91">
        <f t="shared" si="8"/>
        <v>-51471072.810000002</v>
      </c>
      <c r="BS9" s="91">
        <f t="shared" si="8"/>
        <v>-51471072.810000002</v>
      </c>
      <c r="BT9" s="91">
        <f t="shared" ref="BT9:DV9" si="9">BT10</f>
        <v>-51471072.810000002</v>
      </c>
      <c r="BU9" s="91">
        <f t="shared" si="9"/>
        <v>-51471072.810000002</v>
      </c>
      <c r="BV9" s="91">
        <f t="shared" si="9"/>
        <v>-51471072.810000002</v>
      </c>
      <c r="BW9" s="91">
        <f t="shared" si="9"/>
        <v>-51471072.810000002</v>
      </c>
      <c r="BX9" s="91">
        <f t="shared" si="9"/>
        <v>-51471072.810000002</v>
      </c>
      <c r="BY9" s="91">
        <f t="shared" si="9"/>
        <v>-51471072.810000002</v>
      </c>
      <c r="BZ9" s="91">
        <f t="shared" si="9"/>
        <v>-51471072.810000002</v>
      </c>
      <c r="CA9" s="91">
        <f t="shared" si="9"/>
        <v>-51471072.810000002</v>
      </c>
      <c r="CB9" s="91">
        <f t="shared" si="9"/>
        <v>-51471072.810000002</v>
      </c>
      <c r="CC9" s="91">
        <f t="shared" si="9"/>
        <v>-51471072.810000002</v>
      </c>
      <c r="CD9" s="91">
        <f t="shared" si="9"/>
        <v>-51471072.810000002</v>
      </c>
      <c r="CE9" s="91">
        <f t="shared" si="9"/>
        <v>-51471072.810000002</v>
      </c>
      <c r="CF9" s="91">
        <f t="shared" si="9"/>
        <v>-51471072.810000002</v>
      </c>
      <c r="CG9" s="91">
        <f t="shared" si="9"/>
        <v>-51471072.810000002</v>
      </c>
      <c r="CH9" s="91">
        <f t="shared" si="9"/>
        <v>-51471072.810000002</v>
      </c>
      <c r="CI9" s="91">
        <f t="shared" si="9"/>
        <v>-51471072.810000002</v>
      </c>
      <c r="CJ9" s="91">
        <f t="shared" si="9"/>
        <v>-51471072.810000002</v>
      </c>
      <c r="CK9" s="91">
        <f t="shared" si="9"/>
        <v>-51471072.810000002</v>
      </c>
      <c r="CL9" s="91">
        <f t="shared" si="9"/>
        <v>-51471072.810000002</v>
      </c>
      <c r="CM9" s="91">
        <f t="shared" si="9"/>
        <v>-51471072.810000002</v>
      </c>
      <c r="CN9" s="91">
        <f t="shared" si="9"/>
        <v>-51471072.810000002</v>
      </c>
      <c r="CO9" s="91">
        <f t="shared" si="9"/>
        <v>-51471072.810000002</v>
      </c>
      <c r="CP9" s="91">
        <f t="shared" si="9"/>
        <v>-51471072.810000002</v>
      </c>
      <c r="CQ9" s="91">
        <f t="shared" si="9"/>
        <v>-51471072.810000002</v>
      </c>
      <c r="CR9" s="91">
        <f t="shared" si="9"/>
        <v>-51471072.810000002</v>
      </c>
      <c r="CS9" s="91">
        <f t="shared" si="9"/>
        <v>-51471072.810000002</v>
      </c>
      <c r="CT9" s="91">
        <f t="shared" si="9"/>
        <v>-51471072.810000002</v>
      </c>
      <c r="CU9" s="91">
        <f t="shared" si="9"/>
        <v>-51471072.810000002</v>
      </c>
      <c r="CV9" s="91">
        <f t="shared" si="9"/>
        <v>-51471072.810000002</v>
      </c>
      <c r="CW9" s="91">
        <f t="shared" si="9"/>
        <v>-51471072.810000002</v>
      </c>
      <c r="CX9" s="91">
        <f t="shared" si="9"/>
        <v>-51471072.810000002</v>
      </c>
      <c r="CY9" s="91">
        <f t="shared" si="9"/>
        <v>-51471072.810000002</v>
      </c>
      <c r="CZ9" s="91">
        <f t="shared" si="9"/>
        <v>-51471072.810000002</v>
      </c>
      <c r="DA9" s="91">
        <f t="shared" si="9"/>
        <v>-51471072.810000002</v>
      </c>
      <c r="DB9" s="91">
        <f t="shared" si="9"/>
        <v>-51471072.810000002</v>
      </c>
      <c r="DC9" s="91">
        <f t="shared" si="9"/>
        <v>-51471072.810000002</v>
      </c>
      <c r="DD9" s="91">
        <f t="shared" si="9"/>
        <v>-51471072.810000002</v>
      </c>
      <c r="DE9" s="91">
        <f t="shared" si="9"/>
        <v>-51471072.810000002</v>
      </c>
      <c r="DF9" s="91">
        <f t="shared" si="9"/>
        <v>-51471072.810000002</v>
      </c>
      <c r="DG9" s="91">
        <f t="shared" si="9"/>
        <v>-51471072.810000002</v>
      </c>
      <c r="DH9" s="91">
        <f t="shared" si="9"/>
        <v>-51471072.810000002</v>
      </c>
      <c r="DI9" s="91">
        <f t="shared" si="9"/>
        <v>-51471072.810000002</v>
      </c>
      <c r="DJ9" s="91">
        <f t="shared" si="9"/>
        <v>-51471072.810000002</v>
      </c>
      <c r="DK9" s="91">
        <f t="shared" si="9"/>
        <v>-51471072.810000002</v>
      </c>
      <c r="DL9" s="91">
        <f t="shared" si="9"/>
        <v>-51471072.810000002</v>
      </c>
      <c r="DM9" s="91">
        <f t="shared" si="9"/>
        <v>-51471072.810000002</v>
      </c>
      <c r="DN9" s="91">
        <f t="shared" si="9"/>
        <v>-51471072.810000002</v>
      </c>
      <c r="DO9" s="91">
        <f t="shared" si="9"/>
        <v>-51471072.810000002</v>
      </c>
      <c r="DP9" s="91">
        <f t="shared" si="9"/>
        <v>-51471072.810000002</v>
      </c>
      <c r="DQ9" s="91">
        <f t="shared" si="9"/>
        <v>-51471072.810000002</v>
      </c>
      <c r="DR9" s="91">
        <f t="shared" si="9"/>
        <v>-51471072.810000002</v>
      </c>
      <c r="DS9" s="91">
        <f t="shared" si="9"/>
        <v>-51471072.810000002</v>
      </c>
      <c r="DT9" s="91">
        <f t="shared" si="9"/>
        <v>-51471072.810000002</v>
      </c>
      <c r="DU9" s="91">
        <f t="shared" si="9"/>
        <v>-51471072.810000002</v>
      </c>
      <c r="DV9" s="91">
        <f t="shared" si="9"/>
        <v>-401471072.81</v>
      </c>
    </row>
    <row r="10" spans="1:126" x14ac:dyDescent="0.25">
      <c r="A10" t="s">
        <v>128</v>
      </c>
      <c r="B10" s="73">
        <f>'Flujo de Caja'!B43</f>
        <v>7.3304462918302171E-3</v>
      </c>
      <c r="C10" t="s">
        <v>130</v>
      </c>
      <c r="E10" s="92" t="s">
        <v>157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>
        <f t="shared" ref="P10:AU10" si="10">-$B$7</f>
        <v>-51471072.810000002</v>
      </c>
      <c r="Q10" s="93">
        <f t="shared" si="10"/>
        <v>-51471072.810000002</v>
      </c>
      <c r="R10" s="93">
        <f t="shared" si="10"/>
        <v>-51471072.810000002</v>
      </c>
      <c r="S10" s="93">
        <f t="shared" si="10"/>
        <v>-51471072.810000002</v>
      </c>
      <c r="T10" s="93">
        <f t="shared" si="10"/>
        <v>-51471072.810000002</v>
      </c>
      <c r="U10" s="93">
        <f t="shared" si="10"/>
        <v>-51471072.810000002</v>
      </c>
      <c r="V10" s="93">
        <f t="shared" si="10"/>
        <v>-51471072.810000002</v>
      </c>
      <c r="W10" s="93">
        <f t="shared" si="10"/>
        <v>-51471072.810000002</v>
      </c>
      <c r="X10" s="93">
        <f t="shared" si="10"/>
        <v>-51471072.810000002</v>
      </c>
      <c r="Y10" s="93">
        <f t="shared" si="10"/>
        <v>-51471072.810000002</v>
      </c>
      <c r="Z10" s="93">
        <f t="shared" si="10"/>
        <v>-51471072.810000002</v>
      </c>
      <c r="AA10" s="93">
        <f t="shared" si="10"/>
        <v>-51471072.810000002</v>
      </c>
      <c r="AB10" s="93">
        <f t="shared" si="10"/>
        <v>-51471072.810000002</v>
      </c>
      <c r="AC10" s="93">
        <f t="shared" si="10"/>
        <v>-51471072.810000002</v>
      </c>
      <c r="AD10" s="93">
        <f t="shared" si="10"/>
        <v>-51471072.810000002</v>
      </c>
      <c r="AE10" s="93">
        <f t="shared" si="10"/>
        <v>-51471072.810000002</v>
      </c>
      <c r="AF10" s="93">
        <f t="shared" si="10"/>
        <v>-51471072.810000002</v>
      </c>
      <c r="AG10" s="93">
        <f t="shared" si="10"/>
        <v>-51471072.810000002</v>
      </c>
      <c r="AH10" s="93">
        <f t="shared" si="10"/>
        <v>-51471072.810000002</v>
      </c>
      <c r="AI10" s="93">
        <f t="shared" si="10"/>
        <v>-51471072.810000002</v>
      </c>
      <c r="AJ10" s="93">
        <f t="shared" si="10"/>
        <v>-51471072.810000002</v>
      </c>
      <c r="AK10" s="93">
        <f t="shared" si="10"/>
        <v>-51471072.810000002</v>
      </c>
      <c r="AL10" s="93">
        <f t="shared" si="10"/>
        <v>-51471072.810000002</v>
      </c>
      <c r="AM10" s="93">
        <f t="shared" si="10"/>
        <v>-51471072.810000002</v>
      </c>
      <c r="AN10" s="93">
        <f t="shared" si="10"/>
        <v>-51471072.810000002</v>
      </c>
      <c r="AO10" s="93">
        <f t="shared" si="10"/>
        <v>-51471072.810000002</v>
      </c>
      <c r="AP10" s="93">
        <f t="shared" si="10"/>
        <v>-51471072.810000002</v>
      </c>
      <c r="AQ10" s="93">
        <f t="shared" si="10"/>
        <v>-51471072.810000002</v>
      </c>
      <c r="AR10" s="93">
        <f t="shared" si="10"/>
        <v>-51471072.810000002</v>
      </c>
      <c r="AS10" s="93">
        <f t="shared" si="10"/>
        <v>-51471072.810000002</v>
      </c>
      <c r="AT10" s="93">
        <f t="shared" si="10"/>
        <v>-51471072.810000002</v>
      </c>
      <c r="AU10" s="93">
        <f t="shared" si="10"/>
        <v>-51471072.810000002</v>
      </c>
      <c r="AV10" s="93">
        <f t="shared" ref="AV10:CA10" si="11">-$B$7</f>
        <v>-51471072.810000002</v>
      </c>
      <c r="AW10" s="93">
        <f t="shared" si="11"/>
        <v>-51471072.810000002</v>
      </c>
      <c r="AX10" s="93">
        <f t="shared" si="11"/>
        <v>-51471072.810000002</v>
      </c>
      <c r="AY10" s="93">
        <f t="shared" si="11"/>
        <v>-51471072.810000002</v>
      </c>
      <c r="AZ10" s="93">
        <f t="shared" si="11"/>
        <v>-51471072.810000002</v>
      </c>
      <c r="BA10" s="93">
        <f t="shared" si="11"/>
        <v>-51471072.810000002</v>
      </c>
      <c r="BB10" s="93">
        <f t="shared" si="11"/>
        <v>-51471072.810000002</v>
      </c>
      <c r="BC10" s="93">
        <f t="shared" si="11"/>
        <v>-51471072.810000002</v>
      </c>
      <c r="BD10" s="93">
        <f t="shared" si="11"/>
        <v>-51471072.810000002</v>
      </c>
      <c r="BE10" s="93">
        <f t="shared" si="11"/>
        <v>-51471072.810000002</v>
      </c>
      <c r="BF10" s="93">
        <f t="shared" si="11"/>
        <v>-51471072.810000002</v>
      </c>
      <c r="BG10" s="93">
        <f t="shared" si="11"/>
        <v>-51471072.810000002</v>
      </c>
      <c r="BH10" s="93">
        <f t="shared" si="11"/>
        <v>-51471072.810000002</v>
      </c>
      <c r="BI10" s="93">
        <f t="shared" si="11"/>
        <v>-51471072.810000002</v>
      </c>
      <c r="BJ10" s="93">
        <f t="shared" si="11"/>
        <v>-51471072.810000002</v>
      </c>
      <c r="BK10" s="93">
        <f t="shared" si="11"/>
        <v>-51471072.810000002</v>
      </c>
      <c r="BL10" s="93">
        <f t="shared" si="11"/>
        <v>-51471072.810000002</v>
      </c>
      <c r="BM10" s="93">
        <f t="shared" si="11"/>
        <v>-51471072.810000002</v>
      </c>
      <c r="BN10" s="93">
        <f t="shared" si="11"/>
        <v>-51471072.810000002</v>
      </c>
      <c r="BO10" s="93">
        <f t="shared" si="11"/>
        <v>-51471072.810000002</v>
      </c>
      <c r="BP10" s="93">
        <f t="shared" si="11"/>
        <v>-51471072.810000002</v>
      </c>
      <c r="BQ10" s="93">
        <f t="shared" si="11"/>
        <v>-51471072.810000002</v>
      </c>
      <c r="BR10" s="93">
        <f t="shared" si="11"/>
        <v>-51471072.810000002</v>
      </c>
      <c r="BS10" s="93">
        <f t="shared" si="11"/>
        <v>-51471072.810000002</v>
      </c>
      <c r="BT10" s="93">
        <f t="shared" si="11"/>
        <v>-51471072.810000002</v>
      </c>
      <c r="BU10" s="93">
        <f t="shared" si="11"/>
        <v>-51471072.810000002</v>
      </c>
      <c r="BV10" s="93">
        <f t="shared" si="11"/>
        <v>-51471072.810000002</v>
      </c>
      <c r="BW10" s="93">
        <f t="shared" si="11"/>
        <v>-51471072.810000002</v>
      </c>
      <c r="BX10" s="93">
        <f t="shared" si="11"/>
        <v>-51471072.810000002</v>
      </c>
      <c r="BY10" s="93">
        <f t="shared" si="11"/>
        <v>-51471072.810000002</v>
      </c>
      <c r="BZ10" s="93">
        <f t="shared" si="11"/>
        <v>-51471072.810000002</v>
      </c>
      <c r="CA10" s="93">
        <f t="shared" si="11"/>
        <v>-51471072.810000002</v>
      </c>
      <c r="CB10" s="93">
        <f t="shared" ref="CB10:DG10" si="12">-$B$7</f>
        <v>-51471072.810000002</v>
      </c>
      <c r="CC10" s="93">
        <f t="shared" si="12"/>
        <v>-51471072.810000002</v>
      </c>
      <c r="CD10" s="93">
        <f t="shared" si="12"/>
        <v>-51471072.810000002</v>
      </c>
      <c r="CE10" s="93">
        <f t="shared" si="12"/>
        <v>-51471072.810000002</v>
      </c>
      <c r="CF10" s="93">
        <f t="shared" si="12"/>
        <v>-51471072.810000002</v>
      </c>
      <c r="CG10" s="93">
        <f t="shared" si="12"/>
        <v>-51471072.810000002</v>
      </c>
      <c r="CH10" s="93">
        <f t="shared" si="12"/>
        <v>-51471072.810000002</v>
      </c>
      <c r="CI10" s="93">
        <f t="shared" si="12"/>
        <v>-51471072.810000002</v>
      </c>
      <c r="CJ10" s="93">
        <f t="shared" si="12"/>
        <v>-51471072.810000002</v>
      </c>
      <c r="CK10" s="93">
        <f t="shared" si="12"/>
        <v>-51471072.810000002</v>
      </c>
      <c r="CL10" s="93">
        <f t="shared" si="12"/>
        <v>-51471072.810000002</v>
      </c>
      <c r="CM10" s="93">
        <f t="shared" si="12"/>
        <v>-51471072.810000002</v>
      </c>
      <c r="CN10" s="93">
        <f t="shared" si="12"/>
        <v>-51471072.810000002</v>
      </c>
      <c r="CO10" s="93">
        <f t="shared" si="12"/>
        <v>-51471072.810000002</v>
      </c>
      <c r="CP10" s="93">
        <f t="shared" si="12"/>
        <v>-51471072.810000002</v>
      </c>
      <c r="CQ10" s="93">
        <f t="shared" si="12"/>
        <v>-51471072.810000002</v>
      </c>
      <c r="CR10" s="93">
        <f t="shared" si="12"/>
        <v>-51471072.810000002</v>
      </c>
      <c r="CS10" s="93">
        <f t="shared" si="12"/>
        <v>-51471072.810000002</v>
      </c>
      <c r="CT10" s="93">
        <f t="shared" si="12"/>
        <v>-51471072.810000002</v>
      </c>
      <c r="CU10" s="93">
        <f t="shared" si="12"/>
        <v>-51471072.810000002</v>
      </c>
      <c r="CV10" s="93">
        <f t="shared" si="12"/>
        <v>-51471072.810000002</v>
      </c>
      <c r="CW10" s="93">
        <f t="shared" si="12"/>
        <v>-51471072.810000002</v>
      </c>
      <c r="CX10" s="93">
        <f t="shared" si="12"/>
        <v>-51471072.810000002</v>
      </c>
      <c r="CY10" s="93">
        <f t="shared" si="12"/>
        <v>-51471072.810000002</v>
      </c>
      <c r="CZ10" s="93">
        <f t="shared" si="12"/>
        <v>-51471072.810000002</v>
      </c>
      <c r="DA10" s="93">
        <f t="shared" si="12"/>
        <v>-51471072.810000002</v>
      </c>
      <c r="DB10" s="93">
        <f t="shared" si="12"/>
        <v>-51471072.810000002</v>
      </c>
      <c r="DC10" s="93">
        <f t="shared" si="12"/>
        <v>-51471072.810000002</v>
      </c>
      <c r="DD10" s="93">
        <f t="shared" si="12"/>
        <v>-51471072.810000002</v>
      </c>
      <c r="DE10" s="93">
        <f t="shared" si="12"/>
        <v>-51471072.810000002</v>
      </c>
      <c r="DF10" s="93">
        <f t="shared" si="12"/>
        <v>-51471072.810000002</v>
      </c>
      <c r="DG10" s="93">
        <f t="shared" si="12"/>
        <v>-51471072.810000002</v>
      </c>
      <c r="DH10" s="93">
        <f t="shared" ref="DH10:DU10" si="13">-$B$7</f>
        <v>-51471072.810000002</v>
      </c>
      <c r="DI10" s="93">
        <f t="shared" si="13"/>
        <v>-51471072.810000002</v>
      </c>
      <c r="DJ10" s="93">
        <f t="shared" si="13"/>
        <v>-51471072.810000002</v>
      </c>
      <c r="DK10" s="93">
        <f t="shared" si="13"/>
        <v>-51471072.810000002</v>
      </c>
      <c r="DL10" s="93">
        <f t="shared" si="13"/>
        <v>-51471072.810000002</v>
      </c>
      <c r="DM10" s="93">
        <f t="shared" si="13"/>
        <v>-51471072.810000002</v>
      </c>
      <c r="DN10" s="93">
        <f t="shared" si="13"/>
        <v>-51471072.810000002</v>
      </c>
      <c r="DO10" s="93">
        <f t="shared" si="13"/>
        <v>-51471072.810000002</v>
      </c>
      <c r="DP10" s="93">
        <f t="shared" si="13"/>
        <v>-51471072.810000002</v>
      </c>
      <c r="DQ10" s="93">
        <f t="shared" si="13"/>
        <v>-51471072.810000002</v>
      </c>
      <c r="DR10" s="93">
        <f t="shared" si="13"/>
        <v>-51471072.810000002</v>
      </c>
      <c r="DS10" s="93">
        <f t="shared" si="13"/>
        <v>-51471072.810000002</v>
      </c>
      <c r="DT10" s="93">
        <f t="shared" si="13"/>
        <v>-51471072.810000002</v>
      </c>
      <c r="DU10" s="93">
        <f t="shared" si="13"/>
        <v>-51471072.810000002</v>
      </c>
      <c r="DV10" s="93">
        <f>-$B$7-B8</f>
        <v>-401471072.81</v>
      </c>
    </row>
    <row r="11" spans="1:126" x14ac:dyDescent="0.25">
      <c r="E11" s="88" t="s">
        <v>159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8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>
        <f>B5+B8+1000000000</f>
        <v>3990000000</v>
      </c>
    </row>
    <row r="12" spans="1:126" x14ac:dyDescent="0.25"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</row>
    <row r="13" spans="1:126" x14ac:dyDescent="0.25">
      <c r="E13" t="s">
        <v>160</v>
      </c>
      <c r="F13" s="72">
        <f>F3+F4+F11</f>
        <v>-880000000</v>
      </c>
      <c r="G13" s="72">
        <f t="shared" ref="G13:BR13" si="14">G3+G4+G11</f>
        <v>0</v>
      </c>
      <c r="H13" s="72">
        <f t="shared" si="14"/>
        <v>0</v>
      </c>
      <c r="I13" s="72">
        <f t="shared" si="14"/>
        <v>0</v>
      </c>
      <c r="J13" s="72">
        <f t="shared" si="14"/>
        <v>0</v>
      </c>
      <c r="K13" s="72">
        <f t="shared" si="14"/>
        <v>0</v>
      </c>
      <c r="L13" s="72">
        <f t="shared" si="14"/>
        <v>0</v>
      </c>
      <c r="M13" s="72">
        <f t="shared" si="14"/>
        <v>0</v>
      </c>
      <c r="N13" s="72">
        <f t="shared" si="14"/>
        <v>0</v>
      </c>
      <c r="O13" s="72">
        <f t="shared" si="14"/>
        <v>0</v>
      </c>
      <c r="P13" s="72">
        <f t="shared" si="14"/>
        <v>3628927.1899999976</v>
      </c>
      <c r="Q13" s="72">
        <f t="shared" si="14"/>
        <v>3628927.1899999976</v>
      </c>
      <c r="R13" s="72">
        <f t="shared" si="14"/>
        <v>-981971072.80999994</v>
      </c>
      <c r="S13" s="72">
        <f t="shared" si="14"/>
        <v>15250557.352387339</v>
      </c>
      <c r="T13" s="72">
        <f t="shared" si="14"/>
        <v>15250557.352387339</v>
      </c>
      <c r="U13" s="72">
        <f t="shared" si="14"/>
        <v>15250557.352387339</v>
      </c>
      <c r="V13" s="72">
        <f t="shared" si="14"/>
        <v>15250557.352387339</v>
      </c>
      <c r="W13" s="72">
        <f t="shared" si="14"/>
        <v>15250557.352387339</v>
      </c>
      <c r="X13" s="72">
        <f t="shared" si="14"/>
        <v>15250557.352387339</v>
      </c>
      <c r="Y13" s="72">
        <f t="shared" si="14"/>
        <v>15250557.352387339</v>
      </c>
      <c r="Z13" s="72">
        <f t="shared" si="14"/>
        <v>15250557.352387339</v>
      </c>
      <c r="AA13" s="72">
        <f t="shared" si="14"/>
        <v>15250557.352387339</v>
      </c>
      <c r="AB13" s="72">
        <f t="shared" si="14"/>
        <v>15250557.352387339</v>
      </c>
      <c r="AC13" s="72">
        <f t="shared" si="14"/>
        <v>15250557.352387339</v>
      </c>
      <c r="AD13" s="72">
        <f t="shared" si="14"/>
        <v>-917549442.64761269</v>
      </c>
      <c r="AE13" s="72">
        <f t="shared" si="14"/>
        <v>15250557.352387339</v>
      </c>
      <c r="AF13" s="72">
        <f t="shared" si="14"/>
        <v>15250557.352387339</v>
      </c>
      <c r="AG13" s="72">
        <f t="shared" si="14"/>
        <v>15250557.352387339</v>
      </c>
      <c r="AH13" s="72">
        <f t="shared" si="14"/>
        <v>15250557.352387339</v>
      </c>
      <c r="AI13" s="72">
        <f t="shared" si="14"/>
        <v>15250557.352387339</v>
      </c>
      <c r="AJ13" s="72">
        <f t="shared" si="14"/>
        <v>15250557.352387339</v>
      </c>
      <c r="AK13" s="72">
        <f t="shared" si="14"/>
        <v>15250557.352387339</v>
      </c>
      <c r="AL13" s="72">
        <f t="shared" si="14"/>
        <v>15250557.352387339</v>
      </c>
      <c r="AM13" s="72">
        <f t="shared" si="14"/>
        <v>15250557.352387339</v>
      </c>
      <c r="AN13" s="72">
        <f t="shared" si="14"/>
        <v>15250557.352387339</v>
      </c>
      <c r="AO13" s="72">
        <f t="shared" si="14"/>
        <v>15250557.352387339</v>
      </c>
      <c r="AP13" s="72">
        <f t="shared" si="14"/>
        <v>15250557.352387339</v>
      </c>
      <c r="AQ13" s="72">
        <f t="shared" si="14"/>
        <v>15250557.352387339</v>
      </c>
      <c r="AR13" s="72">
        <f t="shared" si="14"/>
        <v>15250557.352387339</v>
      </c>
      <c r="AS13" s="72">
        <f t="shared" si="14"/>
        <v>15250557.352387339</v>
      </c>
      <c r="AT13" s="72">
        <f t="shared" si="14"/>
        <v>15250557.352387339</v>
      </c>
      <c r="AU13" s="72">
        <f t="shared" si="14"/>
        <v>15250557.352387339</v>
      </c>
      <c r="AV13" s="72">
        <f t="shared" si="14"/>
        <v>15250557.352387339</v>
      </c>
      <c r="AW13" s="72">
        <f t="shared" si="14"/>
        <v>15250557.352387339</v>
      </c>
      <c r="AX13" s="72">
        <f t="shared" si="14"/>
        <v>15250557.352387339</v>
      </c>
      <c r="AY13" s="72">
        <f t="shared" si="14"/>
        <v>15250557.352387339</v>
      </c>
      <c r="AZ13" s="72">
        <f t="shared" si="14"/>
        <v>15250557.352387339</v>
      </c>
      <c r="BA13" s="72">
        <f t="shared" si="14"/>
        <v>15250557.352387339</v>
      </c>
      <c r="BB13" s="72">
        <f t="shared" si="14"/>
        <v>15250557.352387339</v>
      </c>
      <c r="BC13" s="72">
        <f t="shared" si="14"/>
        <v>15250557.352387339</v>
      </c>
      <c r="BD13" s="72">
        <f t="shared" si="14"/>
        <v>15250557.352387339</v>
      </c>
      <c r="BE13" s="72">
        <f t="shared" si="14"/>
        <v>15250557.352387339</v>
      </c>
      <c r="BF13" s="72">
        <f t="shared" si="14"/>
        <v>15250557.352387339</v>
      </c>
      <c r="BG13" s="72">
        <f t="shared" si="14"/>
        <v>15250557.352387339</v>
      </c>
      <c r="BH13" s="72">
        <f t="shared" si="14"/>
        <v>15250557.352387339</v>
      </c>
      <c r="BI13" s="72">
        <f t="shared" si="14"/>
        <v>15250557.352387339</v>
      </c>
      <c r="BJ13" s="72">
        <f t="shared" si="14"/>
        <v>15250557.352387339</v>
      </c>
      <c r="BK13" s="72">
        <f t="shared" si="14"/>
        <v>15250557.352387339</v>
      </c>
      <c r="BL13" s="72">
        <f t="shared" si="14"/>
        <v>15250557.352387339</v>
      </c>
      <c r="BM13" s="72">
        <f t="shared" si="14"/>
        <v>15250557.352387339</v>
      </c>
      <c r="BN13" s="72">
        <f t="shared" si="14"/>
        <v>15250557.352387339</v>
      </c>
      <c r="BO13" s="72">
        <f t="shared" si="14"/>
        <v>15250557.352387339</v>
      </c>
      <c r="BP13" s="72">
        <f t="shared" si="14"/>
        <v>15250557.352387339</v>
      </c>
      <c r="BQ13" s="72">
        <f t="shared" si="14"/>
        <v>15250557.352387339</v>
      </c>
      <c r="BR13" s="72">
        <f t="shared" si="14"/>
        <v>15250557.352387339</v>
      </c>
      <c r="BS13" s="72">
        <f t="shared" ref="BS13:DV13" si="15">BS3+BS4+BS11</f>
        <v>15250557.352387339</v>
      </c>
      <c r="BT13" s="72">
        <f t="shared" si="15"/>
        <v>15250557.352387339</v>
      </c>
      <c r="BU13" s="72">
        <f t="shared" si="15"/>
        <v>15250557.352387339</v>
      </c>
      <c r="BV13" s="72">
        <f t="shared" si="15"/>
        <v>15250557.352387339</v>
      </c>
      <c r="BW13" s="72">
        <f t="shared" si="15"/>
        <v>15250557.352387339</v>
      </c>
      <c r="BX13" s="72">
        <f t="shared" si="15"/>
        <v>15250557.352387339</v>
      </c>
      <c r="BY13" s="72">
        <f t="shared" si="15"/>
        <v>15250557.352387339</v>
      </c>
      <c r="BZ13" s="72">
        <f t="shared" si="15"/>
        <v>15250557.352387339</v>
      </c>
      <c r="CA13" s="72">
        <f t="shared" si="15"/>
        <v>15250557.352387339</v>
      </c>
      <c r="CB13" s="72">
        <f t="shared" si="15"/>
        <v>15250557.352387339</v>
      </c>
      <c r="CC13" s="72">
        <f t="shared" si="15"/>
        <v>15250557.352387339</v>
      </c>
      <c r="CD13" s="72">
        <f t="shared" si="15"/>
        <v>15250557.352387339</v>
      </c>
      <c r="CE13" s="72">
        <f t="shared" si="15"/>
        <v>15250557.352387339</v>
      </c>
      <c r="CF13" s="72">
        <f t="shared" si="15"/>
        <v>15250557.352387339</v>
      </c>
      <c r="CG13" s="72">
        <f t="shared" si="15"/>
        <v>15250557.352387339</v>
      </c>
      <c r="CH13" s="72">
        <f t="shared" si="15"/>
        <v>15250557.352387339</v>
      </c>
      <c r="CI13" s="72">
        <f t="shared" si="15"/>
        <v>15250557.352387339</v>
      </c>
      <c r="CJ13" s="72">
        <f t="shared" si="15"/>
        <v>15250557.352387339</v>
      </c>
      <c r="CK13" s="72">
        <f t="shared" si="15"/>
        <v>15250557.352387339</v>
      </c>
      <c r="CL13" s="72">
        <f t="shared" si="15"/>
        <v>15250557.352387339</v>
      </c>
      <c r="CM13" s="72">
        <f t="shared" si="15"/>
        <v>15250557.352387339</v>
      </c>
      <c r="CN13" s="72">
        <f t="shared" si="15"/>
        <v>15250557.352387339</v>
      </c>
      <c r="CO13" s="72">
        <f t="shared" si="15"/>
        <v>15250557.352387339</v>
      </c>
      <c r="CP13" s="72">
        <f t="shared" si="15"/>
        <v>15250557.352387339</v>
      </c>
      <c r="CQ13" s="72">
        <f t="shared" si="15"/>
        <v>15250557.352387339</v>
      </c>
      <c r="CR13" s="72">
        <f t="shared" si="15"/>
        <v>15250557.352387339</v>
      </c>
      <c r="CS13" s="72">
        <f t="shared" si="15"/>
        <v>15250557.352387339</v>
      </c>
      <c r="CT13" s="72">
        <f t="shared" si="15"/>
        <v>15250557.352387339</v>
      </c>
      <c r="CU13" s="72">
        <f t="shared" si="15"/>
        <v>15250557.352387339</v>
      </c>
      <c r="CV13" s="72">
        <f t="shared" si="15"/>
        <v>15250557.352387339</v>
      </c>
      <c r="CW13" s="72">
        <f t="shared" si="15"/>
        <v>15250557.352387339</v>
      </c>
      <c r="CX13" s="72">
        <f t="shared" si="15"/>
        <v>15250557.352387339</v>
      </c>
      <c r="CY13" s="72">
        <f t="shared" si="15"/>
        <v>15250557.352387339</v>
      </c>
      <c r="CZ13" s="72">
        <f t="shared" si="15"/>
        <v>15250557.352387339</v>
      </c>
      <c r="DA13" s="72">
        <f t="shared" si="15"/>
        <v>15250557.352387339</v>
      </c>
      <c r="DB13" s="72">
        <f t="shared" si="15"/>
        <v>15250557.352387339</v>
      </c>
      <c r="DC13" s="72">
        <f t="shared" si="15"/>
        <v>15250557.352387339</v>
      </c>
      <c r="DD13" s="72">
        <f t="shared" si="15"/>
        <v>15250557.352387339</v>
      </c>
      <c r="DE13" s="72">
        <f t="shared" si="15"/>
        <v>15250557.352387339</v>
      </c>
      <c r="DF13" s="72">
        <f t="shared" si="15"/>
        <v>15250557.352387339</v>
      </c>
      <c r="DG13" s="72">
        <f t="shared" si="15"/>
        <v>15250557.352387339</v>
      </c>
      <c r="DH13" s="72">
        <f t="shared" si="15"/>
        <v>15250557.352387339</v>
      </c>
      <c r="DI13" s="72">
        <f t="shared" si="15"/>
        <v>15250557.352387339</v>
      </c>
      <c r="DJ13" s="72">
        <f t="shared" si="15"/>
        <v>15250557.352387339</v>
      </c>
      <c r="DK13" s="72">
        <f t="shared" si="15"/>
        <v>15250557.352387339</v>
      </c>
      <c r="DL13" s="72">
        <f t="shared" si="15"/>
        <v>15250557.352387339</v>
      </c>
      <c r="DM13" s="72">
        <f t="shared" si="15"/>
        <v>15250557.352387339</v>
      </c>
      <c r="DN13" s="72">
        <f t="shared" si="15"/>
        <v>15250557.352387339</v>
      </c>
      <c r="DO13" s="72">
        <f t="shared" si="15"/>
        <v>15250557.352387339</v>
      </c>
      <c r="DP13" s="72">
        <f t="shared" si="15"/>
        <v>15250557.352387339</v>
      </c>
      <c r="DQ13" s="72">
        <f t="shared" si="15"/>
        <v>15250557.352387339</v>
      </c>
      <c r="DR13" s="72">
        <f t="shared" si="15"/>
        <v>15250557.352387339</v>
      </c>
      <c r="DS13" s="72">
        <f t="shared" si="15"/>
        <v>15250557.352387339</v>
      </c>
      <c r="DT13" s="72">
        <f t="shared" si="15"/>
        <v>15250557.352387339</v>
      </c>
      <c r="DU13" s="72">
        <f t="shared" si="15"/>
        <v>15250557.352387339</v>
      </c>
      <c r="DV13" s="72">
        <f t="shared" si="15"/>
        <v>3655250557.3523874</v>
      </c>
    </row>
    <row r="14" spans="1:126" x14ac:dyDescent="0.25">
      <c r="E14" t="s">
        <v>131</v>
      </c>
      <c r="F14" s="72">
        <f>NPV($B$10,G13:DV13)+F13</f>
        <v>-621814.91385746002</v>
      </c>
      <c r="G14" s="72"/>
      <c r="H14" s="72"/>
      <c r="I14" s="72"/>
      <c r="J14" s="72"/>
      <c r="K14" s="72"/>
      <c r="L14" s="72"/>
      <c r="M14" s="72"/>
      <c r="N14" s="72"/>
      <c r="O14" s="87"/>
      <c r="P14" s="87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</row>
    <row r="15" spans="1:126" x14ac:dyDescent="0.25">
      <c r="E15" t="s">
        <v>132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87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</row>
    <row r="16" spans="1:126" x14ac:dyDescent="0.25">
      <c r="E16" t="s">
        <v>133</v>
      </c>
      <c r="F16" s="72"/>
      <c r="G16" s="72"/>
      <c r="H16" s="72"/>
      <c r="I16" s="86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</row>
    <row r="17" spans="6:126" x14ac:dyDescent="0.25">
      <c r="F17" s="72"/>
      <c r="G17" s="72"/>
      <c r="H17" s="72"/>
      <c r="I17" s="86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</row>
    <row r="18" spans="6:126" x14ac:dyDescent="0.25"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</row>
    <row r="19" spans="6:126" x14ac:dyDescent="0.25"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</row>
    <row r="20" spans="6:126" x14ac:dyDescent="0.25"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</row>
    <row r="21" spans="6:126" x14ac:dyDescent="0.25"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</row>
    <row r="22" spans="6:126" x14ac:dyDescent="0.25"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</row>
    <row r="23" spans="6:126" x14ac:dyDescent="0.25"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</row>
    <row r="24" spans="6:126" x14ac:dyDescent="0.25"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</row>
  </sheetData>
  <mergeCells count="1">
    <mergeCell ref="F1:D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V24"/>
  <sheetViews>
    <sheetView showGridLines="0" zoomScale="85" workbookViewId="0">
      <selection activeCell="B3" sqref="B3"/>
    </sheetView>
  </sheetViews>
  <sheetFormatPr baseColWidth="10" defaultColWidth="10.875" defaultRowHeight="15.75" x14ac:dyDescent="0.25"/>
  <cols>
    <col min="1" max="1" width="21" bestFit="1" customWidth="1"/>
    <col min="2" max="2" width="15" bestFit="1" customWidth="1"/>
    <col min="3" max="4" width="12.75" customWidth="1"/>
    <col min="5" max="5" width="23.5" bestFit="1" customWidth="1"/>
    <col min="6" max="6" width="14" bestFit="1" customWidth="1"/>
    <col min="7" max="15" width="4.25" bestFit="1" customWidth="1"/>
    <col min="16" max="17" width="12.5" bestFit="1" customWidth="1"/>
    <col min="18" max="18" width="14" bestFit="1" customWidth="1"/>
    <col min="19" max="29" width="12.5" bestFit="1" customWidth="1"/>
    <col min="30" max="30" width="14" bestFit="1" customWidth="1"/>
    <col min="31" max="125" width="12.5" bestFit="1" customWidth="1"/>
    <col min="126" max="126" width="14" bestFit="1" customWidth="1"/>
  </cols>
  <sheetData>
    <row r="1" spans="1:126" x14ac:dyDescent="0.25">
      <c r="E1" s="29"/>
      <c r="F1" s="121" t="s">
        <v>122</v>
      </c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</row>
    <row r="2" spans="1:126" x14ac:dyDescent="0.25">
      <c r="E2" s="29"/>
      <c r="F2" s="29">
        <v>0</v>
      </c>
      <c r="G2" s="29">
        <v>1</v>
      </c>
      <c r="H2" s="29">
        <v>2</v>
      </c>
      <c r="I2" s="29">
        <v>3</v>
      </c>
      <c r="J2" s="29">
        <v>4</v>
      </c>
      <c r="K2" s="29">
        <v>5</v>
      </c>
      <c r="L2" s="29">
        <v>6</v>
      </c>
      <c r="M2" s="29">
        <v>7</v>
      </c>
      <c r="N2" s="29">
        <v>8</v>
      </c>
      <c r="O2" s="29">
        <v>9</v>
      </c>
      <c r="P2" s="29">
        <v>10</v>
      </c>
      <c r="Q2" s="29">
        <v>11</v>
      </c>
      <c r="R2" s="29">
        <v>12</v>
      </c>
      <c r="S2" s="29">
        <v>13</v>
      </c>
      <c r="T2" s="29">
        <v>14</v>
      </c>
      <c r="U2" s="29">
        <v>15</v>
      </c>
      <c r="V2" s="29">
        <v>16</v>
      </c>
      <c r="W2" s="29">
        <v>17</v>
      </c>
      <c r="X2" s="29">
        <v>18</v>
      </c>
      <c r="Y2" s="29">
        <v>19</v>
      </c>
      <c r="Z2" s="29">
        <v>20</v>
      </c>
      <c r="AA2" s="29">
        <v>21</v>
      </c>
      <c r="AB2" s="29">
        <v>22</v>
      </c>
      <c r="AC2" s="29">
        <v>23</v>
      </c>
      <c r="AD2" s="29">
        <v>24</v>
      </c>
      <c r="AE2" s="29">
        <v>25</v>
      </c>
      <c r="AF2" s="29">
        <v>26</v>
      </c>
      <c r="AG2" s="29">
        <v>27</v>
      </c>
      <c r="AH2" s="29">
        <v>28</v>
      </c>
      <c r="AI2" s="29">
        <v>29</v>
      </c>
      <c r="AJ2" s="29">
        <v>30</v>
      </c>
      <c r="AK2" s="29">
        <v>31</v>
      </c>
      <c r="AL2" s="29">
        <v>32</v>
      </c>
      <c r="AM2" s="29">
        <v>33</v>
      </c>
      <c r="AN2" s="29">
        <v>34</v>
      </c>
      <c r="AO2" s="29">
        <v>35</v>
      </c>
      <c r="AP2" s="29">
        <v>36</v>
      </c>
      <c r="AQ2" s="29">
        <v>37</v>
      </c>
      <c r="AR2" s="29">
        <v>38</v>
      </c>
      <c r="AS2" s="29">
        <v>39</v>
      </c>
      <c r="AT2" s="29">
        <v>40</v>
      </c>
      <c r="AU2" s="29">
        <v>41</v>
      </c>
      <c r="AV2" s="29">
        <v>42</v>
      </c>
      <c r="AW2" s="29">
        <v>43</v>
      </c>
      <c r="AX2" s="29">
        <v>44</v>
      </c>
      <c r="AY2" s="29">
        <v>45</v>
      </c>
      <c r="AZ2" s="29">
        <v>46</v>
      </c>
      <c r="BA2" s="29">
        <v>47</v>
      </c>
      <c r="BB2" s="29">
        <v>48</v>
      </c>
      <c r="BC2" s="29">
        <v>49</v>
      </c>
      <c r="BD2" s="29">
        <v>50</v>
      </c>
      <c r="BE2" s="29">
        <v>51</v>
      </c>
      <c r="BF2" s="29">
        <v>52</v>
      </c>
      <c r="BG2" s="29">
        <v>53</v>
      </c>
      <c r="BH2" s="29">
        <v>54</v>
      </c>
      <c r="BI2" s="29">
        <v>55</v>
      </c>
      <c r="BJ2" s="29">
        <v>56</v>
      </c>
      <c r="BK2" s="29">
        <v>57</v>
      </c>
      <c r="BL2" s="29">
        <v>58</v>
      </c>
      <c r="BM2" s="29">
        <v>59</v>
      </c>
      <c r="BN2" s="29">
        <v>60</v>
      </c>
      <c r="BO2" s="29">
        <v>61</v>
      </c>
      <c r="BP2" s="29">
        <v>62</v>
      </c>
      <c r="BQ2" s="29">
        <v>63</v>
      </c>
      <c r="BR2" s="29">
        <v>64</v>
      </c>
      <c r="BS2" s="29">
        <v>65</v>
      </c>
      <c r="BT2" s="29">
        <v>66</v>
      </c>
      <c r="BU2" s="29">
        <v>67</v>
      </c>
      <c r="BV2" s="29">
        <v>68</v>
      </c>
      <c r="BW2" s="29">
        <v>69</v>
      </c>
      <c r="BX2" s="29">
        <v>70</v>
      </c>
      <c r="BY2" s="29">
        <v>71</v>
      </c>
      <c r="BZ2" s="29">
        <v>72</v>
      </c>
      <c r="CA2" s="29">
        <v>73</v>
      </c>
      <c r="CB2" s="29">
        <v>74</v>
      </c>
      <c r="CC2" s="29">
        <v>75</v>
      </c>
      <c r="CD2" s="29">
        <v>76</v>
      </c>
      <c r="CE2" s="29">
        <v>77</v>
      </c>
      <c r="CF2" s="29">
        <v>78</v>
      </c>
      <c r="CG2" s="29">
        <v>79</v>
      </c>
      <c r="CH2" s="29">
        <v>80</v>
      </c>
      <c r="CI2" s="29">
        <v>81</v>
      </c>
      <c r="CJ2" s="29">
        <v>82</v>
      </c>
      <c r="CK2" s="29">
        <v>83</v>
      </c>
      <c r="CL2" s="29">
        <v>84</v>
      </c>
      <c r="CM2" s="29">
        <v>85</v>
      </c>
      <c r="CN2" s="29">
        <v>86</v>
      </c>
      <c r="CO2" s="29">
        <v>87</v>
      </c>
      <c r="CP2" s="29">
        <v>88</v>
      </c>
      <c r="CQ2" s="29">
        <v>89</v>
      </c>
      <c r="CR2" s="29">
        <v>90</v>
      </c>
      <c r="CS2" s="29">
        <v>91</v>
      </c>
      <c r="CT2" s="29">
        <v>92</v>
      </c>
      <c r="CU2" s="29">
        <v>93</v>
      </c>
      <c r="CV2" s="29">
        <v>94</v>
      </c>
      <c r="CW2" s="29">
        <v>95</v>
      </c>
      <c r="CX2" s="29">
        <v>96</v>
      </c>
      <c r="CY2" s="29">
        <v>97</v>
      </c>
      <c r="CZ2" s="29">
        <v>98</v>
      </c>
      <c r="DA2" s="29">
        <v>99</v>
      </c>
      <c r="DB2" s="29">
        <v>100</v>
      </c>
      <c r="DC2" s="29">
        <v>101</v>
      </c>
      <c r="DD2" s="29">
        <v>102</v>
      </c>
      <c r="DE2" s="29">
        <v>103</v>
      </c>
      <c r="DF2" s="29">
        <v>104</v>
      </c>
      <c r="DG2" s="29">
        <v>105</v>
      </c>
      <c r="DH2" s="29">
        <v>106</v>
      </c>
      <c r="DI2" s="29">
        <v>107</v>
      </c>
      <c r="DJ2" s="29">
        <v>108</v>
      </c>
      <c r="DK2" s="29">
        <v>109</v>
      </c>
      <c r="DL2" s="29">
        <v>110</v>
      </c>
      <c r="DM2" s="29">
        <v>111</v>
      </c>
      <c r="DN2" s="29">
        <v>112</v>
      </c>
      <c r="DO2" s="29">
        <v>113</v>
      </c>
      <c r="DP2" s="29">
        <v>114</v>
      </c>
      <c r="DQ2" s="29">
        <v>115</v>
      </c>
      <c r="DR2" s="29">
        <v>116</v>
      </c>
      <c r="DS2" s="29">
        <v>117</v>
      </c>
      <c r="DT2" s="29">
        <v>118</v>
      </c>
      <c r="DU2" s="29">
        <v>119</v>
      </c>
      <c r="DV2" s="29">
        <v>120</v>
      </c>
    </row>
    <row r="3" spans="1:126" x14ac:dyDescent="0.25">
      <c r="A3" t="s">
        <v>150</v>
      </c>
      <c r="B3">
        <v>300</v>
      </c>
      <c r="E3" s="88" t="s">
        <v>153</v>
      </c>
      <c r="F3" s="94"/>
      <c r="G3" s="89"/>
      <c r="H3" s="89"/>
      <c r="I3" s="95"/>
      <c r="J3" s="95"/>
      <c r="K3" s="95"/>
      <c r="L3" s="95"/>
      <c r="M3" s="95"/>
      <c r="N3" s="95"/>
      <c r="O3" s="95"/>
      <c r="P3" s="95"/>
      <c r="Q3" s="95"/>
      <c r="R3" s="94"/>
      <c r="S3" s="95"/>
      <c r="T3" s="95"/>
      <c r="U3" s="95"/>
      <c r="V3" s="89"/>
      <c r="W3" s="89"/>
      <c r="X3" s="89"/>
      <c r="Y3" s="89"/>
      <c r="Z3" s="89"/>
      <c r="AA3" s="89"/>
      <c r="AB3" s="89"/>
      <c r="AC3" s="89"/>
      <c r="AD3" s="94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</row>
    <row r="4" spans="1:126" x14ac:dyDescent="0.25">
      <c r="A4" t="s">
        <v>151</v>
      </c>
      <c r="B4" s="38">
        <v>10000000</v>
      </c>
      <c r="E4" s="88" t="s">
        <v>111</v>
      </c>
      <c r="F4" s="89"/>
      <c r="G4" s="89">
        <f>G5+G9</f>
        <v>0</v>
      </c>
      <c r="H4" s="89">
        <f t="shared" ref="H4:BS4" si="0">H5+H9</f>
        <v>0</v>
      </c>
      <c r="I4" s="89">
        <f t="shared" si="0"/>
        <v>0</v>
      </c>
      <c r="J4" s="89">
        <f t="shared" si="0"/>
        <v>0</v>
      </c>
      <c r="K4" s="89">
        <f t="shared" si="0"/>
        <v>0</v>
      </c>
      <c r="L4" s="89">
        <f t="shared" si="0"/>
        <v>0</v>
      </c>
      <c r="M4" s="89">
        <f t="shared" si="0"/>
        <v>0</v>
      </c>
      <c r="N4" s="89">
        <f t="shared" si="0"/>
        <v>0</v>
      </c>
      <c r="O4" s="89">
        <f t="shared" si="0"/>
        <v>0</v>
      </c>
      <c r="P4" s="89">
        <f t="shared" si="0"/>
        <v>3628927.1899999976</v>
      </c>
      <c r="Q4" s="89">
        <f t="shared" si="0"/>
        <v>3628927.1899999976</v>
      </c>
      <c r="R4" s="89">
        <f t="shared" si="0"/>
        <v>3628927.1899999976</v>
      </c>
      <c r="S4" s="89">
        <f t="shared" si="0"/>
        <v>3628927.1899999976</v>
      </c>
      <c r="T4" s="89">
        <f t="shared" si="0"/>
        <v>3628927.1899999976</v>
      </c>
      <c r="U4" s="89">
        <f t="shared" si="0"/>
        <v>3628927.1899999976</v>
      </c>
      <c r="V4" s="89">
        <f t="shared" si="0"/>
        <v>3628927.1899999976</v>
      </c>
      <c r="W4" s="89">
        <f t="shared" si="0"/>
        <v>3628927.1899999976</v>
      </c>
      <c r="X4" s="89">
        <f t="shared" si="0"/>
        <v>3628927.1899999976</v>
      </c>
      <c r="Y4" s="89">
        <f t="shared" si="0"/>
        <v>3628927.1899999976</v>
      </c>
      <c r="Z4" s="89">
        <f t="shared" si="0"/>
        <v>3628927.1899999976</v>
      </c>
      <c r="AA4" s="89">
        <f t="shared" si="0"/>
        <v>3628927.1899999976</v>
      </c>
      <c r="AB4" s="89">
        <f t="shared" si="0"/>
        <v>3628927.1899999976</v>
      </c>
      <c r="AC4" s="89">
        <f t="shared" si="0"/>
        <v>3628927.1899999976</v>
      </c>
      <c r="AD4" s="89">
        <f t="shared" si="0"/>
        <v>3628927.1899999976</v>
      </c>
      <c r="AE4" s="89">
        <f t="shared" si="0"/>
        <v>3628927.1899999976</v>
      </c>
      <c r="AF4" s="89">
        <f t="shared" si="0"/>
        <v>3628927.1899999976</v>
      </c>
      <c r="AG4" s="89">
        <f t="shared" si="0"/>
        <v>3628927.1899999976</v>
      </c>
      <c r="AH4" s="89">
        <f t="shared" si="0"/>
        <v>3628927.1899999976</v>
      </c>
      <c r="AI4" s="89">
        <f t="shared" si="0"/>
        <v>3628927.1899999976</v>
      </c>
      <c r="AJ4" s="89">
        <f t="shared" si="0"/>
        <v>3628927.1899999976</v>
      </c>
      <c r="AK4" s="89">
        <f t="shared" si="0"/>
        <v>3628927.1899999976</v>
      </c>
      <c r="AL4" s="89">
        <f t="shared" si="0"/>
        <v>3628927.1899999976</v>
      </c>
      <c r="AM4" s="89">
        <f t="shared" si="0"/>
        <v>3628927.1899999976</v>
      </c>
      <c r="AN4" s="89">
        <f t="shared" si="0"/>
        <v>3628927.1899999976</v>
      </c>
      <c r="AO4" s="89">
        <f t="shared" si="0"/>
        <v>3628927.1899999976</v>
      </c>
      <c r="AP4" s="89">
        <f t="shared" si="0"/>
        <v>3628927.1899999976</v>
      </c>
      <c r="AQ4" s="89">
        <f t="shared" si="0"/>
        <v>3628927.1899999976</v>
      </c>
      <c r="AR4" s="89">
        <f t="shared" si="0"/>
        <v>3628927.1899999976</v>
      </c>
      <c r="AS4" s="89">
        <f t="shared" si="0"/>
        <v>3628927.1899999976</v>
      </c>
      <c r="AT4" s="89">
        <f t="shared" si="0"/>
        <v>3628927.1899999976</v>
      </c>
      <c r="AU4" s="89">
        <f t="shared" si="0"/>
        <v>3628927.1899999976</v>
      </c>
      <c r="AV4" s="89">
        <f t="shared" si="0"/>
        <v>3628927.1899999976</v>
      </c>
      <c r="AW4" s="89">
        <f t="shared" si="0"/>
        <v>3628927.1899999976</v>
      </c>
      <c r="AX4" s="89">
        <f t="shared" si="0"/>
        <v>3628927.1899999976</v>
      </c>
      <c r="AY4" s="89">
        <f t="shared" si="0"/>
        <v>3628927.1899999976</v>
      </c>
      <c r="AZ4" s="89">
        <f t="shared" si="0"/>
        <v>3628927.1899999976</v>
      </c>
      <c r="BA4" s="89">
        <f t="shared" si="0"/>
        <v>3628927.1899999976</v>
      </c>
      <c r="BB4" s="89">
        <f t="shared" si="0"/>
        <v>3628927.1899999976</v>
      </c>
      <c r="BC4" s="89">
        <f t="shared" si="0"/>
        <v>3628927.1899999976</v>
      </c>
      <c r="BD4" s="89">
        <f t="shared" si="0"/>
        <v>3628927.1899999976</v>
      </c>
      <c r="BE4" s="89">
        <f t="shared" si="0"/>
        <v>3628927.1899999976</v>
      </c>
      <c r="BF4" s="89">
        <f t="shared" si="0"/>
        <v>3628927.1899999976</v>
      </c>
      <c r="BG4" s="89">
        <f t="shared" si="0"/>
        <v>3628927.1899999976</v>
      </c>
      <c r="BH4" s="89">
        <f t="shared" si="0"/>
        <v>3628927.1899999976</v>
      </c>
      <c r="BI4" s="89">
        <f t="shared" si="0"/>
        <v>3628927.1899999976</v>
      </c>
      <c r="BJ4" s="89">
        <f t="shared" si="0"/>
        <v>3628927.1899999976</v>
      </c>
      <c r="BK4" s="89">
        <f t="shared" si="0"/>
        <v>3628927.1899999976</v>
      </c>
      <c r="BL4" s="89">
        <f t="shared" si="0"/>
        <v>3628927.1899999976</v>
      </c>
      <c r="BM4" s="89">
        <f t="shared" si="0"/>
        <v>3628927.1899999976</v>
      </c>
      <c r="BN4" s="89">
        <f t="shared" si="0"/>
        <v>3628927.1899999976</v>
      </c>
      <c r="BO4" s="89">
        <f t="shared" si="0"/>
        <v>3628927.1899999976</v>
      </c>
      <c r="BP4" s="89">
        <f t="shared" si="0"/>
        <v>3628927.1899999976</v>
      </c>
      <c r="BQ4" s="89">
        <f t="shared" si="0"/>
        <v>3628927.1899999976</v>
      </c>
      <c r="BR4" s="89">
        <f t="shared" si="0"/>
        <v>3628927.1899999976</v>
      </c>
      <c r="BS4" s="89">
        <f t="shared" si="0"/>
        <v>3628927.1899999976</v>
      </c>
      <c r="BT4" s="89">
        <f t="shared" ref="BT4:DV4" si="1">BT5+BT9</f>
        <v>3628927.1899999976</v>
      </c>
      <c r="BU4" s="89">
        <f t="shared" si="1"/>
        <v>3628927.1899999976</v>
      </c>
      <c r="BV4" s="89">
        <f t="shared" si="1"/>
        <v>3628927.1899999976</v>
      </c>
      <c r="BW4" s="89">
        <f t="shared" si="1"/>
        <v>3628927.1899999976</v>
      </c>
      <c r="BX4" s="89">
        <f t="shared" si="1"/>
        <v>3628927.1899999976</v>
      </c>
      <c r="BY4" s="89">
        <f t="shared" si="1"/>
        <v>3628927.1899999976</v>
      </c>
      <c r="BZ4" s="89">
        <f t="shared" si="1"/>
        <v>3628927.1899999976</v>
      </c>
      <c r="CA4" s="89">
        <f t="shared" si="1"/>
        <v>3628927.1899999976</v>
      </c>
      <c r="CB4" s="89">
        <f t="shared" si="1"/>
        <v>3628927.1899999976</v>
      </c>
      <c r="CC4" s="89">
        <f t="shared" si="1"/>
        <v>3628927.1899999976</v>
      </c>
      <c r="CD4" s="89">
        <f t="shared" si="1"/>
        <v>3628927.1899999976</v>
      </c>
      <c r="CE4" s="89">
        <f t="shared" si="1"/>
        <v>3628927.1899999976</v>
      </c>
      <c r="CF4" s="89">
        <f t="shared" si="1"/>
        <v>3628927.1899999976</v>
      </c>
      <c r="CG4" s="89">
        <f t="shared" si="1"/>
        <v>3628927.1899999976</v>
      </c>
      <c r="CH4" s="89">
        <f t="shared" si="1"/>
        <v>3628927.1899999976</v>
      </c>
      <c r="CI4" s="89">
        <f t="shared" si="1"/>
        <v>3628927.1899999976</v>
      </c>
      <c r="CJ4" s="89">
        <f t="shared" si="1"/>
        <v>3628927.1899999976</v>
      </c>
      <c r="CK4" s="89">
        <f t="shared" si="1"/>
        <v>3628927.1899999976</v>
      </c>
      <c r="CL4" s="89">
        <f t="shared" si="1"/>
        <v>3628927.1899999976</v>
      </c>
      <c r="CM4" s="89">
        <f t="shared" si="1"/>
        <v>3628927.1899999976</v>
      </c>
      <c r="CN4" s="89">
        <f t="shared" si="1"/>
        <v>3628927.1899999976</v>
      </c>
      <c r="CO4" s="89">
        <f t="shared" si="1"/>
        <v>3628927.1899999976</v>
      </c>
      <c r="CP4" s="89">
        <f t="shared" si="1"/>
        <v>3628927.1899999976</v>
      </c>
      <c r="CQ4" s="89">
        <f t="shared" si="1"/>
        <v>3628927.1899999976</v>
      </c>
      <c r="CR4" s="89">
        <f t="shared" si="1"/>
        <v>3628927.1899999976</v>
      </c>
      <c r="CS4" s="89">
        <f t="shared" si="1"/>
        <v>3628927.1899999976</v>
      </c>
      <c r="CT4" s="89">
        <f t="shared" si="1"/>
        <v>3628927.1899999976</v>
      </c>
      <c r="CU4" s="89">
        <f t="shared" si="1"/>
        <v>3628927.1899999976</v>
      </c>
      <c r="CV4" s="89">
        <f t="shared" si="1"/>
        <v>3628927.1899999976</v>
      </c>
      <c r="CW4" s="89">
        <f t="shared" si="1"/>
        <v>3628927.1899999976</v>
      </c>
      <c r="CX4" s="89">
        <f t="shared" si="1"/>
        <v>3628927.1899999976</v>
      </c>
      <c r="CY4" s="89">
        <f t="shared" si="1"/>
        <v>3628927.1899999976</v>
      </c>
      <c r="CZ4" s="89">
        <f t="shared" si="1"/>
        <v>3628927.1899999976</v>
      </c>
      <c r="DA4" s="89">
        <f t="shared" si="1"/>
        <v>3628927.1899999976</v>
      </c>
      <c r="DB4" s="89">
        <f t="shared" si="1"/>
        <v>3628927.1899999976</v>
      </c>
      <c r="DC4" s="89">
        <f t="shared" si="1"/>
        <v>3628927.1899999976</v>
      </c>
      <c r="DD4" s="89">
        <f t="shared" si="1"/>
        <v>3628927.1899999976</v>
      </c>
      <c r="DE4" s="89">
        <f t="shared" si="1"/>
        <v>3628927.1899999976</v>
      </c>
      <c r="DF4" s="89">
        <f t="shared" si="1"/>
        <v>3628927.1899999976</v>
      </c>
      <c r="DG4" s="89">
        <f t="shared" si="1"/>
        <v>3628927.1899999976</v>
      </c>
      <c r="DH4" s="89">
        <f t="shared" si="1"/>
        <v>3628927.1899999976</v>
      </c>
      <c r="DI4" s="89">
        <f t="shared" si="1"/>
        <v>3628927.1899999976</v>
      </c>
      <c r="DJ4" s="89">
        <f t="shared" si="1"/>
        <v>3628927.1899999976</v>
      </c>
      <c r="DK4" s="89">
        <f t="shared" si="1"/>
        <v>3628927.1899999976</v>
      </c>
      <c r="DL4" s="89">
        <f t="shared" si="1"/>
        <v>3628927.1899999976</v>
      </c>
      <c r="DM4" s="89">
        <f t="shared" si="1"/>
        <v>3628927.1899999976</v>
      </c>
      <c r="DN4" s="89">
        <f t="shared" si="1"/>
        <v>3628927.1899999976</v>
      </c>
      <c r="DO4" s="89">
        <f t="shared" si="1"/>
        <v>3628927.1899999976</v>
      </c>
      <c r="DP4" s="89">
        <f t="shared" si="1"/>
        <v>3628927.1899999976</v>
      </c>
      <c r="DQ4" s="89">
        <f t="shared" si="1"/>
        <v>3628927.1899999976</v>
      </c>
      <c r="DR4" s="89">
        <f t="shared" si="1"/>
        <v>3628927.1899999976</v>
      </c>
      <c r="DS4" s="89">
        <f t="shared" si="1"/>
        <v>3628927.1899999976</v>
      </c>
      <c r="DT4" s="89">
        <f t="shared" si="1"/>
        <v>3628927.1899999976</v>
      </c>
      <c r="DU4" s="89">
        <f t="shared" si="1"/>
        <v>3628927.1899999976</v>
      </c>
      <c r="DV4" s="89">
        <f t="shared" si="1"/>
        <v>-346371072.81</v>
      </c>
    </row>
    <row r="5" spans="1:126" x14ac:dyDescent="0.25">
      <c r="A5" t="s">
        <v>152</v>
      </c>
      <c r="B5" s="79">
        <f>B4*B3</f>
        <v>3000000000</v>
      </c>
      <c r="E5" s="90" t="s">
        <v>84</v>
      </c>
      <c r="F5" s="91"/>
      <c r="G5" s="91">
        <f>SUM(G6+G7+G8)</f>
        <v>0</v>
      </c>
      <c r="H5" s="91">
        <f t="shared" ref="H5:BS5" si="2">SUM(H6+H7+H8)</f>
        <v>0</v>
      </c>
      <c r="I5" s="91">
        <f t="shared" si="2"/>
        <v>0</v>
      </c>
      <c r="J5" s="91">
        <f t="shared" si="2"/>
        <v>0</v>
      </c>
      <c r="K5" s="91">
        <f t="shared" si="2"/>
        <v>0</v>
      </c>
      <c r="L5" s="91">
        <f t="shared" si="2"/>
        <v>0</v>
      </c>
      <c r="M5" s="91">
        <f t="shared" si="2"/>
        <v>0</v>
      </c>
      <c r="N5" s="91">
        <f t="shared" si="2"/>
        <v>0</v>
      </c>
      <c r="O5" s="91">
        <f t="shared" si="2"/>
        <v>0</v>
      </c>
      <c r="P5" s="91">
        <f t="shared" si="2"/>
        <v>55100000</v>
      </c>
      <c r="Q5" s="91">
        <f t="shared" si="2"/>
        <v>55100000</v>
      </c>
      <c r="R5" s="91">
        <f t="shared" si="2"/>
        <v>55100000</v>
      </c>
      <c r="S5" s="91">
        <f t="shared" si="2"/>
        <v>55100000</v>
      </c>
      <c r="T5" s="91">
        <f t="shared" si="2"/>
        <v>55100000</v>
      </c>
      <c r="U5" s="91">
        <f t="shared" si="2"/>
        <v>55100000</v>
      </c>
      <c r="V5" s="91">
        <f t="shared" si="2"/>
        <v>55100000</v>
      </c>
      <c r="W5" s="91">
        <f t="shared" si="2"/>
        <v>55100000</v>
      </c>
      <c r="X5" s="91">
        <f t="shared" si="2"/>
        <v>55100000</v>
      </c>
      <c r="Y5" s="91">
        <f t="shared" si="2"/>
        <v>55100000</v>
      </c>
      <c r="Z5" s="91">
        <f t="shared" si="2"/>
        <v>55100000</v>
      </c>
      <c r="AA5" s="91">
        <f t="shared" si="2"/>
        <v>55100000</v>
      </c>
      <c r="AB5" s="91">
        <f t="shared" si="2"/>
        <v>55100000</v>
      </c>
      <c r="AC5" s="91">
        <f t="shared" si="2"/>
        <v>55100000</v>
      </c>
      <c r="AD5" s="91">
        <f t="shared" si="2"/>
        <v>55100000</v>
      </c>
      <c r="AE5" s="91">
        <f t="shared" si="2"/>
        <v>55100000</v>
      </c>
      <c r="AF5" s="91">
        <f t="shared" si="2"/>
        <v>55100000</v>
      </c>
      <c r="AG5" s="91">
        <f t="shared" si="2"/>
        <v>55100000</v>
      </c>
      <c r="AH5" s="91">
        <f t="shared" si="2"/>
        <v>55100000</v>
      </c>
      <c r="AI5" s="91">
        <f t="shared" si="2"/>
        <v>55100000</v>
      </c>
      <c r="AJ5" s="91">
        <f t="shared" si="2"/>
        <v>55100000</v>
      </c>
      <c r="AK5" s="91">
        <f t="shared" si="2"/>
        <v>55100000</v>
      </c>
      <c r="AL5" s="91">
        <f t="shared" si="2"/>
        <v>55100000</v>
      </c>
      <c r="AM5" s="91">
        <f t="shared" si="2"/>
        <v>55100000</v>
      </c>
      <c r="AN5" s="91">
        <f t="shared" si="2"/>
        <v>55100000</v>
      </c>
      <c r="AO5" s="91">
        <f t="shared" si="2"/>
        <v>55100000</v>
      </c>
      <c r="AP5" s="91">
        <f t="shared" si="2"/>
        <v>55100000</v>
      </c>
      <c r="AQ5" s="91">
        <f t="shared" si="2"/>
        <v>55100000</v>
      </c>
      <c r="AR5" s="91">
        <f t="shared" si="2"/>
        <v>55100000</v>
      </c>
      <c r="AS5" s="91">
        <f t="shared" si="2"/>
        <v>55100000</v>
      </c>
      <c r="AT5" s="91">
        <f t="shared" si="2"/>
        <v>55100000</v>
      </c>
      <c r="AU5" s="91">
        <f t="shared" si="2"/>
        <v>55100000</v>
      </c>
      <c r="AV5" s="91">
        <f t="shared" si="2"/>
        <v>55100000</v>
      </c>
      <c r="AW5" s="91">
        <f t="shared" si="2"/>
        <v>55100000</v>
      </c>
      <c r="AX5" s="91">
        <f t="shared" si="2"/>
        <v>55100000</v>
      </c>
      <c r="AY5" s="91">
        <f t="shared" si="2"/>
        <v>55100000</v>
      </c>
      <c r="AZ5" s="91">
        <f t="shared" si="2"/>
        <v>55100000</v>
      </c>
      <c r="BA5" s="91">
        <f t="shared" si="2"/>
        <v>55100000</v>
      </c>
      <c r="BB5" s="91">
        <f t="shared" si="2"/>
        <v>55100000</v>
      </c>
      <c r="BC5" s="91">
        <f t="shared" si="2"/>
        <v>55100000</v>
      </c>
      <c r="BD5" s="91">
        <f t="shared" si="2"/>
        <v>55100000</v>
      </c>
      <c r="BE5" s="91">
        <f t="shared" si="2"/>
        <v>55100000</v>
      </c>
      <c r="BF5" s="91">
        <f t="shared" si="2"/>
        <v>55100000</v>
      </c>
      <c r="BG5" s="91">
        <f t="shared" si="2"/>
        <v>55100000</v>
      </c>
      <c r="BH5" s="91">
        <f t="shared" si="2"/>
        <v>55100000</v>
      </c>
      <c r="BI5" s="91">
        <f t="shared" si="2"/>
        <v>55100000</v>
      </c>
      <c r="BJ5" s="91">
        <f t="shared" si="2"/>
        <v>55100000</v>
      </c>
      <c r="BK5" s="91">
        <f t="shared" si="2"/>
        <v>55100000</v>
      </c>
      <c r="BL5" s="91">
        <f t="shared" si="2"/>
        <v>55100000</v>
      </c>
      <c r="BM5" s="91">
        <f t="shared" si="2"/>
        <v>55100000</v>
      </c>
      <c r="BN5" s="91">
        <f t="shared" si="2"/>
        <v>55100000</v>
      </c>
      <c r="BO5" s="91">
        <f t="shared" si="2"/>
        <v>55100000</v>
      </c>
      <c r="BP5" s="91">
        <f t="shared" si="2"/>
        <v>55100000</v>
      </c>
      <c r="BQ5" s="91">
        <f t="shared" si="2"/>
        <v>55100000</v>
      </c>
      <c r="BR5" s="91">
        <f t="shared" si="2"/>
        <v>55100000</v>
      </c>
      <c r="BS5" s="91">
        <f t="shared" si="2"/>
        <v>55100000</v>
      </c>
      <c r="BT5" s="91">
        <f t="shared" ref="BT5:DV5" si="3">SUM(BT6+BT7+BT8)</f>
        <v>55100000</v>
      </c>
      <c r="BU5" s="91">
        <f t="shared" si="3"/>
        <v>55100000</v>
      </c>
      <c r="BV5" s="91">
        <f t="shared" si="3"/>
        <v>55100000</v>
      </c>
      <c r="BW5" s="91">
        <f t="shared" si="3"/>
        <v>55100000</v>
      </c>
      <c r="BX5" s="91">
        <f t="shared" si="3"/>
        <v>55100000</v>
      </c>
      <c r="BY5" s="91">
        <f t="shared" si="3"/>
        <v>55100000</v>
      </c>
      <c r="BZ5" s="91">
        <f t="shared" si="3"/>
        <v>55100000</v>
      </c>
      <c r="CA5" s="91">
        <f t="shared" si="3"/>
        <v>55100000</v>
      </c>
      <c r="CB5" s="91">
        <f t="shared" si="3"/>
        <v>55100000</v>
      </c>
      <c r="CC5" s="91">
        <f t="shared" si="3"/>
        <v>55100000</v>
      </c>
      <c r="CD5" s="91">
        <f t="shared" si="3"/>
        <v>55100000</v>
      </c>
      <c r="CE5" s="91">
        <f t="shared" si="3"/>
        <v>55100000</v>
      </c>
      <c r="CF5" s="91">
        <f t="shared" si="3"/>
        <v>55100000</v>
      </c>
      <c r="CG5" s="91">
        <f t="shared" si="3"/>
        <v>55100000</v>
      </c>
      <c r="CH5" s="91">
        <f t="shared" si="3"/>
        <v>55100000</v>
      </c>
      <c r="CI5" s="91">
        <f t="shared" si="3"/>
        <v>55100000</v>
      </c>
      <c r="CJ5" s="91">
        <f t="shared" si="3"/>
        <v>55100000</v>
      </c>
      <c r="CK5" s="91">
        <f t="shared" si="3"/>
        <v>55100000</v>
      </c>
      <c r="CL5" s="91">
        <f t="shared" si="3"/>
        <v>55100000</v>
      </c>
      <c r="CM5" s="91">
        <f t="shared" si="3"/>
        <v>55100000</v>
      </c>
      <c r="CN5" s="91">
        <f t="shared" si="3"/>
        <v>55100000</v>
      </c>
      <c r="CO5" s="91">
        <f t="shared" si="3"/>
        <v>55100000</v>
      </c>
      <c r="CP5" s="91">
        <f t="shared" si="3"/>
        <v>55100000</v>
      </c>
      <c r="CQ5" s="91">
        <f t="shared" si="3"/>
        <v>55100000</v>
      </c>
      <c r="CR5" s="91">
        <f t="shared" si="3"/>
        <v>55100000</v>
      </c>
      <c r="CS5" s="91">
        <f t="shared" si="3"/>
        <v>55100000</v>
      </c>
      <c r="CT5" s="91">
        <f t="shared" si="3"/>
        <v>55100000</v>
      </c>
      <c r="CU5" s="91">
        <f t="shared" si="3"/>
        <v>55100000</v>
      </c>
      <c r="CV5" s="91">
        <f t="shared" si="3"/>
        <v>55100000</v>
      </c>
      <c r="CW5" s="91">
        <f t="shared" si="3"/>
        <v>55100000</v>
      </c>
      <c r="CX5" s="91">
        <f t="shared" si="3"/>
        <v>55100000</v>
      </c>
      <c r="CY5" s="91">
        <f t="shared" si="3"/>
        <v>55100000</v>
      </c>
      <c r="CZ5" s="91">
        <f t="shared" si="3"/>
        <v>55100000</v>
      </c>
      <c r="DA5" s="91">
        <f t="shared" si="3"/>
        <v>55100000</v>
      </c>
      <c r="DB5" s="91">
        <f t="shared" si="3"/>
        <v>55100000</v>
      </c>
      <c r="DC5" s="91">
        <f t="shared" si="3"/>
        <v>55100000</v>
      </c>
      <c r="DD5" s="91">
        <f t="shared" si="3"/>
        <v>55100000</v>
      </c>
      <c r="DE5" s="91">
        <f t="shared" si="3"/>
        <v>55100000</v>
      </c>
      <c r="DF5" s="91">
        <f t="shared" si="3"/>
        <v>55100000</v>
      </c>
      <c r="DG5" s="91">
        <f t="shared" si="3"/>
        <v>55100000</v>
      </c>
      <c r="DH5" s="91">
        <f t="shared" si="3"/>
        <v>55100000</v>
      </c>
      <c r="DI5" s="91">
        <f t="shared" si="3"/>
        <v>55100000</v>
      </c>
      <c r="DJ5" s="91">
        <f t="shared" si="3"/>
        <v>55100000</v>
      </c>
      <c r="DK5" s="91">
        <f t="shared" si="3"/>
        <v>55100000</v>
      </c>
      <c r="DL5" s="91">
        <f t="shared" si="3"/>
        <v>55100000</v>
      </c>
      <c r="DM5" s="91">
        <f t="shared" si="3"/>
        <v>55100000</v>
      </c>
      <c r="DN5" s="91">
        <f t="shared" si="3"/>
        <v>55100000</v>
      </c>
      <c r="DO5" s="91">
        <f t="shared" si="3"/>
        <v>55100000</v>
      </c>
      <c r="DP5" s="91">
        <f t="shared" si="3"/>
        <v>55100000</v>
      </c>
      <c r="DQ5" s="91">
        <f t="shared" si="3"/>
        <v>55100000</v>
      </c>
      <c r="DR5" s="91">
        <f t="shared" si="3"/>
        <v>55100000</v>
      </c>
      <c r="DS5" s="91">
        <f t="shared" si="3"/>
        <v>55100000</v>
      </c>
      <c r="DT5" s="91">
        <f t="shared" si="3"/>
        <v>55100000</v>
      </c>
      <c r="DU5" s="91">
        <f t="shared" si="3"/>
        <v>55100000</v>
      </c>
      <c r="DV5" s="91">
        <f t="shared" si="3"/>
        <v>55100000</v>
      </c>
    </row>
    <row r="6" spans="1:126" x14ac:dyDescent="0.25">
      <c r="A6" t="s">
        <v>58</v>
      </c>
      <c r="B6" s="3">
        <f>VLOOKUP(A6,'Flujo de Caja'!A1:B41,2,0)</f>
        <v>35100000</v>
      </c>
      <c r="E6" s="92" t="s">
        <v>105</v>
      </c>
      <c r="F6" s="93"/>
      <c r="G6" s="93"/>
      <c r="H6" s="93"/>
      <c r="I6" s="93"/>
      <c r="J6" s="93"/>
      <c r="K6" s="93"/>
      <c r="L6" s="93"/>
      <c r="M6" s="93"/>
      <c r="N6" s="93"/>
      <c r="O6" s="93"/>
      <c r="P6" s="93">
        <f t="shared" ref="P6:AU6" si="4">$B$6</f>
        <v>35100000</v>
      </c>
      <c r="Q6" s="93">
        <f t="shared" si="4"/>
        <v>35100000</v>
      </c>
      <c r="R6" s="93">
        <f t="shared" si="4"/>
        <v>35100000</v>
      </c>
      <c r="S6" s="93">
        <f t="shared" si="4"/>
        <v>35100000</v>
      </c>
      <c r="T6" s="93">
        <f t="shared" si="4"/>
        <v>35100000</v>
      </c>
      <c r="U6" s="93">
        <f t="shared" si="4"/>
        <v>35100000</v>
      </c>
      <c r="V6" s="93">
        <f t="shared" si="4"/>
        <v>35100000</v>
      </c>
      <c r="W6" s="93">
        <f t="shared" si="4"/>
        <v>35100000</v>
      </c>
      <c r="X6" s="93">
        <f t="shared" si="4"/>
        <v>35100000</v>
      </c>
      <c r="Y6" s="93">
        <f t="shared" si="4"/>
        <v>35100000</v>
      </c>
      <c r="Z6" s="93">
        <f t="shared" si="4"/>
        <v>35100000</v>
      </c>
      <c r="AA6" s="93">
        <f t="shared" si="4"/>
        <v>35100000</v>
      </c>
      <c r="AB6" s="93">
        <f t="shared" si="4"/>
        <v>35100000</v>
      </c>
      <c r="AC6" s="93">
        <f t="shared" si="4"/>
        <v>35100000</v>
      </c>
      <c r="AD6" s="93">
        <f t="shared" si="4"/>
        <v>35100000</v>
      </c>
      <c r="AE6" s="93">
        <f t="shared" si="4"/>
        <v>35100000</v>
      </c>
      <c r="AF6" s="93">
        <f t="shared" si="4"/>
        <v>35100000</v>
      </c>
      <c r="AG6" s="93">
        <f t="shared" si="4"/>
        <v>35100000</v>
      </c>
      <c r="AH6" s="93">
        <f t="shared" si="4"/>
        <v>35100000</v>
      </c>
      <c r="AI6" s="93">
        <f t="shared" si="4"/>
        <v>35100000</v>
      </c>
      <c r="AJ6" s="93">
        <f t="shared" si="4"/>
        <v>35100000</v>
      </c>
      <c r="AK6" s="93">
        <f t="shared" si="4"/>
        <v>35100000</v>
      </c>
      <c r="AL6" s="93">
        <f t="shared" si="4"/>
        <v>35100000</v>
      </c>
      <c r="AM6" s="93">
        <f t="shared" si="4"/>
        <v>35100000</v>
      </c>
      <c r="AN6" s="93">
        <f t="shared" si="4"/>
        <v>35100000</v>
      </c>
      <c r="AO6" s="93">
        <f t="shared" si="4"/>
        <v>35100000</v>
      </c>
      <c r="AP6" s="93">
        <f t="shared" si="4"/>
        <v>35100000</v>
      </c>
      <c r="AQ6" s="93">
        <f t="shared" si="4"/>
        <v>35100000</v>
      </c>
      <c r="AR6" s="93">
        <f t="shared" si="4"/>
        <v>35100000</v>
      </c>
      <c r="AS6" s="93">
        <f t="shared" si="4"/>
        <v>35100000</v>
      </c>
      <c r="AT6" s="93">
        <f t="shared" si="4"/>
        <v>35100000</v>
      </c>
      <c r="AU6" s="93">
        <f t="shared" si="4"/>
        <v>35100000</v>
      </c>
      <c r="AV6" s="93">
        <f t="shared" ref="AV6:CA6" si="5">$B$6</f>
        <v>35100000</v>
      </c>
      <c r="AW6" s="93">
        <f t="shared" si="5"/>
        <v>35100000</v>
      </c>
      <c r="AX6" s="93">
        <f t="shared" si="5"/>
        <v>35100000</v>
      </c>
      <c r="AY6" s="93">
        <f t="shared" si="5"/>
        <v>35100000</v>
      </c>
      <c r="AZ6" s="93">
        <f t="shared" si="5"/>
        <v>35100000</v>
      </c>
      <c r="BA6" s="93">
        <f t="shared" si="5"/>
        <v>35100000</v>
      </c>
      <c r="BB6" s="93">
        <f t="shared" si="5"/>
        <v>35100000</v>
      </c>
      <c r="BC6" s="93">
        <f t="shared" si="5"/>
        <v>35100000</v>
      </c>
      <c r="BD6" s="93">
        <f t="shared" si="5"/>
        <v>35100000</v>
      </c>
      <c r="BE6" s="93">
        <f t="shared" si="5"/>
        <v>35100000</v>
      </c>
      <c r="BF6" s="93">
        <f t="shared" si="5"/>
        <v>35100000</v>
      </c>
      <c r="BG6" s="93">
        <f t="shared" si="5"/>
        <v>35100000</v>
      </c>
      <c r="BH6" s="93">
        <f t="shared" si="5"/>
        <v>35100000</v>
      </c>
      <c r="BI6" s="93">
        <f t="shared" si="5"/>
        <v>35100000</v>
      </c>
      <c r="BJ6" s="93">
        <f t="shared" si="5"/>
        <v>35100000</v>
      </c>
      <c r="BK6" s="93">
        <f t="shared" si="5"/>
        <v>35100000</v>
      </c>
      <c r="BL6" s="93">
        <f t="shared" si="5"/>
        <v>35100000</v>
      </c>
      <c r="BM6" s="93">
        <f t="shared" si="5"/>
        <v>35100000</v>
      </c>
      <c r="BN6" s="93">
        <f t="shared" si="5"/>
        <v>35100000</v>
      </c>
      <c r="BO6" s="93">
        <f t="shared" si="5"/>
        <v>35100000</v>
      </c>
      <c r="BP6" s="93">
        <f t="shared" si="5"/>
        <v>35100000</v>
      </c>
      <c r="BQ6" s="93">
        <f t="shared" si="5"/>
        <v>35100000</v>
      </c>
      <c r="BR6" s="93">
        <f t="shared" si="5"/>
        <v>35100000</v>
      </c>
      <c r="BS6" s="93">
        <f t="shared" si="5"/>
        <v>35100000</v>
      </c>
      <c r="BT6" s="93">
        <f t="shared" si="5"/>
        <v>35100000</v>
      </c>
      <c r="BU6" s="93">
        <f t="shared" si="5"/>
        <v>35100000</v>
      </c>
      <c r="BV6" s="93">
        <f t="shared" si="5"/>
        <v>35100000</v>
      </c>
      <c r="BW6" s="93">
        <f t="shared" si="5"/>
        <v>35100000</v>
      </c>
      <c r="BX6" s="93">
        <f t="shared" si="5"/>
        <v>35100000</v>
      </c>
      <c r="BY6" s="93">
        <f t="shared" si="5"/>
        <v>35100000</v>
      </c>
      <c r="BZ6" s="93">
        <f t="shared" si="5"/>
        <v>35100000</v>
      </c>
      <c r="CA6" s="93">
        <f t="shared" si="5"/>
        <v>35100000</v>
      </c>
      <c r="CB6" s="93">
        <f t="shared" ref="CB6:DG6" si="6">$B$6</f>
        <v>35100000</v>
      </c>
      <c r="CC6" s="93">
        <f t="shared" si="6"/>
        <v>35100000</v>
      </c>
      <c r="CD6" s="93">
        <f t="shared" si="6"/>
        <v>35100000</v>
      </c>
      <c r="CE6" s="93">
        <f t="shared" si="6"/>
        <v>35100000</v>
      </c>
      <c r="CF6" s="93">
        <f t="shared" si="6"/>
        <v>35100000</v>
      </c>
      <c r="CG6" s="93">
        <f t="shared" si="6"/>
        <v>35100000</v>
      </c>
      <c r="CH6" s="93">
        <f t="shared" si="6"/>
        <v>35100000</v>
      </c>
      <c r="CI6" s="93">
        <f t="shared" si="6"/>
        <v>35100000</v>
      </c>
      <c r="CJ6" s="93">
        <f t="shared" si="6"/>
        <v>35100000</v>
      </c>
      <c r="CK6" s="93">
        <f t="shared" si="6"/>
        <v>35100000</v>
      </c>
      <c r="CL6" s="93">
        <f t="shared" si="6"/>
        <v>35100000</v>
      </c>
      <c r="CM6" s="93">
        <f t="shared" si="6"/>
        <v>35100000</v>
      </c>
      <c r="CN6" s="93">
        <f t="shared" si="6"/>
        <v>35100000</v>
      </c>
      <c r="CO6" s="93">
        <f t="shared" si="6"/>
        <v>35100000</v>
      </c>
      <c r="CP6" s="93">
        <f t="shared" si="6"/>
        <v>35100000</v>
      </c>
      <c r="CQ6" s="93">
        <f t="shared" si="6"/>
        <v>35100000</v>
      </c>
      <c r="CR6" s="93">
        <f t="shared" si="6"/>
        <v>35100000</v>
      </c>
      <c r="CS6" s="93">
        <f t="shared" si="6"/>
        <v>35100000</v>
      </c>
      <c r="CT6" s="93">
        <f t="shared" si="6"/>
        <v>35100000</v>
      </c>
      <c r="CU6" s="93">
        <f t="shared" si="6"/>
        <v>35100000</v>
      </c>
      <c r="CV6" s="93">
        <f t="shared" si="6"/>
        <v>35100000</v>
      </c>
      <c r="CW6" s="93">
        <f t="shared" si="6"/>
        <v>35100000</v>
      </c>
      <c r="CX6" s="93">
        <f t="shared" si="6"/>
        <v>35100000</v>
      </c>
      <c r="CY6" s="93">
        <f t="shared" si="6"/>
        <v>35100000</v>
      </c>
      <c r="CZ6" s="93">
        <f t="shared" si="6"/>
        <v>35100000</v>
      </c>
      <c r="DA6" s="93">
        <f t="shared" si="6"/>
        <v>35100000</v>
      </c>
      <c r="DB6" s="93">
        <f t="shared" si="6"/>
        <v>35100000</v>
      </c>
      <c r="DC6" s="93">
        <f t="shared" si="6"/>
        <v>35100000</v>
      </c>
      <c r="DD6" s="93">
        <f t="shared" si="6"/>
        <v>35100000</v>
      </c>
      <c r="DE6" s="93">
        <f t="shared" si="6"/>
        <v>35100000</v>
      </c>
      <c r="DF6" s="93">
        <f t="shared" si="6"/>
        <v>35100000</v>
      </c>
      <c r="DG6" s="93">
        <f t="shared" si="6"/>
        <v>35100000</v>
      </c>
      <c r="DH6" s="93">
        <f t="shared" ref="DH6:DV6" si="7">$B$6</f>
        <v>35100000</v>
      </c>
      <c r="DI6" s="93">
        <f t="shared" si="7"/>
        <v>35100000</v>
      </c>
      <c r="DJ6" s="93">
        <f t="shared" si="7"/>
        <v>35100000</v>
      </c>
      <c r="DK6" s="93">
        <f t="shared" si="7"/>
        <v>35100000</v>
      </c>
      <c r="DL6" s="93">
        <f t="shared" si="7"/>
        <v>35100000</v>
      </c>
      <c r="DM6" s="93">
        <f t="shared" si="7"/>
        <v>35100000</v>
      </c>
      <c r="DN6" s="93">
        <f t="shared" si="7"/>
        <v>35100000</v>
      </c>
      <c r="DO6" s="93">
        <f t="shared" si="7"/>
        <v>35100000</v>
      </c>
      <c r="DP6" s="93">
        <f t="shared" si="7"/>
        <v>35100000</v>
      </c>
      <c r="DQ6" s="93">
        <f t="shared" si="7"/>
        <v>35100000</v>
      </c>
      <c r="DR6" s="93">
        <f t="shared" si="7"/>
        <v>35100000</v>
      </c>
      <c r="DS6" s="93">
        <f t="shared" si="7"/>
        <v>35100000</v>
      </c>
      <c r="DT6" s="93">
        <f t="shared" si="7"/>
        <v>35100000</v>
      </c>
      <c r="DU6" s="93">
        <f t="shared" si="7"/>
        <v>35100000</v>
      </c>
      <c r="DV6" s="93">
        <f t="shared" si="7"/>
        <v>35100000</v>
      </c>
    </row>
    <row r="7" spans="1:126" x14ac:dyDescent="0.25">
      <c r="A7" t="s">
        <v>154</v>
      </c>
      <c r="B7" s="3">
        <v>51471072.810000002</v>
      </c>
      <c r="E7" s="92" t="s">
        <v>155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 s="93"/>
      <c r="DJ7" s="93"/>
      <c r="DK7" s="93"/>
      <c r="DL7" s="93"/>
      <c r="DM7" s="93"/>
      <c r="DN7" s="93"/>
      <c r="DO7" s="93"/>
      <c r="DP7" s="93"/>
      <c r="DQ7" s="93"/>
      <c r="DR7" s="93"/>
      <c r="DS7" s="93"/>
      <c r="DT7" s="93"/>
      <c r="DU7" s="93"/>
      <c r="DV7" s="93"/>
    </row>
    <row r="8" spans="1:126" x14ac:dyDescent="0.25">
      <c r="A8" t="s">
        <v>158</v>
      </c>
      <c r="B8" s="38">
        <v>350000000</v>
      </c>
      <c r="E8" s="92" t="s">
        <v>156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>
        <v>20000000</v>
      </c>
      <c r="Q8" s="93">
        <v>20000000</v>
      </c>
      <c r="R8" s="93">
        <v>20000000</v>
      </c>
      <c r="S8" s="93">
        <v>20000000</v>
      </c>
      <c r="T8" s="93">
        <v>20000000</v>
      </c>
      <c r="U8" s="93">
        <v>20000000</v>
      </c>
      <c r="V8" s="93">
        <v>20000000</v>
      </c>
      <c r="W8" s="93">
        <v>20000000</v>
      </c>
      <c r="X8" s="93">
        <v>20000000</v>
      </c>
      <c r="Y8" s="93">
        <v>20000000</v>
      </c>
      <c r="Z8" s="93">
        <v>20000000</v>
      </c>
      <c r="AA8" s="93">
        <v>20000000</v>
      </c>
      <c r="AB8" s="93">
        <v>20000000</v>
      </c>
      <c r="AC8" s="93">
        <v>20000000</v>
      </c>
      <c r="AD8" s="93">
        <v>20000000</v>
      </c>
      <c r="AE8" s="93">
        <v>20000000</v>
      </c>
      <c r="AF8" s="93">
        <v>20000000</v>
      </c>
      <c r="AG8" s="93">
        <v>20000000</v>
      </c>
      <c r="AH8" s="93">
        <v>20000000</v>
      </c>
      <c r="AI8" s="93">
        <v>20000000</v>
      </c>
      <c r="AJ8" s="93">
        <v>20000000</v>
      </c>
      <c r="AK8" s="93">
        <v>20000000</v>
      </c>
      <c r="AL8" s="93">
        <v>20000000</v>
      </c>
      <c r="AM8" s="93">
        <v>20000000</v>
      </c>
      <c r="AN8" s="93">
        <v>20000000</v>
      </c>
      <c r="AO8" s="93">
        <v>20000000</v>
      </c>
      <c r="AP8" s="93">
        <v>20000000</v>
      </c>
      <c r="AQ8" s="93">
        <v>20000000</v>
      </c>
      <c r="AR8" s="93">
        <v>20000000</v>
      </c>
      <c r="AS8" s="93">
        <v>20000000</v>
      </c>
      <c r="AT8" s="93">
        <v>20000000</v>
      </c>
      <c r="AU8" s="93">
        <v>20000000</v>
      </c>
      <c r="AV8" s="93">
        <v>20000000</v>
      </c>
      <c r="AW8" s="93">
        <v>20000000</v>
      </c>
      <c r="AX8" s="93">
        <v>20000000</v>
      </c>
      <c r="AY8" s="93">
        <v>20000000</v>
      </c>
      <c r="AZ8" s="93">
        <v>20000000</v>
      </c>
      <c r="BA8" s="93">
        <v>20000000</v>
      </c>
      <c r="BB8" s="93">
        <v>20000000</v>
      </c>
      <c r="BC8" s="93">
        <v>20000000</v>
      </c>
      <c r="BD8" s="93">
        <v>20000000</v>
      </c>
      <c r="BE8" s="93">
        <v>20000000</v>
      </c>
      <c r="BF8" s="93">
        <v>20000000</v>
      </c>
      <c r="BG8" s="93">
        <v>20000000</v>
      </c>
      <c r="BH8" s="93">
        <v>20000000</v>
      </c>
      <c r="BI8" s="93">
        <v>20000000</v>
      </c>
      <c r="BJ8" s="93">
        <v>20000000</v>
      </c>
      <c r="BK8" s="93">
        <v>20000000</v>
      </c>
      <c r="BL8" s="93">
        <v>20000000</v>
      </c>
      <c r="BM8" s="93">
        <v>20000000</v>
      </c>
      <c r="BN8" s="93">
        <v>20000000</v>
      </c>
      <c r="BO8" s="93">
        <v>20000000</v>
      </c>
      <c r="BP8" s="93">
        <v>20000000</v>
      </c>
      <c r="BQ8" s="93">
        <v>20000000</v>
      </c>
      <c r="BR8" s="93">
        <v>20000000</v>
      </c>
      <c r="BS8" s="93">
        <v>20000000</v>
      </c>
      <c r="BT8" s="93">
        <v>20000000</v>
      </c>
      <c r="BU8" s="93">
        <v>20000000</v>
      </c>
      <c r="BV8" s="93">
        <v>20000000</v>
      </c>
      <c r="BW8" s="93">
        <v>20000000</v>
      </c>
      <c r="BX8" s="93">
        <v>20000000</v>
      </c>
      <c r="BY8" s="93">
        <v>20000000</v>
      </c>
      <c r="BZ8" s="93">
        <v>20000000</v>
      </c>
      <c r="CA8" s="93">
        <v>20000000</v>
      </c>
      <c r="CB8" s="93">
        <v>20000000</v>
      </c>
      <c r="CC8" s="93">
        <v>20000000</v>
      </c>
      <c r="CD8" s="93">
        <v>20000000</v>
      </c>
      <c r="CE8" s="93">
        <v>20000000</v>
      </c>
      <c r="CF8" s="93">
        <v>20000000</v>
      </c>
      <c r="CG8" s="93">
        <v>20000000</v>
      </c>
      <c r="CH8" s="93">
        <v>20000000</v>
      </c>
      <c r="CI8" s="93">
        <v>20000000</v>
      </c>
      <c r="CJ8" s="93">
        <v>20000000</v>
      </c>
      <c r="CK8" s="93">
        <v>20000000</v>
      </c>
      <c r="CL8" s="93">
        <v>20000000</v>
      </c>
      <c r="CM8" s="93">
        <v>20000000</v>
      </c>
      <c r="CN8" s="93">
        <v>20000000</v>
      </c>
      <c r="CO8" s="93">
        <v>20000000</v>
      </c>
      <c r="CP8" s="93">
        <v>20000000</v>
      </c>
      <c r="CQ8" s="93">
        <v>20000000</v>
      </c>
      <c r="CR8" s="93">
        <v>20000000</v>
      </c>
      <c r="CS8" s="93">
        <v>20000000</v>
      </c>
      <c r="CT8" s="93">
        <v>20000000</v>
      </c>
      <c r="CU8" s="93">
        <v>20000000</v>
      </c>
      <c r="CV8" s="93">
        <v>20000000</v>
      </c>
      <c r="CW8" s="93">
        <v>20000000</v>
      </c>
      <c r="CX8" s="93">
        <v>20000000</v>
      </c>
      <c r="CY8" s="93">
        <v>20000000</v>
      </c>
      <c r="CZ8" s="93">
        <v>20000000</v>
      </c>
      <c r="DA8" s="93">
        <v>20000000</v>
      </c>
      <c r="DB8" s="93">
        <v>20000000</v>
      </c>
      <c r="DC8" s="93">
        <v>20000000</v>
      </c>
      <c r="DD8" s="93">
        <v>20000000</v>
      </c>
      <c r="DE8" s="93">
        <v>20000000</v>
      </c>
      <c r="DF8" s="93">
        <v>20000000</v>
      </c>
      <c r="DG8" s="93">
        <v>20000000</v>
      </c>
      <c r="DH8" s="93">
        <v>20000000</v>
      </c>
      <c r="DI8" s="93">
        <v>20000000</v>
      </c>
      <c r="DJ8" s="93">
        <v>20000000</v>
      </c>
      <c r="DK8" s="93">
        <v>20000000</v>
      </c>
      <c r="DL8" s="93">
        <v>20000000</v>
      </c>
      <c r="DM8" s="93">
        <v>20000000</v>
      </c>
      <c r="DN8" s="93">
        <v>20000000</v>
      </c>
      <c r="DO8" s="93">
        <v>20000000</v>
      </c>
      <c r="DP8" s="93">
        <v>20000000</v>
      </c>
      <c r="DQ8" s="93">
        <v>20000000</v>
      </c>
      <c r="DR8" s="93">
        <v>20000000</v>
      </c>
      <c r="DS8" s="93">
        <v>20000000</v>
      </c>
      <c r="DT8" s="93">
        <v>20000000</v>
      </c>
      <c r="DU8" s="93">
        <v>20000000</v>
      </c>
      <c r="DV8" s="93">
        <v>20000000</v>
      </c>
    </row>
    <row r="9" spans="1:126" x14ac:dyDescent="0.25">
      <c r="A9" t="s">
        <v>128</v>
      </c>
      <c r="B9" s="73">
        <f>'Flujo de Caja'!B42</f>
        <v>9.1600000000000001E-2</v>
      </c>
      <c r="C9" t="s">
        <v>129</v>
      </c>
      <c r="E9" s="90" t="s">
        <v>109</v>
      </c>
      <c r="F9" s="91"/>
      <c r="G9" s="91">
        <f>G10</f>
        <v>0</v>
      </c>
      <c r="H9" s="91">
        <f t="shared" ref="H9:BS9" si="8">H10</f>
        <v>0</v>
      </c>
      <c r="I9" s="91">
        <f t="shared" si="8"/>
        <v>0</v>
      </c>
      <c r="J9" s="91">
        <f t="shared" si="8"/>
        <v>0</v>
      </c>
      <c r="K9" s="91">
        <f t="shared" si="8"/>
        <v>0</v>
      </c>
      <c r="L9" s="91">
        <f t="shared" si="8"/>
        <v>0</v>
      </c>
      <c r="M9" s="91">
        <f t="shared" si="8"/>
        <v>0</v>
      </c>
      <c r="N9" s="91">
        <f t="shared" si="8"/>
        <v>0</v>
      </c>
      <c r="O9" s="91">
        <f t="shared" si="8"/>
        <v>0</v>
      </c>
      <c r="P9" s="91">
        <f t="shared" si="8"/>
        <v>-51471072.810000002</v>
      </c>
      <c r="Q9" s="91">
        <f t="shared" si="8"/>
        <v>-51471072.810000002</v>
      </c>
      <c r="R9" s="91">
        <f t="shared" si="8"/>
        <v>-51471072.810000002</v>
      </c>
      <c r="S9" s="91">
        <f t="shared" si="8"/>
        <v>-51471072.810000002</v>
      </c>
      <c r="T9" s="91">
        <f t="shared" si="8"/>
        <v>-51471072.810000002</v>
      </c>
      <c r="U9" s="91">
        <f t="shared" si="8"/>
        <v>-51471072.810000002</v>
      </c>
      <c r="V9" s="91">
        <f t="shared" si="8"/>
        <v>-51471072.810000002</v>
      </c>
      <c r="W9" s="91">
        <f t="shared" si="8"/>
        <v>-51471072.810000002</v>
      </c>
      <c r="X9" s="91">
        <f t="shared" si="8"/>
        <v>-51471072.810000002</v>
      </c>
      <c r="Y9" s="91">
        <f t="shared" si="8"/>
        <v>-51471072.810000002</v>
      </c>
      <c r="Z9" s="91">
        <f t="shared" si="8"/>
        <v>-51471072.810000002</v>
      </c>
      <c r="AA9" s="91">
        <f t="shared" si="8"/>
        <v>-51471072.810000002</v>
      </c>
      <c r="AB9" s="91">
        <f t="shared" si="8"/>
        <v>-51471072.810000002</v>
      </c>
      <c r="AC9" s="91">
        <f t="shared" si="8"/>
        <v>-51471072.810000002</v>
      </c>
      <c r="AD9" s="91">
        <f t="shared" si="8"/>
        <v>-51471072.810000002</v>
      </c>
      <c r="AE9" s="91">
        <f t="shared" si="8"/>
        <v>-51471072.810000002</v>
      </c>
      <c r="AF9" s="91">
        <f t="shared" si="8"/>
        <v>-51471072.810000002</v>
      </c>
      <c r="AG9" s="91">
        <f t="shared" si="8"/>
        <v>-51471072.810000002</v>
      </c>
      <c r="AH9" s="91">
        <f t="shared" si="8"/>
        <v>-51471072.810000002</v>
      </c>
      <c r="AI9" s="91">
        <f t="shared" si="8"/>
        <v>-51471072.810000002</v>
      </c>
      <c r="AJ9" s="91">
        <f t="shared" si="8"/>
        <v>-51471072.810000002</v>
      </c>
      <c r="AK9" s="91">
        <f t="shared" si="8"/>
        <v>-51471072.810000002</v>
      </c>
      <c r="AL9" s="91">
        <f t="shared" si="8"/>
        <v>-51471072.810000002</v>
      </c>
      <c r="AM9" s="91">
        <f t="shared" si="8"/>
        <v>-51471072.810000002</v>
      </c>
      <c r="AN9" s="91">
        <f t="shared" si="8"/>
        <v>-51471072.810000002</v>
      </c>
      <c r="AO9" s="91">
        <f t="shared" si="8"/>
        <v>-51471072.810000002</v>
      </c>
      <c r="AP9" s="91">
        <f t="shared" si="8"/>
        <v>-51471072.810000002</v>
      </c>
      <c r="AQ9" s="91">
        <f t="shared" si="8"/>
        <v>-51471072.810000002</v>
      </c>
      <c r="AR9" s="91">
        <f t="shared" si="8"/>
        <v>-51471072.810000002</v>
      </c>
      <c r="AS9" s="91">
        <f t="shared" si="8"/>
        <v>-51471072.810000002</v>
      </c>
      <c r="AT9" s="91">
        <f t="shared" si="8"/>
        <v>-51471072.810000002</v>
      </c>
      <c r="AU9" s="91">
        <f t="shared" si="8"/>
        <v>-51471072.810000002</v>
      </c>
      <c r="AV9" s="91">
        <f t="shared" si="8"/>
        <v>-51471072.810000002</v>
      </c>
      <c r="AW9" s="91">
        <f t="shared" si="8"/>
        <v>-51471072.810000002</v>
      </c>
      <c r="AX9" s="91">
        <f t="shared" si="8"/>
        <v>-51471072.810000002</v>
      </c>
      <c r="AY9" s="91">
        <f t="shared" si="8"/>
        <v>-51471072.810000002</v>
      </c>
      <c r="AZ9" s="91">
        <f t="shared" si="8"/>
        <v>-51471072.810000002</v>
      </c>
      <c r="BA9" s="91">
        <f t="shared" si="8"/>
        <v>-51471072.810000002</v>
      </c>
      <c r="BB9" s="91">
        <f t="shared" si="8"/>
        <v>-51471072.810000002</v>
      </c>
      <c r="BC9" s="91">
        <f t="shared" si="8"/>
        <v>-51471072.810000002</v>
      </c>
      <c r="BD9" s="91">
        <f t="shared" si="8"/>
        <v>-51471072.810000002</v>
      </c>
      <c r="BE9" s="91">
        <f t="shared" si="8"/>
        <v>-51471072.810000002</v>
      </c>
      <c r="BF9" s="91">
        <f t="shared" si="8"/>
        <v>-51471072.810000002</v>
      </c>
      <c r="BG9" s="91">
        <f t="shared" si="8"/>
        <v>-51471072.810000002</v>
      </c>
      <c r="BH9" s="91">
        <f t="shared" si="8"/>
        <v>-51471072.810000002</v>
      </c>
      <c r="BI9" s="91">
        <f t="shared" si="8"/>
        <v>-51471072.810000002</v>
      </c>
      <c r="BJ9" s="91">
        <f t="shared" si="8"/>
        <v>-51471072.810000002</v>
      </c>
      <c r="BK9" s="91">
        <f t="shared" si="8"/>
        <v>-51471072.810000002</v>
      </c>
      <c r="BL9" s="91">
        <f t="shared" si="8"/>
        <v>-51471072.810000002</v>
      </c>
      <c r="BM9" s="91">
        <f t="shared" si="8"/>
        <v>-51471072.810000002</v>
      </c>
      <c r="BN9" s="91">
        <f t="shared" si="8"/>
        <v>-51471072.810000002</v>
      </c>
      <c r="BO9" s="91">
        <f t="shared" si="8"/>
        <v>-51471072.810000002</v>
      </c>
      <c r="BP9" s="91">
        <f t="shared" si="8"/>
        <v>-51471072.810000002</v>
      </c>
      <c r="BQ9" s="91">
        <f t="shared" si="8"/>
        <v>-51471072.810000002</v>
      </c>
      <c r="BR9" s="91">
        <f t="shared" si="8"/>
        <v>-51471072.810000002</v>
      </c>
      <c r="BS9" s="91">
        <f t="shared" si="8"/>
        <v>-51471072.810000002</v>
      </c>
      <c r="BT9" s="91">
        <f t="shared" ref="BT9:DV9" si="9">BT10</f>
        <v>-51471072.810000002</v>
      </c>
      <c r="BU9" s="91">
        <f t="shared" si="9"/>
        <v>-51471072.810000002</v>
      </c>
      <c r="BV9" s="91">
        <f t="shared" si="9"/>
        <v>-51471072.810000002</v>
      </c>
      <c r="BW9" s="91">
        <f t="shared" si="9"/>
        <v>-51471072.810000002</v>
      </c>
      <c r="BX9" s="91">
        <f t="shared" si="9"/>
        <v>-51471072.810000002</v>
      </c>
      <c r="BY9" s="91">
        <f t="shared" si="9"/>
        <v>-51471072.810000002</v>
      </c>
      <c r="BZ9" s="91">
        <f t="shared" si="9"/>
        <v>-51471072.810000002</v>
      </c>
      <c r="CA9" s="91">
        <f t="shared" si="9"/>
        <v>-51471072.810000002</v>
      </c>
      <c r="CB9" s="91">
        <f t="shared" si="9"/>
        <v>-51471072.810000002</v>
      </c>
      <c r="CC9" s="91">
        <f t="shared" si="9"/>
        <v>-51471072.810000002</v>
      </c>
      <c r="CD9" s="91">
        <f t="shared" si="9"/>
        <v>-51471072.810000002</v>
      </c>
      <c r="CE9" s="91">
        <f t="shared" si="9"/>
        <v>-51471072.810000002</v>
      </c>
      <c r="CF9" s="91">
        <f t="shared" si="9"/>
        <v>-51471072.810000002</v>
      </c>
      <c r="CG9" s="91">
        <f t="shared" si="9"/>
        <v>-51471072.810000002</v>
      </c>
      <c r="CH9" s="91">
        <f t="shared" si="9"/>
        <v>-51471072.810000002</v>
      </c>
      <c r="CI9" s="91">
        <f t="shared" si="9"/>
        <v>-51471072.810000002</v>
      </c>
      <c r="CJ9" s="91">
        <f t="shared" si="9"/>
        <v>-51471072.810000002</v>
      </c>
      <c r="CK9" s="91">
        <f t="shared" si="9"/>
        <v>-51471072.810000002</v>
      </c>
      <c r="CL9" s="91">
        <f t="shared" si="9"/>
        <v>-51471072.810000002</v>
      </c>
      <c r="CM9" s="91">
        <f t="shared" si="9"/>
        <v>-51471072.810000002</v>
      </c>
      <c r="CN9" s="91">
        <f t="shared" si="9"/>
        <v>-51471072.810000002</v>
      </c>
      <c r="CO9" s="91">
        <f t="shared" si="9"/>
        <v>-51471072.810000002</v>
      </c>
      <c r="CP9" s="91">
        <f t="shared" si="9"/>
        <v>-51471072.810000002</v>
      </c>
      <c r="CQ9" s="91">
        <f t="shared" si="9"/>
        <v>-51471072.810000002</v>
      </c>
      <c r="CR9" s="91">
        <f t="shared" si="9"/>
        <v>-51471072.810000002</v>
      </c>
      <c r="CS9" s="91">
        <f t="shared" si="9"/>
        <v>-51471072.810000002</v>
      </c>
      <c r="CT9" s="91">
        <f t="shared" si="9"/>
        <v>-51471072.810000002</v>
      </c>
      <c r="CU9" s="91">
        <f t="shared" si="9"/>
        <v>-51471072.810000002</v>
      </c>
      <c r="CV9" s="91">
        <f t="shared" si="9"/>
        <v>-51471072.810000002</v>
      </c>
      <c r="CW9" s="91">
        <f t="shared" si="9"/>
        <v>-51471072.810000002</v>
      </c>
      <c r="CX9" s="91">
        <f t="shared" si="9"/>
        <v>-51471072.810000002</v>
      </c>
      <c r="CY9" s="91">
        <f t="shared" si="9"/>
        <v>-51471072.810000002</v>
      </c>
      <c r="CZ9" s="91">
        <f t="shared" si="9"/>
        <v>-51471072.810000002</v>
      </c>
      <c r="DA9" s="91">
        <f t="shared" si="9"/>
        <v>-51471072.810000002</v>
      </c>
      <c r="DB9" s="91">
        <f t="shared" si="9"/>
        <v>-51471072.810000002</v>
      </c>
      <c r="DC9" s="91">
        <f t="shared" si="9"/>
        <v>-51471072.810000002</v>
      </c>
      <c r="DD9" s="91">
        <f t="shared" si="9"/>
        <v>-51471072.810000002</v>
      </c>
      <c r="DE9" s="91">
        <f t="shared" si="9"/>
        <v>-51471072.810000002</v>
      </c>
      <c r="DF9" s="91">
        <f t="shared" si="9"/>
        <v>-51471072.810000002</v>
      </c>
      <c r="DG9" s="91">
        <f t="shared" si="9"/>
        <v>-51471072.810000002</v>
      </c>
      <c r="DH9" s="91">
        <f t="shared" si="9"/>
        <v>-51471072.810000002</v>
      </c>
      <c r="DI9" s="91">
        <f t="shared" si="9"/>
        <v>-51471072.810000002</v>
      </c>
      <c r="DJ9" s="91">
        <f t="shared" si="9"/>
        <v>-51471072.810000002</v>
      </c>
      <c r="DK9" s="91">
        <f t="shared" si="9"/>
        <v>-51471072.810000002</v>
      </c>
      <c r="DL9" s="91">
        <f t="shared" si="9"/>
        <v>-51471072.810000002</v>
      </c>
      <c r="DM9" s="91">
        <f t="shared" si="9"/>
        <v>-51471072.810000002</v>
      </c>
      <c r="DN9" s="91">
        <f t="shared" si="9"/>
        <v>-51471072.810000002</v>
      </c>
      <c r="DO9" s="91">
        <f t="shared" si="9"/>
        <v>-51471072.810000002</v>
      </c>
      <c r="DP9" s="91">
        <f t="shared" si="9"/>
        <v>-51471072.810000002</v>
      </c>
      <c r="DQ9" s="91">
        <f t="shared" si="9"/>
        <v>-51471072.810000002</v>
      </c>
      <c r="DR9" s="91">
        <f t="shared" si="9"/>
        <v>-51471072.810000002</v>
      </c>
      <c r="DS9" s="91">
        <f t="shared" si="9"/>
        <v>-51471072.810000002</v>
      </c>
      <c r="DT9" s="91">
        <f t="shared" si="9"/>
        <v>-51471072.810000002</v>
      </c>
      <c r="DU9" s="91">
        <f t="shared" si="9"/>
        <v>-51471072.810000002</v>
      </c>
      <c r="DV9" s="91">
        <f t="shared" si="9"/>
        <v>-401471072.81</v>
      </c>
    </row>
    <row r="10" spans="1:126" x14ac:dyDescent="0.25">
      <c r="A10" t="s">
        <v>128</v>
      </c>
      <c r="B10" s="73">
        <f>'Flujo de Caja'!B43</f>
        <v>7.3304462918302171E-3</v>
      </c>
      <c r="C10" t="s">
        <v>130</v>
      </c>
      <c r="E10" s="92" t="s">
        <v>157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>
        <f t="shared" ref="P10:AU10" si="10">-$B$7</f>
        <v>-51471072.810000002</v>
      </c>
      <c r="Q10" s="93">
        <f t="shared" si="10"/>
        <v>-51471072.810000002</v>
      </c>
      <c r="R10" s="93">
        <f t="shared" si="10"/>
        <v>-51471072.810000002</v>
      </c>
      <c r="S10" s="93">
        <f t="shared" si="10"/>
        <v>-51471072.810000002</v>
      </c>
      <c r="T10" s="93">
        <f t="shared" si="10"/>
        <v>-51471072.810000002</v>
      </c>
      <c r="U10" s="93">
        <f t="shared" si="10"/>
        <v>-51471072.810000002</v>
      </c>
      <c r="V10" s="93">
        <f t="shared" si="10"/>
        <v>-51471072.810000002</v>
      </c>
      <c r="W10" s="93">
        <f t="shared" si="10"/>
        <v>-51471072.810000002</v>
      </c>
      <c r="X10" s="93">
        <f t="shared" si="10"/>
        <v>-51471072.810000002</v>
      </c>
      <c r="Y10" s="93">
        <f t="shared" si="10"/>
        <v>-51471072.810000002</v>
      </c>
      <c r="Z10" s="93">
        <f t="shared" si="10"/>
        <v>-51471072.810000002</v>
      </c>
      <c r="AA10" s="93">
        <f t="shared" si="10"/>
        <v>-51471072.810000002</v>
      </c>
      <c r="AB10" s="93">
        <f t="shared" si="10"/>
        <v>-51471072.810000002</v>
      </c>
      <c r="AC10" s="93">
        <f t="shared" si="10"/>
        <v>-51471072.810000002</v>
      </c>
      <c r="AD10" s="93">
        <f t="shared" si="10"/>
        <v>-51471072.810000002</v>
      </c>
      <c r="AE10" s="93">
        <f t="shared" si="10"/>
        <v>-51471072.810000002</v>
      </c>
      <c r="AF10" s="93">
        <f t="shared" si="10"/>
        <v>-51471072.810000002</v>
      </c>
      <c r="AG10" s="93">
        <f t="shared" si="10"/>
        <v>-51471072.810000002</v>
      </c>
      <c r="AH10" s="93">
        <f t="shared" si="10"/>
        <v>-51471072.810000002</v>
      </c>
      <c r="AI10" s="93">
        <f t="shared" si="10"/>
        <v>-51471072.810000002</v>
      </c>
      <c r="AJ10" s="93">
        <f t="shared" si="10"/>
        <v>-51471072.810000002</v>
      </c>
      <c r="AK10" s="93">
        <f t="shared" si="10"/>
        <v>-51471072.810000002</v>
      </c>
      <c r="AL10" s="93">
        <f t="shared" si="10"/>
        <v>-51471072.810000002</v>
      </c>
      <c r="AM10" s="93">
        <f t="shared" si="10"/>
        <v>-51471072.810000002</v>
      </c>
      <c r="AN10" s="93">
        <f t="shared" si="10"/>
        <v>-51471072.810000002</v>
      </c>
      <c r="AO10" s="93">
        <f t="shared" si="10"/>
        <v>-51471072.810000002</v>
      </c>
      <c r="AP10" s="93">
        <f t="shared" si="10"/>
        <v>-51471072.810000002</v>
      </c>
      <c r="AQ10" s="93">
        <f t="shared" si="10"/>
        <v>-51471072.810000002</v>
      </c>
      <c r="AR10" s="93">
        <f t="shared" si="10"/>
        <v>-51471072.810000002</v>
      </c>
      <c r="AS10" s="93">
        <f t="shared" si="10"/>
        <v>-51471072.810000002</v>
      </c>
      <c r="AT10" s="93">
        <f t="shared" si="10"/>
        <v>-51471072.810000002</v>
      </c>
      <c r="AU10" s="93">
        <f t="shared" si="10"/>
        <v>-51471072.810000002</v>
      </c>
      <c r="AV10" s="93">
        <f t="shared" ref="AV10:CA10" si="11">-$B$7</f>
        <v>-51471072.810000002</v>
      </c>
      <c r="AW10" s="93">
        <f t="shared" si="11"/>
        <v>-51471072.810000002</v>
      </c>
      <c r="AX10" s="93">
        <f t="shared" si="11"/>
        <v>-51471072.810000002</v>
      </c>
      <c r="AY10" s="93">
        <f t="shared" si="11"/>
        <v>-51471072.810000002</v>
      </c>
      <c r="AZ10" s="93">
        <f t="shared" si="11"/>
        <v>-51471072.810000002</v>
      </c>
      <c r="BA10" s="93">
        <f t="shared" si="11"/>
        <v>-51471072.810000002</v>
      </c>
      <c r="BB10" s="93">
        <f t="shared" si="11"/>
        <v>-51471072.810000002</v>
      </c>
      <c r="BC10" s="93">
        <f t="shared" si="11"/>
        <v>-51471072.810000002</v>
      </c>
      <c r="BD10" s="93">
        <f t="shared" si="11"/>
        <v>-51471072.810000002</v>
      </c>
      <c r="BE10" s="93">
        <f t="shared" si="11"/>
        <v>-51471072.810000002</v>
      </c>
      <c r="BF10" s="93">
        <f t="shared" si="11"/>
        <v>-51471072.810000002</v>
      </c>
      <c r="BG10" s="93">
        <f t="shared" si="11"/>
        <v>-51471072.810000002</v>
      </c>
      <c r="BH10" s="93">
        <f t="shared" si="11"/>
        <v>-51471072.810000002</v>
      </c>
      <c r="BI10" s="93">
        <f t="shared" si="11"/>
        <v>-51471072.810000002</v>
      </c>
      <c r="BJ10" s="93">
        <f t="shared" si="11"/>
        <v>-51471072.810000002</v>
      </c>
      <c r="BK10" s="93">
        <f t="shared" si="11"/>
        <v>-51471072.810000002</v>
      </c>
      <c r="BL10" s="93">
        <f t="shared" si="11"/>
        <v>-51471072.810000002</v>
      </c>
      <c r="BM10" s="93">
        <f t="shared" si="11"/>
        <v>-51471072.810000002</v>
      </c>
      <c r="BN10" s="93">
        <f t="shared" si="11"/>
        <v>-51471072.810000002</v>
      </c>
      <c r="BO10" s="93">
        <f t="shared" si="11"/>
        <v>-51471072.810000002</v>
      </c>
      <c r="BP10" s="93">
        <f t="shared" si="11"/>
        <v>-51471072.810000002</v>
      </c>
      <c r="BQ10" s="93">
        <f t="shared" si="11"/>
        <v>-51471072.810000002</v>
      </c>
      <c r="BR10" s="93">
        <f t="shared" si="11"/>
        <v>-51471072.810000002</v>
      </c>
      <c r="BS10" s="93">
        <f t="shared" si="11"/>
        <v>-51471072.810000002</v>
      </c>
      <c r="BT10" s="93">
        <f t="shared" si="11"/>
        <v>-51471072.810000002</v>
      </c>
      <c r="BU10" s="93">
        <f t="shared" si="11"/>
        <v>-51471072.810000002</v>
      </c>
      <c r="BV10" s="93">
        <f t="shared" si="11"/>
        <v>-51471072.810000002</v>
      </c>
      <c r="BW10" s="93">
        <f t="shared" si="11"/>
        <v>-51471072.810000002</v>
      </c>
      <c r="BX10" s="93">
        <f t="shared" si="11"/>
        <v>-51471072.810000002</v>
      </c>
      <c r="BY10" s="93">
        <f t="shared" si="11"/>
        <v>-51471072.810000002</v>
      </c>
      <c r="BZ10" s="93">
        <f t="shared" si="11"/>
        <v>-51471072.810000002</v>
      </c>
      <c r="CA10" s="93">
        <f t="shared" si="11"/>
        <v>-51471072.810000002</v>
      </c>
      <c r="CB10" s="93">
        <f t="shared" ref="CB10:DG10" si="12">-$B$7</f>
        <v>-51471072.810000002</v>
      </c>
      <c r="CC10" s="93">
        <f t="shared" si="12"/>
        <v>-51471072.810000002</v>
      </c>
      <c r="CD10" s="93">
        <f t="shared" si="12"/>
        <v>-51471072.810000002</v>
      </c>
      <c r="CE10" s="93">
        <f t="shared" si="12"/>
        <v>-51471072.810000002</v>
      </c>
      <c r="CF10" s="93">
        <f t="shared" si="12"/>
        <v>-51471072.810000002</v>
      </c>
      <c r="CG10" s="93">
        <f t="shared" si="12"/>
        <v>-51471072.810000002</v>
      </c>
      <c r="CH10" s="93">
        <f t="shared" si="12"/>
        <v>-51471072.810000002</v>
      </c>
      <c r="CI10" s="93">
        <f t="shared" si="12"/>
        <v>-51471072.810000002</v>
      </c>
      <c r="CJ10" s="93">
        <f t="shared" si="12"/>
        <v>-51471072.810000002</v>
      </c>
      <c r="CK10" s="93">
        <f t="shared" si="12"/>
        <v>-51471072.810000002</v>
      </c>
      <c r="CL10" s="93">
        <f t="shared" si="12"/>
        <v>-51471072.810000002</v>
      </c>
      <c r="CM10" s="93">
        <f t="shared" si="12"/>
        <v>-51471072.810000002</v>
      </c>
      <c r="CN10" s="93">
        <f t="shared" si="12"/>
        <v>-51471072.810000002</v>
      </c>
      <c r="CO10" s="93">
        <f t="shared" si="12"/>
        <v>-51471072.810000002</v>
      </c>
      <c r="CP10" s="93">
        <f t="shared" si="12"/>
        <v>-51471072.810000002</v>
      </c>
      <c r="CQ10" s="93">
        <f t="shared" si="12"/>
        <v>-51471072.810000002</v>
      </c>
      <c r="CR10" s="93">
        <f t="shared" si="12"/>
        <v>-51471072.810000002</v>
      </c>
      <c r="CS10" s="93">
        <f t="shared" si="12"/>
        <v>-51471072.810000002</v>
      </c>
      <c r="CT10" s="93">
        <f t="shared" si="12"/>
        <v>-51471072.810000002</v>
      </c>
      <c r="CU10" s="93">
        <f t="shared" si="12"/>
        <v>-51471072.810000002</v>
      </c>
      <c r="CV10" s="93">
        <f t="shared" si="12"/>
        <v>-51471072.810000002</v>
      </c>
      <c r="CW10" s="93">
        <f t="shared" si="12"/>
        <v>-51471072.810000002</v>
      </c>
      <c r="CX10" s="93">
        <f t="shared" si="12"/>
        <v>-51471072.810000002</v>
      </c>
      <c r="CY10" s="93">
        <f t="shared" si="12"/>
        <v>-51471072.810000002</v>
      </c>
      <c r="CZ10" s="93">
        <f t="shared" si="12"/>
        <v>-51471072.810000002</v>
      </c>
      <c r="DA10" s="93">
        <f t="shared" si="12"/>
        <v>-51471072.810000002</v>
      </c>
      <c r="DB10" s="93">
        <f t="shared" si="12"/>
        <v>-51471072.810000002</v>
      </c>
      <c r="DC10" s="93">
        <f t="shared" si="12"/>
        <v>-51471072.810000002</v>
      </c>
      <c r="DD10" s="93">
        <f t="shared" si="12"/>
        <v>-51471072.810000002</v>
      </c>
      <c r="DE10" s="93">
        <f t="shared" si="12"/>
        <v>-51471072.810000002</v>
      </c>
      <c r="DF10" s="93">
        <f t="shared" si="12"/>
        <v>-51471072.810000002</v>
      </c>
      <c r="DG10" s="93">
        <f t="shared" si="12"/>
        <v>-51471072.810000002</v>
      </c>
      <c r="DH10" s="93">
        <f t="shared" ref="DH10:DU10" si="13">-$B$7</f>
        <v>-51471072.810000002</v>
      </c>
      <c r="DI10" s="93">
        <f t="shared" si="13"/>
        <v>-51471072.810000002</v>
      </c>
      <c r="DJ10" s="93">
        <f t="shared" si="13"/>
        <v>-51471072.810000002</v>
      </c>
      <c r="DK10" s="93">
        <f t="shared" si="13"/>
        <v>-51471072.810000002</v>
      </c>
      <c r="DL10" s="93">
        <f t="shared" si="13"/>
        <v>-51471072.810000002</v>
      </c>
      <c r="DM10" s="93">
        <f t="shared" si="13"/>
        <v>-51471072.810000002</v>
      </c>
      <c r="DN10" s="93">
        <f t="shared" si="13"/>
        <v>-51471072.810000002</v>
      </c>
      <c r="DO10" s="93">
        <f t="shared" si="13"/>
        <v>-51471072.810000002</v>
      </c>
      <c r="DP10" s="93">
        <f t="shared" si="13"/>
        <v>-51471072.810000002</v>
      </c>
      <c r="DQ10" s="93">
        <f t="shared" si="13"/>
        <v>-51471072.810000002</v>
      </c>
      <c r="DR10" s="93">
        <f t="shared" si="13"/>
        <v>-51471072.810000002</v>
      </c>
      <c r="DS10" s="93">
        <f t="shared" si="13"/>
        <v>-51471072.810000002</v>
      </c>
      <c r="DT10" s="93">
        <f t="shared" si="13"/>
        <v>-51471072.810000002</v>
      </c>
      <c r="DU10" s="93">
        <f t="shared" si="13"/>
        <v>-51471072.810000002</v>
      </c>
      <c r="DV10" s="93">
        <f>-$B$7-B8</f>
        <v>-401471072.81</v>
      </c>
    </row>
    <row r="11" spans="1:126" x14ac:dyDescent="0.25">
      <c r="A11" t="s">
        <v>161</v>
      </c>
      <c r="B11" s="38">
        <v>3600000000</v>
      </c>
      <c r="E11" s="88" t="s">
        <v>159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8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>
        <f>B8</f>
        <v>350000000</v>
      </c>
    </row>
    <row r="12" spans="1:126" x14ac:dyDescent="0.25">
      <c r="A12" t="s">
        <v>166</v>
      </c>
      <c r="B12" s="38">
        <f>B11/6</f>
        <v>600000000</v>
      </c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</row>
    <row r="13" spans="1:126" x14ac:dyDescent="0.25">
      <c r="E13" t="s">
        <v>160</v>
      </c>
      <c r="F13" s="38">
        <f>F3+F4+F11</f>
        <v>0</v>
      </c>
      <c r="G13" s="38">
        <f t="shared" ref="G13:BR13" si="14">G3+G4+G11</f>
        <v>0</v>
      </c>
      <c r="H13" s="38">
        <f t="shared" si="14"/>
        <v>0</v>
      </c>
      <c r="I13" s="38">
        <f t="shared" si="14"/>
        <v>0</v>
      </c>
      <c r="J13" s="38">
        <f t="shared" si="14"/>
        <v>0</v>
      </c>
      <c r="K13" s="38">
        <f t="shared" si="14"/>
        <v>0</v>
      </c>
      <c r="L13" s="38">
        <f t="shared" si="14"/>
        <v>0</v>
      </c>
      <c r="M13" s="38">
        <f t="shared" si="14"/>
        <v>0</v>
      </c>
      <c r="N13" s="38">
        <f t="shared" si="14"/>
        <v>0</v>
      </c>
      <c r="O13" s="38">
        <f t="shared" si="14"/>
        <v>0</v>
      </c>
      <c r="P13" s="38">
        <f t="shared" si="14"/>
        <v>3628927.1899999976</v>
      </c>
      <c r="Q13" s="38">
        <f t="shared" si="14"/>
        <v>3628927.1899999976</v>
      </c>
      <c r="R13" s="38">
        <f t="shared" si="14"/>
        <v>3628927.1899999976</v>
      </c>
      <c r="S13" s="38">
        <f t="shared" si="14"/>
        <v>3628927.1899999976</v>
      </c>
      <c r="T13" s="38">
        <f t="shared" si="14"/>
        <v>3628927.1899999976</v>
      </c>
      <c r="U13" s="38">
        <f t="shared" si="14"/>
        <v>3628927.1899999976</v>
      </c>
      <c r="V13" s="38">
        <f t="shared" si="14"/>
        <v>3628927.1899999976</v>
      </c>
      <c r="W13" s="38">
        <f t="shared" si="14"/>
        <v>3628927.1899999976</v>
      </c>
      <c r="X13" s="38">
        <f t="shared" si="14"/>
        <v>3628927.1899999976</v>
      </c>
      <c r="Y13" s="38">
        <f t="shared" si="14"/>
        <v>3628927.1899999976</v>
      </c>
      <c r="Z13" s="38">
        <f t="shared" si="14"/>
        <v>3628927.1899999976</v>
      </c>
      <c r="AA13" s="38">
        <f t="shared" si="14"/>
        <v>3628927.1899999976</v>
      </c>
      <c r="AB13" s="38">
        <f t="shared" si="14"/>
        <v>3628927.1899999976</v>
      </c>
      <c r="AC13" s="38">
        <f t="shared" si="14"/>
        <v>3628927.1899999976</v>
      </c>
      <c r="AD13" s="38">
        <f t="shared" si="14"/>
        <v>3628927.1899999976</v>
      </c>
      <c r="AE13" s="38">
        <f t="shared" si="14"/>
        <v>3628927.1899999976</v>
      </c>
      <c r="AF13" s="38">
        <f t="shared" si="14"/>
        <v>3628927.1899999976</v>
      </c>
      <c r="AG13" s="38">
        <f t="shared" si="14"/>
        <v>3628927.1899999976</v>
      </c>
      <c r="AH13" s="38">
        <f t="shared" si="14"/>
        <v>3628927.1899999976</v>
      </c>
      <c r="AI13" s="38">
        <f t="shared" si="14"/>
        <v>3628927.1899999976</v>
      </c>
      <c r="AJ13" s="38">
        <f t="shared" si="14"/>
        <v>3628927.1899999976</v>
      </c>
      <c r="AK13" s="38">
        <f t="shared" si="14"/>
        <v>3628927.1899999976</v>
      </c>
      <c r="AL13" s="38">
        <f t="shared" si="14"/>
        <v>3628927.1899999976</v>
      </c>
      <c r="AM13" s="38">
        <f t="shared" si="14"/>
        <v>3628927.1899999976</v>
      </c>
      <c r="AN13" s="38">
        <f t="shared" si="14"/>
        <v>3628927.1899999976</v>
      </c>
      <c r="AO13" s="38">
        <f t="shared" si="14"/>
        <v>3628927.1899999976</v>
      </c>
      <c r="AP13" s="38">
        <f t="shared" si="14"/>
        <v>3628927.1899999976</v>
      </c>
      <c r="AQ13" s="38">
        <f t="shared" si="14"/>
        <v>3628927.1899999976</v>
      </c>
      <c r="AR13" s="38">
        <f t="shared" si="14"/>
        <v>3628927.1899999976</v>
      </c>
      <c r="AS13" s="38">
        <f t="shared" si="14"/>
        <v>3628927.1899999976</v>
      </c>
      <c r="AT13" s="38">
        <f t="shared" si="14"/>
        <v>3628927.1899999976</v>
      </c>
      <c r="AU13" s="38">
        <f t="shared" si="14"/>
        <v>3628927.1899999976</v>
      </c>
      <c r="AV13" s="38">
        <f t="shared" si="14"/>
        <v>3628927.1899999976</v>
      </c>
      <c r="AW13" s="38">
        <f t="shared" si="14"/>
        <v>3628927.1899999976</v>
      </c>
      <c r="AX13" s="38">
        <f t="shared" si="14"/>
        <v>3628927.1899999976</v>
      </c>
      <c r="AY13" s="38">
        <f t="shared" si="14"/>
        <v>3628927.1899999976</v>
      </c>
      <c r="AZ13" s="38">
        <f t="shared" si="14"/>
        <v>3628927.1899999976</v>
      </c>
      <c r="BA13" s="38">
        <f t="shared" si="14"/>
        <v>3628927.1899999976</v>
      </c>
      <c r="BB13" s="38">
        <f t="shared" si="14"/>
        <v>3628927.1899999976</v>
      </c>
      <c r="BC13" s="38">
        <f t="shared" si="14"/>
        <v>3628927.1899999976</v>
      </c>
      <c r="BD13" s="38">
        <f t="shared" si="14"/>
        <v>3628927.1899999976</v>
      </c>
      <c r="BE13" s="38">
        <f t="shared" si="14"/>
        <v>3628927.1899999976</v>
      </c>
      <c r="BF13" s="38">
        <f t="shared" si="14"/>
        <v>3628927.1899999976</v>
      </c>
      <c r="BG13" s="38">
        <f t="shared" si="14"/>
        <v>3628927.1899999976</v>
      </c>
      <c r="BH13" s="38">
        <f t="shared" si="14"/>
        <v>3628927.1899999976</v>
      </c>
      <c r="BI13" s="38">
        <f t="shared" si="14"/>
        <v>3628927.1899999976</v>
      </c>
      <c r="BJ13" s="38">
        <f t="shared" si="14"/>
        <v>3628927.1899999976</v>
      </c>
      <c r="BK13" s="38">
        <f t="shared" si="14"/>
        <v>3628927.1899999976</v>
      </c>
      <c r="BL13" s="38">
        <f t="shared" si="14"/>
        <v>3628927.1899999976</v>
      </c>
      <c r="BM13" s="38">
        <f t="shared" si="14"/>
        <v>3628927.1899999976</v>
      </c>
      <c r="BN13" s="38">
        <f t="shared" si="14"/>
        <v>3628927.1899999976</v>
      </c>
      <c r="BO13" s="38">
        <f t="shared" si="14"/>
        <v>3628927.1899999976</v>
      </c>
      <c r="BP13" s="38">
        <f t="shared" si="14"/>
        <v>3628927.1899999976</v>
      </c>
      <c r="BQ13" s="38">
        <f t="shared" si="14"/>
        <v>3628927.1899999976</v>
      </c>
      <c r="BR13" s="38">
        <f t="shared" si="14"/>
        <v>3628927.1899999976</v>
      </c>
      <c r="BS13" s="38">
        <f t="shared" ref="BS13:DV13" si="15">BS3+BS4+BS11</f>
        <v>3628927.1899999976</v>
      </c>
      <c r="BT13" s="38">
        <f t="shared" si="15"/>
        <v>3628927.1899999976</v>
      </c>
      <c r="BU13" s="38">
        <f t="shared" si="15"/>
        <v>3628927.1899999976</v>
      </c>
      <c r="BV13" s="38">
        <f t="shared" si="15"/>
        <v>3628927.1899999976</v>
      </c>
      <c r="BW13" s="38">
        <f t="shared" si="15"/>
        <v>3628927.1899999976</v>
      </c>
      <c r="BX13" s="38">
        <f t="shared" si="15"/>
        <v>3628927.1899999976</v>
      </c>
      <c r="BY13" s="38">
        <f t="shared" si="15"/>
        <v>3628927.1899999976</v>
      </c>
      <c r="BZ13" s="38">
        <f t="shared" si="15"/>
        <v>3628927.1899999976</v>
      </c>
      <c r="CA13" s="38">
        <f t="shared" si="15"/>
        <v>3628927.1899999976</v>
      </c>
      <c r="CB13" s="38">
        <f t="shared" si="15"/>
        <v>3628927.1899999976</v>
      </c>
      <c r="CC13" s="38">
        <f t="shared" si="15"/>
        <v>3628927.1899999976</v>
      </c>
      <c r="CD13" s="38">
        <f t="shared" si="15"/>
        <v>3628927.1899999976</v>
      </c>
      <c r="CE13" s="38">
        <f t="shared" si="15"/>
        <v>3628927.1899999976</v>
      </c>
      <c r="CF13" s="38">
        <f t="shared" si="15"/>
        <v>3628927.1899999976</v>
      </c>
      <c r="CG13" s="38">
        <f t="shared" si="15"/>
        <v>3628927.1899999976</v>
      </c>
      <c r="CH13" s="38">
        <f t="shared" si="15"/>
        <v>3628927.1899999976</v>
      </c>
      <c r="CI13" s="38">
        <f t="shared" si="15"/>
        <v>3628927.1899999976</v>
      </c>
      <c r="CJ13" s="38">
        <f t="shared" si="15"/>
        <v>3628927.1899999976</v>
      </c>
      <c r="CK13" s="38">
        <f t="shared" si="15"/>
        <v>3628927.1899999976</v>
      </c>
      <c r="CL13" s="38">
        <f t="shared" si="15"/>
        <v>3628927.1899999976</v>
      </c>
      <c r="CM13" s="38">
        <f t="shared" si="15"/>
        <v>3628927.1899999976</v>
      </c>
      <c r="CN13" s="38">
        <f t="shared" si="15"/>
        <v>3628927.1899999976</v>
      </c>
      <c r="CO13" s="38">
        <f t="shared" si="15"/>
        <v>3628927.1899999976</v>
      </c>
      <c r="CP13" s="38">
        <f t="shared" si="15"/>
        <v>3628927.1899999976</v>
      </c>
      <c r="CQ13" s="38">
        <f t="shared" si="15"/>
        <v>3628927.1899999976</v>
      </c>
      <c r="CR13" s="38">
        <f t="shared" si="15"/>
        <v>3628927.1899999976</v>
      </c>
      <c r="CS13" s="38">
        <f t="shared" si="15"/>
        <v>3628927.1899999976</v>
      </c>
      <c r="CT13" s="38">
        <f t="shared" si="15"/>
        <v>3628927.1899999976</v>
      </c>
      <c r="CU13" s="38">
        <f t="shared" si="15"/>
        <v>3628927.1899999976</v>
      </c>
      <c r="CV13" s="38">
        <f t="shared" si="15"/>
        <v>3628927.1899999976</v>
      </c>
      <c r="CW13" s="38">
        <f t="shared" si="15"/>
        <v>3628927.1899999976</v>
      </c>
      <c r="CX13" s="38">
        <f t="shared" si="15"/>
        <v>3628927.1899999976</v>
      </c>
      <c r="CY13" s="38">
        <f t="shared" si="15"/>
        <v>3628927.1899999976</v>
      </c>
      <c r="CZ13" s="38">
        <f t="shared" si="15"/>
        <v>3628927.1899999976</v>
      </c>
      <c r="DA13" s="38">
        <f t="shared" si="15"/>
        <v>3628927.1899999976</v>
      </c>
      <c r="DB13" s="38">
        <f t="shared" si="15"/>
        <v>3628927.1899999976</v>
      </c>
      <c r="DC13" s="38">
        <f t="shared" si="15"/>
        <v>3628927.1899999976</v>
      </c>
      <c r="DD13" s="38">
        <f t="shared" si="15"/>
        <v>3628927.1899999976</v>
      </c>
      <c r="DE13" s="38">
        <f t="shared" si="15"/>
        <v>3628927.1899999976</v>
      </c>
      <c r="DF13" s="38">
        <f t="shared" si="15"/>
        <v>3628927.1899999976</v>
      </c>
      <c r="DG13" s="38">
        <f t="shared" si="15"/>
        <v>3628927.1899999976</v>
      </c>
      <c r="DH13" s="38">
        <f t="shared" si="15"/>
        <v>3628927.1899999976</v>
      </c>
      <c r="DI13" s="38">
        <f t="shared" si="15"/>
        <v>3628927.1899999976</v>
      </c>
      <c r="DJ13" s="38">
        <f t="shared" si="15"/>
        <v>3628927.1899999976</v>
      </c>
      <c r="DK13" s="38">
        <f t="shared" si="15"/>
        <v>3628927.1899999976</v>
      </c>
      <c r="DL13" s="38">
        <f t="shared" si="15"/>
        <v>3628927.1899999976</v>
      </c>
      <c r="DM13" s="38">
        <f t="shared" si="15"/>
        <v>3628927.1899999976</v>
      </c>
      <c r="DN13" s="38">
        <f t="shared" si="15"/>
        <v>3628927.1899999976</v>
      </c>
      <c r="DO13" s="38">
        <f t="shared" si="15"/>
        <v>3628927.1899999976</v>
      </c>
      <c r="DP13" s="38">
        <f t="shared" si="15"/>
        <v>3628927.1899999976</v>
      </c>
      <c r="DQ13" s="38">
        <f t="shared" si="15"/>
        <v>3628927.1899999976</v>
      </c>
      <c r="DR13" s="38">
        <f t="shared" si="15"/>
        <v>3628927.1899999976</v>
      </c>
      <c r="DS13" s="38">
        <f t="shared" si="15"/>
        <v>3628927.1899999976</v>
      </c>
      <c r="DT13" s="38">
        <f t="shared" si="15"/>
        <v>3628927.1899999976</v>
      </c>
      <c r="DU13" s="38">
        <f t="shared" si="15"/>
        <v>3628927.1899999976</v>
      </c>
      <c r="DV13" s="38">
        <f t="shared" si="15"/>
        <v>3628927.1899999976</v>
      </c>
    </row>
    <row r="14" spans="1:126" x14ac:dyDescent="0.25">
      <c r="E14" t="s">
        <v>131</v>
      </c>
      <c r="F14" s="72">
        <f>NPV($B$10,G13:DV13)+F13</f>
        <v>257484896.03177848</v>
      </c>
      <c r="G14" s="72"/>
      <c r="H14" s="72"/>
      <c r="I14" s="72"/>
      <c r="J14" s="72"/>
      <c r="K14" s="72"/>
      <c r="L14" s="72"/>
      <c r="M14" s="72"/>
      <c r="N14" s="72"/>
      <c r="O14" s="87"/>
      <c r="P14" s="87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</row>
    <row r="15" spans="1:126" x14ac:dyDescent="0.25">
      <c r="E15" t="s">
        <v>132</v>
      </c>
      <c r="F15" s="75"/>
      <c r="G15" s="72"/>
      <c r="H15" s="72"/>
      <c r="I15" s="72"/>
      <c r="J15" s="72"/>
      <c r="K15" s="72"/>
      <c r="L15" s="72"/>
      <c r="M15" s="72"/>
      <c r="N15" s="72"/>
      <c r="O15" s="72"/>
      <c r="P15" s="87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</row>
    <row r="16" spans="1:126" x14ac:dyDescent="0.25">
      <c r="E16" t="s">
        <v>133</v>
      </c>
      <c r="F16" s="72"/>
      <c r="G16" s="72"/>
      <c r="H16" s="72"/>
      <c r="I16" s="86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</row>
    <row r="17" spans="6:126" x14ac:dyDescent="0.25">
      <c r="F17" s="72"/>
      <c r="G17" s="72"/>
      <c r="H17" s="72"/>
      <c r="I17" s="86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</row>
    <row r="18" spans="6:126" x14ac:dyDescent="0.25"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</row>
    <row r="19" spans="6:126" x14ac:dyDescent="0.25"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</row>
    <row r="20" spans="6:126" x14ac:dyDescent="0.25"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</row>
    <row r="21" spans="6:126" x14ac:dyDescent="0.25"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</row>
    <row r="22" spans="6:126" x14ac:dyDescent="0.25"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</row>
    <row r="23" spans="6:126" x14ac:dyDescent="0.25"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</row>
    <row r="24" spans="6:126" x14ac:dyDescent="0.25"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</row>
  </sheetData>
  <mergeCells count="1">
    <mergeCell ref="F1:D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Resumen</vt:lpstr>
      <vt:lpstr>Concentrado</vt:lpstr>
      <vt:lpstr>Lechon</vt:lpstr>
      <vt:lpstr>O.Gastos</vt:lpstr>
      <vt:lpstr>Flujo de Caja</vt:lpstr>
      <vt:lpstr>Flujo de Caja Liquidando</vt:lpstr>
      <vt:lpstr>Gráficas</vt:lpstr>
      <vt:lpstr>Construcción-Arrendamiento</vt:lpstr>
      <vt:lpstr>Tierra Propia - Arrendamiento</vt:lpstr>
      <vt:lpstr>Construcción-Part</vt:lpstr>
      <vt:lpstr>Propio sin Leasing</vt:lpstr>
      <vt:lpstr>J. Gómez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MONTES</dc:creator>
  <cp:lastModifiedBy>andres montes gomez</cp:lastModifiedBy>
  <dcterms:created xsi:type="dcterms:W3CDTF">2017-05-12T13:22:38Z</dcterms:created>
  <dcterms:modified xsi:type="dcterms:W3CDTF">2020-06-20T16:18:54Z</dcterms:modified>
</cp:coreProperties>
</file>